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213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商业" sheetId="33" state="hidden" r:id="rId21"/>
    <sheet name="比较法-商业-2021案例" sheetId="83" r:id="rId22"/>
    <sheet name="Sheet2" sheetId="8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sheetId="68"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80" r:id="rId48"/>
    <sheet name="租赁情况表" sheetId="81" r:id="rId49"/>
    <sheet name="Sheet3" sheetId="84" r:id="rId50"/>
  </sheets>
  <externalReferences>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21" hidden="1">'比较法-商业-2021案例'!$A$1:$L$49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1">'比较法-商业-2021案例'!$A$1:$K$54,'比较法-商业-2021案例'!$A$57:$M$131</definedName>
    <definedName name="_xlnm.Print_Area" localSheetId="27">'比较法-住宅'!$A$1:$K$54,'比较法-住宅'!$A$57:$M$131</definedName>
    <definedName name="_xlnm.Print_Area" localSheetId="3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'比较法-商业-2021案例'!$B$116:$M$116</definedName>
    <definedName name="商业层高">'比较法-商业'!$B$116:$M$116</definedName>
    <definedName name="商业成新度" localSheetId="21">'比较法-商业-2021案例'!$B$109:$M$109</definedName>
    <definedName name="商业成新度">'比较法-商业'!$B$109:$M$109</definedName>
    <definedName name="商业繁华度">定义!$L$1:$L$6</definedName>
    <definedName name="商业公共部分装修" localSheetId="21">'比较法-商业-2021案例'!$B$107:$M$107</definedName>
    <definedName name="商业公共部分装修">'比较法-商业'!$B$107:$M$107</definedName>
    <definedName name="商业基础设施水平" localSheetId="21">'比较法-商业-2021案例'!$B$112:$M$112</definedName>
    <definedName name="商业基础设施水平">'比较法-商业'!$B$112:$M$112</definedName>
    <definedName name="商业建筑结构" localSheetId="21">'比较法-商业-2021案例'!$B$105:$M$105</definedName>
    <definedName name="商业建筑结构">'比较法-商业'!$B$105:$M$105</definedName>
    <definedName name="商业交易情况" localSheetId="21">'比较法-商业-2021案例'!$A$61:$M$61</definedName>
    <definedName name="商业交易情况">'比较法-商业'!$A$61:$M$61</definedName>
    <definedName name="商业街名称">修正!$C$71:$C$138</definedName>
    <definedName name="商业进深比" localSheetId="21">'比较法-商业-2021案例'!$B$120:$M$120</definedName>
    <definedName name="商业进深比">'比较法-商业'!$B$120:$M$120</definedName>
    <definedName name="商业类型" localSheetId="21">'比较法-商业-2021案例'!$B$100:$M$100</definedName>
    <definedName name="商业类型">'比较法-商业'!$B$100:$M$100</definedName>
    <definedName name="商业临街状况" localSheetId="21">'比较法-商业-2021案例'!$B$86:$M$86</definedName>
    <definedName name="商业临街状况">'比较法-商业'!$B$86:$M$86</definedName>
    <definedName name="商业楼层" localSheetId="21">'比较法-商业-2021案例'!$B$92:$M$92</definedName>
    <definedName name="商业楼层">'比较法-商业'!$B$92:$M$92</definedName>
    <definedName name="商业内部装修" localSheetId="21">'比较法-商业-2021案例'!$B$122:$M$122</definedName>
    <definedName name="商业内部装修">'比较法-商业'!$B$122:$M$122</definedName>
    <definedName name="商业人流量" localSheetId="21">'比较法-商业-2021案例'!$B$90:$M$90</definedName>
    <definedName name="商业人流量">'比较法-商业'!$B$90:$M$90</definedName>
    <definedName name="商业业态" localSheetId="21">'比较法-商业-2021案例'!$B$114:$M$114</definedName>
    <definedName name="商业业态">'比较法-商业'!$B$114:$M$114</definedName>
    <definedName name="商业用途" localSheetId="21">'比较法-商业-2021案例'!$B$63:$M$63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44" i="43" l="1"/>
  <c r="D42" i="43" l="1"/>
  <c r="D37" i="43"/>
  <c r="D33" i="43"/>
  <c r="D17" i="9"/>
  <c r="V127" i="84"/>
  <c r="V126" i="84"/>
  <c r="AQ125" i="84"/>
  <c r="AP125" i="84"/>
  <c r="AO125" i="84"/>
  <c r="AN125" i="84"/>
  <c r="AM125" i="84"/>
  <c r="AL125" i="84"/>
  <c r="AR125" i="84" s="1"/>
  <c r="AJ125" i="84"/>
  <c r="AI125" i="84"/>
  <c r="AX125" i="84" s="1"/>
  <c r="AH125" i="84"/>
  <c r="AG125" i="84"/>
  <c r="AV125" i="84" s="1"/>
  <c r="AF125" i="84"/>
  <c r="AD125" i="84"/>
  <c r="AS125" i="84" s="1"/>
  <c r="AC125" i="84"/>
  <c r="Q125" i="84"/>
  <c r="P125" i="84"/>
  <c r="AE125" i="84" s="1"/>
  <c r="AT125" i="84" s="1"/>
  <c r="O125" i="84"/>
  <c r="M125" i="84"/>
  <c r="G125" i="84"/>
  <c r="AQ124" i="84"/>
  <c r="AP124" i="84"/>
  <c r="AO124" i="84"/>
  <c r="AN124" i="84"/>
  <c r="AM124" i="84"/>
  <c r="AL124" i="84"/>
  <c r="AR124" i="84" s="1"/>
  <c r="AJ124" i="84"/>
  <c r="AI124" i="84"/>
  <c r="AX124" i="84" s="1"/>
  <c r="AH124" i="84"/>
  <c r="AG124" i="84"/>
  <c r="AV124" i="84" s="1"/>
  <c r="AF124" i="84"/>
  <c r="AD124" i="84"/>
  <c r="AS124" i="84" s="1"/>
  <c r="AC124" i="84"/>
  <c r="Q124" i="84"/>
  <c r="P124" i="84"/>
  <c r="V124" i="84" s="1"/>
  <c r="O124" i="84"/>
  <c r="M124" i="84"/>
  <c r="G124" i="84"/>
  <c r="AQ123" i="84"/>
  <c r="AP123" i="84"/>
  <c r="AO123" i="84"/>
  <c r="AN123" i="84"/>
  <c r="AM123" i="84"/>
  <c r="AL123" i="84"/>
  <c r="AR123" i="84" s="1"/>
  <c r="AJ123" i="84"/>
  <c r="AI123" i="84"/>
  <c r="AX123" i="84" s="1"/>
  <c r="AH123" i="84"/>
  <c r="AG123" i="84"/>
  <c r="AV123" i="84" s="1"/>
  <c r="AF123" i="84"/>
  <c r="AD123" i="84"/>
  <c r="AS123" i="84" s="1"/>
  <c r="AC123" i="84"/>
  <c r="Q123" i="84"/>
  <c r="P123" i="84"/>
  <c r="AE123" i="84" s="1"/>
  <c r="AT123" i="84" s="1"/>
  <c r="O123" i="84"/>
  <c r="M123" i="84"/>
  <c r="G123" i="84"/>
  <c r="AQ122" i="84"/>
  <c r="AP122" i="84"/>
  <c r="AO122" i="84"/>
  <c r="AN122" i="84"/>
  <c r="AM122" i="84"/>
  <c r="AL122" i="84"/>
  <c r="AR122" i="84" s="1"/>
  <c r="AJ122" i="84"/>
  <c r="AI122" i="84"/>
  <c r="AX122" i="84" s="1"/>
  <c r="AH122" i="84"/>
  <c r="AG122" i="84"/>
  <c r="AV122" i="84" s="1"/>
  <c r="AF122" i="84"/>
  <c r="AD122" i="84"/>
  <c r="AS122" i="84" s="1"/>
  <c r="AC122" i="84"/>
  <c r="Q122" i="84"/>
  <c r="P122" i="84"/>
  <c r="V122" i="84" s="1"/>
  <c r="O122" i="84"/>
  <c r="M122" i="84"/>
  <c r="G122" i="84"/>
  <c r="AQ121" i="84"/>
  <c r="AP121" i="84"/>
  <c r="AO121" i="84"/>
  <c r="AN121" i="84"/>
  <c r="AM121" i="84"/>
  <c r="AL121" i="84"/>
  <c r="AR121" i="84" s="1"/>
  <c r="AJ121" i="84"/>
  <c r="AI121" i="84"/>
  <c r="AX121" i="84" s="1"/>
  <c r="AH121" i="84"/>
  <c r="AG121" i="84"/>
  <c r="AV121" i="84" s="1"/>
  <c r="AF121" i="84"/>
  <c r="AD121" i="84"/>
  <c r="AS121" i="84" s="1"/>
  <c r="AC121" i="84"/>
  <c r="Q121" i="84"/>
  <c r="P121" i="84"/>
  <c r="AE121" i="84" s="1"/>
  <c r="AT121" i="84" s="1"/>
  <c r="O121" i="84"/>
  <c r="M121" i="84"/>
  <c r="G121" i="84"/>
  <c r="AQ120" i="84"/>
  <c r="AP120" i="84"/>
  <c r="AO120" i="84"/>
  <c r="AN120" i="84"/>
  <c r="AM120" i="84"/>
  <c r="AL120" i="84"/>
  <c r="AR120" i="84" s="1"/>
  <c r="AJ120" i="84"/>
  <c r="AI120" i="84"/>
  <c r="AX120" i="84" s="1"/>
  <c r="AH120" i="84"/>
  <c r="AG120" i="84"/>
  <c r="AV120" i="84" s="1"/>
  <c r="AF120" i="84"/>
  <c r="AD120" i="84"/>
  <c r="AS120" i="84" s="1"/>
  <c r="AC120" i="84"/>
  <c r="Q120" i="84"/>
  <c r="P120" i="84"/>
  <c r="V120" i="84" s="1"/>
  <c r="O120" i="84"/>
  <c r="M120" i="84"/>
  <c r="G120" i="84"/>
  <c r="AQ119" i="84"/>
  <c r="AP119" i="84"/>
  <c r="AO119" i="84"/>
  <c r="AN119" i="84"/>
  <c r="AM119" i="84"/>
  <c r="AL119" i="84"/>
  <c r="AR119" i="84" s="1"/>
  <c r="AJ119" i="84"/>
  <c r="AI119" i="84"/>
  <c r="AX119" i="84" s="1"/>
  <c r="AH119" i="84"/>
  <c r="AG119" i="84"/>
  <c r="AV119" i="84" s="1"/>
  <c r="AF119" i="84"/>
  <c r="AD119" i="84"/>
  <c r="AS119" i="84" s="1"/>
  <c r="AC119" i="84"/>
  <c r="Q119" i="84"/>
  <c r="P119" i="84"/>
  <c r="AE119" i="84" s="1"/>
  <c r="AT119" i="84" s="1"/>
  <c r="O119" i="84"/>
  <c r="M119" i="84"/>
  <c r="G119" i="84"/>
  <c r="AQ118" i="84"/>
  <c r="AP118" i="84"/>
  <c r="AO118" i="84"/>
  <c r="AN118" i="84"/>
  <c r="AM118" i="84"/>
  <c r="AL118" i="84"/>
  <c r="AR118" i="84" s="1"/>
  <c r="AJ118" i="84"/>
  <c r="AI118" i="84"/>
  <c r="AX118" i="84" s="1"/>
  <c r="AH118" i="84"/>
  <c r="AG118" i="84"/>
  <c r="AV118" i="84" s="1"/>
  <c r="AF118" i="84"/>
  <c r="AD118" i="84"/>
  <c r="AS118" i="84" s="1"/>
  <c r="AC118" i="84"/>
  <c r="Q118" i="84"/>
  <c r="P118" i="84"/>
  <c r="V118" i="84" s="1"/>
  <c r="O118" i="84"/>
  <c r="M118" i="84"/>
  <c r="G118" i="84"/>
  <c r="AQ117" i="84"/>
  <c r="AP117" i="84"/>
  <c r="AO117" i="84"/>
  <c r="AN117" i="84"/>
  <c r="AM117" i="84"/>
  <c r="AL117" i="84"/>
  <c r="AR117" i="84" s="1"/>
  <c r="AJ117" i="84"/>
  <c r="AI117" i="84"/>
  <c r="AX117" i="84" s="1"/>
  <c r="AH117" i="84"/>
  <c r="AG117" i="84"/>
  <c r="AV117" i="84" s="1"/>
  <c r="AF117" i="84"/>
  <c r="AD117" i="84"/>
  <c r="AS117" i="84" s="1"/>
  <c r="AC117" i="84"/>
  <c r="Q117" i="84"/>
  <c r="P117" i="84"/>
  <c r="AE117" i="84" s="1"/>
  <c r="AT117" i="84" s="1"/>
  <c r="O117" i="84"/>
  <c r="M117" i="84"/>
  <c r="G117" i="84"/>
  <c r="AQ116" i="84"/>
  <c r="AP116" i="84"/>
  <c r="AO116" i="84"/>
  <c r="AN116" i="84"/>
  <c r="AM116" i="84"/>
  <c r="AL116" i="84"/>
  <c r="AR116" i="84" s="1"/>
  <c r="AJ116" i="84"/>
  <c r="AI116" i="84"/>
  <c r="AX116" i="84" s="1"/>
  <c r="AH116" i="84"/>
  <c r="AG116" i="84"/>
  <c r="AV116" i="84" s="1"/>
  <c r="AF116" i="84"/>
  <c r="AD116" i="84"/>
  <c r="AS116" i="84" s="1"/>
  <c r="AC116" i="84"/>
  <c r="Q116" i="84"/>
  <c r="P116" i="84"/>
  <c r="V116" i="84" s="1"/>
  <c r="O116" i="84"/>
  <c r="M116" i="84"/>
  <c r="G116" i="84"/>
  <c r="AQ115" i="84"/>
  <c r="AP115" i="84"/>
  <c r="AO115" i="84"/>
  <c r="AN115" i="84"/>
  <c r="AM115" i="84"/>
  <c r="AL115" i="84"/>
  <c r="AR115" i="84" s="1"/>
  <c r="AJ115" i="84"/>
  <c r="AI115" i="84"/>
  <c r="AX115" i="84" s="1"/>
  <c r="AH115" i="84"/>
  <c r="AG115" i="84"/>
  <c r="AV115" i="84" s="1"/>
  <c r="AF115" i="84"/>
  <c r="AD115" i="84"/>
  <c r="AS115" i="84" s="1"/>
  <c r="AC115" i="84"/>
  <c r="Q115" i="84"/>
  <c r="P115" i="84"/>
  <c r="AE115" i="84" s="1"/>
  <c r="AT115" i="84" s="1"/>
  <c r="O115" i="84"/>
  <c r="M115" i="84"/>
  <c r="G115" i="84"/>
  <c r="AQ114" i="84"/>
  <c r="AP114" i="84"/>
  <c r="AO114" i="84"/>
  <c r="AN114" i="84"/>
  <c r="AM114" i="84"/>
  <c r="AL114" i="84"/>
  <c r="AR114" i="84" s="1"/>
  <c r="AJ114" i="84"/>
  <c r="AI114" i="84"/>
  <c r="AX114" i="84" s="1"/>
  <c r="AH114" i="84"/>
  <c r="AG114" i="84"/>
  <c r="AV114" i="84" s="1"/>
  <c r="AF114" i="84"/>
  <c r="AD114" i="84"/>
  <c r="AS114" i="84" s="1"/>
  <c r="AC114" i="84"/>
  <c r="Q114" i="84"/>
  <c r="P114" i="84"/>
  <c r="V114" i="84" s="1"/>
  <c r="O114" i="84"/>
  <c r="M114" i="84"/>
  <c r="G114" i="84"/>
  <c r="AQ113" i="84"/>
  <c r="AP113" i="84"/>
  <c r="AO113" i="84"/>
  <c r="AN113" i="84"/>
  <c r="AM113" i="84"/>
  <c r="AL113" i="84"/>
  <c r="AR113" i="84" s="1"/>
  <c r="AJ113" i="84"/>
  <c r="AI113" i="84"/>
  <c r="AX113" i="84" s="1"/>
  <c r="AH113" i="84"/>
  <c r="AG113" i="84"/>
  <c r="AV113" i="84" s="1"/>
  <c r="AF113" i="84"/>
  <c r="AD113" i="84"/>
  <c r="AS113" i="84" s="1"/>
  <c r="AC113" i="84"/>
  <c r="Q113" i="84"/>
  <c r="P113" i="84"/>
  <c r="AE113" i="84" s="1"/>
  <c r="AT113" i="84" s="1"/>
  <c r="O113" i="84"/>
  <c r="M113" i="84"/>
  <c r="G113" i="84"/>
  <c r="AQ112" i="84"/>
  <c r="AP112" i="84"/>
  <c r="AO112" i="84"/>
  <c r="AN112" i="84"/>
  <c r="AM112" i="84"/>
  <c r="AL112" i="84"/>
  <c r="AR112" i="84" s="1"/>
  <c r="AJ112" i="84"/>
  <c r="AI112" i="84"/>
  <c r="AX112" i="84" s="1"/>
  <c r="AH112" i="84"/>
  <c r="AG112" i="84"/>
  <c r="AV112" i="84" s="1"/>
  <c r="AF112" i="84"/>
  <c r="AD112" i="84"/>
  <c r="AS112" i="84" s="1"/>
  <c r="AC112" i="84"/>
  <c r="Q112" i="84"/>
  <c r="P112" i="84"/>
  <c r="V112" i="84" s="1"/>
  <c r="O112" i="84"/>
  <c r="M112" i="84"/>
  <c r="G112" i="84"/>
  <c r="AQ111" i="84"/>
  <c r="AP111" i="84"/>
  <c r="AO111" i="84"/>
  <c r="AN111" i="84"/>
  <c r="AM111" i="84"/>
  <c r="AL111" i="84"/>
  <c r="AR111" i="84" s="1"/>
  <c r="AJ111" i="84"/>
  <c r="AI111" i="84"/>
  <c r="AX111" i="84" s="1"/>
  <c r="AH111" i="84"/>
  <c r="AG111" i="84"/>
  <c r="AV111" i="84" s="1"/>
  <c r="AF111" i="84"/>
  <c r="AD111" i="84"/>
  <c r="AC111" i="84"/>
  <c r="Q111" i="84"/>
  <c r="P111" i="84"/>
  <c r="AE111" i="84" s="1"/>
  <c r="AT111" i="84" s="1"/>
  <c r="O111" i="84"/>
  <c r="M111" i="84"/>
  <c r="G111" i="84"/>
  <c r="AQ110" i="84"/>
  <c r="AP110" i="84"/>
  <c r="AO110" i="84"/>
  <c r="AN110" i="84"/>
  <c r="AM110" i="84"/>
  <c r="AL110" i="84"/>
  <c r="AR110" i="84" s="1"/>
  <c r="AJ110" i="84"/>
  <c r="AI110" i="84"/>
  <c r="AX110" i="84" s="1"/>
  <c r="AH110" i="84"/>
  <c r="AG110" i="84"/>
  <c r="AV110" i="84" s="1"/>
  <c r="AF110" i="84"/>
  <c r="AD110" i="84"/>
  <c r="AS110" i="84" s="1"/>
  <c r="AC110" i="84"/>
  <c r="Q110" i="84"/>
  <c r="P110" i="84"/>
  <c r="V110" i="84" s="1"/>
  <c r="O110" i="84"/>
  <c r="M110" i="84"/>
  <c r="G110" i="84"/>
  <c r="AQ109" i="84"/>
  <c r="AP109" i="84"/>
  <c r="AO109" i="84"/>
  <c r="AN109" i="84"/>
  <c r="AM109" i="84"/>
  <c r="AL109" i="84"/>
  <c r="AR109" i="84" s="1"/>
  <c r="AJ109" i="84"/>
  <c r="AI109" i="84"/>
  <c r="AX109" i="84" s="1"/>
  <c r="AH109" i="84"/>
  <c r="AG109" i="84"/>
  <c r="AV109" i="84" s="1"/>
  <c r="AF109" i="84"/>
  <c r="AD109" i="84"/>
  <c r="AS109" i="84" s="1"/>
  <c r="AC109" i="84"/>
  <c r="Q109" i="84"/>
  <c r="P109" i="84"/>
  <c r="AE109" i="84" s="1"/>
  <c r="AT109" i="84" s="1"/>
  <c r="O109" i="84"/>
  <c r="M109" i="84"/>
  <c r="G109" i="84"/>
  <c r="AQ108" i="84"/>
  <c r="AP108" i="84"/>
  <c r="AO108" i="84"/>
  <c r="AN108" i="84"/>
  <c r="AM108" i="84"/>
  <c r="AL108" i="84"/>
  <c r="AR108" i="84" s="1"/>
  <c r="AJ108" i="84"/>
  <c r="AI108" i="84"/>
  <c r="AX108" i="84" s="1"/>
  <c r="AH108" i="84"/>
  <c r="AG108" i="84"/>
  <c r="AV108" i="84" s="1"/>
  <c r="AF108" i="84"/>
  <c r="AD108" i="84"/>
  <c r="AS108" i="84" s="1"/>
  <c r="AC108" i="84"/>
  <c r="Q108" i="84"/>
  <c r="P108" i="84"/>
  <c r="V108" i="84" s="1"/>
  <c r="O108" i="84"/>
  <c r="M108" i="84"/>
  <c r="G108" i="84"/>
  <c r="AQ107" i="84"/>
  <c r="AP107" i="84"/>
  <c r="AO107" i="84"/>
  <c r="AN107" i="84"/>
  <c r="AM107" i="84"/>
  <c r="AL107" i="84"/>
  <c r="AR107" i="84" s="1"/>
  <c r="AJ107" i="84"/>
  <c r="AI107" i="84"/>
  <c r="AX107" i="84" s="1"/>
  <c r="AH107" i="84"/>
  <c r="AG107" i="84"/>
  <c r="AV107" i="84" s="1"/>
  <c r="AF107" i="84"/>
  <c r="AD107" i="84"/>
  <c r="AS107" i="84" s="1"/>
  <c r="AC107" i="84"/>
  <c r="Q107" i="84"/>
  <c r="P107" i="84"/>
  <c r="AE107" i="84" s="1"/>
  <c r="AT107" i="84" s="1"/>
  <c r="O107" i="84"/>
  <c r="M107" i="84"/>
  <c r="G107" i="84"/>
  <c r="AQ106" i="84"/>
  <c r="AP106" i="84"/>
  <c r="AO106" i="84"/>
  <c r="AN106" i="84"/>
  <c r="AM106" i="84"/>
  <c r="AL106" i="84"/>
  <c r="AR106" i="84" s="1"/>
  <c r="AJ106" i="84"/>
  <c r="AI106" i="84"/>
  <c r="AX106" i="84" s="1"/>
  <c r="AH106" i="84"/>
  <c r="AG106" i="84"/>
  <c r="AV106" i="84" s="1"/>
  <c r="AF106" i="84"/>
  <c r="AD106" i="84"/>
  <c r="AS106" i="84" s="1"/>
  <c r="AC106" i="84"/>
  <c r="Q106" i="84"/>
  <c r="P106" i="84"/>
  <c r="V106" i="84" s="1"/>
  <c r="O106" i="84"/>
  <c r="M106" i="84"/>
  <c r="G106" i="84"/>
  <c r="AQ105" i="84"/>
  <c r="AP105" i="84"/>
  <c r="AO105" i="84"/>
  <c r="AN105" i="84"/>
  <c r="AM105" i="84"/>
  <c r="AL105" i="84"/>
  <c r="AR105" i="84" s="1"/>
  <c r="AJ105" i="84"/>
  <c r="AI105" i="84"/>
  <c r="AX105" i="84" s="1"/>
  <c r="AH105" i="84"/>
  <c r="AG105" i="84"/>
  <c r="AV105" i="84" s="1"/>
  <c r="AF105" i="84"/>
  <c r="AD105" i="84"/>
  <c r="AS105" i="84" s="1"/>
  <c r="AC105" i="84"/>
  <c r="Q105" i="84"/>
  <c r="P105" i="84"/>
  <c r="AE105" i="84" s="1"/>
  <c r="AT105" i="84" s="1"/>
  <c r="O105" i="84"/>
  <c r="M105" i="84"/>
  <c r="G105" i="84"/>
  <c r="AQ104" i="84"/>
  <c r="AP104" i="84"/>
  <c r="AO104" i="84"/>
  <c r="AN104" i="84"/>
  <c r="AM104" i="84"/>
  <c r="AL104" i="84"/>
  <c r="AR104" i="84" s="1"/>
  <c r="AJ104" i="84"/>
  <c r="AI104" i="84"/>
  <c r="AX104" i="84" s="1"/>
  <c r="AH104" i="84"/>
  <c r="AG104" i="84"/>
  <c r="AV104" i="84" s="1"/>
  <c r="AF104" i="84"/>
  <c r="AD104" i="84"/>
  <c r="AS104" i="84" s="1"/>
  <c r="AC104" i="84"/>
  <c r="Q104" i="84"/>
  <c r="P104" i="84"/>
  <c r="V104" i="84" s="1"/>
  <c r="O104" i="84"/>
  <c r="M104" i="84"/>
  <c r="G104" i="84"/>
  <c r="AQ103" i="84"/>
  <c r="AP103" i="84"/>
  <c r="AO103" i="84"/>
  <c r="AN103" i="84"/>
  <c r="AM103" i="84"/>
  <c r="AL103" i="84"/>
  <c r="AR103" i="84" s="1"/>
  <c r="AJ103" i="84"/>
  <c r="AI103" i="84"/>
  <c r="AX103" i="84" s="1"/>
  <c r="AH103" i="84"/>
  <c r="AG103" i="84"/>
  <c r="AV103" i="84" s="1"/>
  <c r="AF103" i="84"/>
  <c r="AD103" i="84"/>
  <c r="AS103" i="84" s="1"/>
  <c r="AC103" i="84"/>
  <c r="Q103" i="84"/>
  <c r="P103" i="84"/>
  <c r="AE103" i="84" s="1"/>
  <c r="AT103" i="84" s="1"/>
  <c r="O103" i="84"/>
  <c r="M103" i="84"/>
  <c r="G103" i="84"/>
  <c r="AQ102" i="84"/>
  <c r="AP102" i="84"/>
  <c r="AO102" i="84"/>
  <c r="AN102" i="84"/>
  <c r="AM102" i="84"/>
  <c r="AL102" i="84"/>
  <c r="AR102" i="84" s="1"/>
  <c r="AJ102" i="84"/>
  <c r="AI102" i="84"/>
  <c r="AX102" i="84" s="1"/>
  <c r="AH102" i="84"/>
  <c r="AG102" i="84"/>
  <c r="AV102" i="84" s="1"/>
  <c r="AF102" i="84"/>
  <c r="AD102" i="84"/>
  <c r="AS102" i="84" s="1"/>
  <c r="AC102" i="84"/>
  <c r="Q102" i="84"/>
  <c r="P102" i="84"/>
  <c r="V102" i="84" s="1"/>
  <c r="O102" i="84"/>
  <c r="M102" i="84"/>
  <c r="G102" i="84"/>
  <c r="AQ101" i="84"/>
  <c r="AP101" i="84"/>
  <c r="AO101" i="84"/>
  <c r="AN101" i="84"/>
  <c r="AM101" i="84"/>
  <c r="AL101" i="84"/>
  <c r="AR101" i="84" s="1"/>
  <c r="AJ101" i="84"/>
  <c r="AI101" i="84"/>
  <c r="AX101" i="84" s="1"/>
  <c r="AH101" i="84"/>
  <c r="AG101" i="84"/>
  <c r="AV101" i="84" s="1"/>
  <c r="AF101" i="84"/>
  <c r="AD101" i="84"/>
  <c r="AS101" i="84" s="1"/>
  <c r="AC101" i="84"/>
  <c r="Q101" i="84"/>
  <c r="P101" i="84"/>
  <c r="AE101" i="84" s="1"/>
  <c r="AT101" i="84" s="1"/>
  <c r="O101" i="84"/>
  <c r="M101" i="84"/>
  <c r="G101" i="84"/>
  <c r="AQ100" i="84"/>
  <c r="AP100" i="84"/>
  <c r="AO100" i="84"/>
  <c r="AN100" i="84"/>
  <c r="AM100" i="84"/>
  <c r="AL100" i="84"/>
  <c r="AR100" i="84" s="1"/>
  <c r="AJ100" i="84"/>
  <c r="AI100" i="84"/>
  <c r="AX100" i="84" s="1"/>
  <c r="AH100" i="84"/>
  <c r="AG100" i="84"/>
  <c r="AV100" i="84" s="1"/>
  <c r="AF100" i="84"/>
  <c r="AD100" i="84"/>
  <c r="AS100" i="84" s="1"/>
  <c r="AC100" i="84"/>
  <c r="Q100" i="84"/>
  <c r="P100" i="84"/>
  <c r="V100" i="84" s="1"/>
  <c r="O100" i="84"/>
  <c r="M100" i="84"/>
  <c r="G100" i="84"/>
  <c r="AQ99" i="84"/>
  <c r="AP99" i="84"/>
  <c r="AO99" i="84"/>
  <c r="AN99" i="84"/>
  <c r="AM99" i="84"/>
  <c r="AL99" i="84"/>
  <c r="AR99" i="84" s="1"/>
  <c r="AJ99" i="84"/>
  <c r="AI99" i="84"/>
  <c r="AX99" i="84" s="1"/>
  <c r="AH99" i="84"/>
  <c r="AG99" i="84"/>
  <c r="AV99" i="84" s="1"/>
  <c r="AF99" i="84"/>
  <c r="AD99" i="84"/>
  <c r="AS99" i="84" s="1"/>
  <c r="AC99" i="84"/>
  <c r="Q99" i="84"/>
  <c r="P99" i="84"/>
  <c r="AE99" i="84" s="1"/>
  <c r="AT99" i="84" s="1"/>
  <c r="O99" i="84"/>
  <c r="M99" i="84"/>
  <c r="G99" i="84"/>
  <c r="AQ98" i="84"/>
  <c r="AP98" i="84"/>
  <c r="AO98" i="84"/>
  <c r="AN98" i="84"/>
  <c r="AM98" i="84"/>
  <c r="AL98" i="84"/>
  <c r="AR98" i="84" s="1"/>
  <c r="AJ98" i="84"/>
  <c r="AI98" i="84"/>
  <c r="AX98" i="84" s="1"/>
  <c r="AH98" i="84"/>
  <c r="AG98" i="84"/>
  <c r="AV98" i="84" s="1"/>
  <c r="AE98" i="84"/>
  <c r="AT98" i="84" s="1"/>
  <c r="AC98" i="84"/>
  <c r="Q98" i="84"/>
  <c r="AF98" i="84" s="1"/>
  <c r="P98" i="84"/>
  <c r="O98" i="84"/>
  <c r="AD98" i="84" s="1"/>
  <c r="M98" i="84"/>
  <c r="G98" i="84"/>
  <c r="AQ97" i="84"/>
  <c r="AP97" i="84"/>
  <c r="AO97" i="84"/>
  <c r="AN97" i="84"/>
  <c r="AM97" i="84"/>
  <c r="AL97" i="84"/>
  <c r="AJ97" i="84"/>
  <c r="AI97" i="84"/>
  <c r="AH97" i="84"/>
  <c r="AW97" i="84" s="1"/>
  <c r="AG97" i="84"/>
  <c r="AF97" i="84"/>
  <c r="AU97" i="84" s="1"/>
  <c r="AD97" i="84"/>
  <c r="AS97" i="84" s="1"/>
  <c r="AC97" i="84"/>
  <c r="Q97" i="84"/>
  <c r="P97" i="84"/>
  <c r="AE97" i="84" s="1"/>
  <c r="AT97" i="84" s="1"/>
  <c r="O97" i="84"/>
  <c r="M97" i="84"/>
  <c r="G97" i="84"/>
  <c r="AQ96" i="84"/>
  <c r="AP96" i="84"/>
  <c r="AO96" i="84"/>
  <c r="AN96" i="84"/>
  <c r="AM96" i="84"/>
  <c r="AL96" i="84"/>
  <c r="AJ96" i="84"/>
  <c r="AI96" i="84"/>
  <c r="AH96" i="84"/>
  <c r="AW96" i="84" s="1"/>
  <c r="AG96" i="84"/>
  <c r="AE96" i="84"/>
  <c r="AT96" i="84" s="1"/>
  <c r="AC96" i="84"/>
  <c r="Q96" i="84"/>
  <c r="AF96" i="84" s="1"/>
  <c r="AU96" i="84" s="1"/>
  <c r="P96" i="84"/>
  <c r="O96" i="84"/>
  <c r="AD96" i="84" s="1"/>
  <c r="M96" i="84"/>
  <c r="G96" i="84"/>
  <c r="AQ95" i="84"/>
  <c r="AP95" i="84"/>
  <c r="AO95" i="84"/>
  <c r="AN95" i="84"/>
  <c r="AM95" i="84"/>
  <c r="AL95" i="84"/>
  <c r="AR95" i="84" s="1"/>
  <c r="AJ95" i="84"/>
  <c r="AI95" i="84"/>
  <c r="AX95" i="84" s="1"/>
  <c r="AH95" i="84"/>
  <c r="AG95" i="84"/>
  <c r="AV95" i="84" s="1"/>
  <c r="AF95" i="84"/>
  <c r="AD95" i="84"/>
  <c r="AS95" i="84" s="1"/>
  <c r="AC95" i="84"/>
  <c r="Q95" i="84"/>
  <c r="P95" i="84"/>
  <c r="AE95" i="84" s="1"/>
  <c r="AT95" i="84" s="1"/>
  <c r="O95" i="84"/>
  <c r="M95" i="84"/>
  <c r="G95" i="84"/>
  <c r="AQ94" i="84"/>
  <c r="AP94" i="84"/>
  <c r="AW94" i="84" s="1"/>
  <c r="AO94" i="84"/>
  <c r="AN94" i="84"/>
  <c r="AM94" i="84"/>
  <c r="AL94" i="84"/>
  <c r="AJ94" i="84"/>
  <c r="AI94" i="84"/>
  <c r="AH94" i="84"/>
  <c r="AG94" i="84"/>
  <c r="AE94" i="84"/>
  <c r="AT94" i="84" s="1"/>
  <c r="AC94" i="84"/>
  <c r="Q94" i="84"/>
  <c r="AF94" i="84" s="1"/>
  <c r="AU94" i="84" s="1"/>
  <c r="P94" i="84"/>
  <c r="O94" i="84"/>
  <c r="AD94" i="84" s="1"/>
  <c r="M94" i="84"/>
  <c r="G94" i="84"/>
  <c r="AV93" i="84"/>
  <c r="AQ93" i="84"/>
  <c r="AX93" i="84" s="1"/>
  <c r="AP93" i="84"/>
  <c r="AO93" i="84"/>
  <c r="AN93" i="84"/>
  <c r="AM93" i="84"/>
  <c r="AL93" i="84"/>
  <c r="AR93" i="84" s="1"/>
  <c r="AJ93" i="84"/>
  <c r="AI93" i="84"/>
  <c r="AH93" i="84"/>
  <c r="AG93" i="84"/>
  <c r="AF93" i="84"/>
  <c r="AD93" i="84"/>
  <c r="AS93" i="84" s="1"/>
  <c r="AC93" i="84"/>
  <c r="Q93" i="84"/>
  <c r="P93" i="84"/>
  <c r="AE93" i="84" s="1"/>
  <c r="AT93" i="84" s="1"/>
  <c r="O93" i="84"/>
  <c r="M93" i="84"/>
  <c r="G93" i="84"/>
  <c r="AQ92" i="84"/>
  <c r="AP92" i="84"/>
  <c r="AW92" i="84" s="1"/>
  <c r="AO92" i="84"/>
  <c r="AN92" i="84"/>
  <c r="AM92" i="84"/>
  <c r="AL92" i="84"/>
  <c r="AJ92" i="84"/>
  <c r="AI92" i="84"/>
  <c r="AH92" i="84"/>
  <c r="AG92" i="84"/>
  <c r="AE92" i="84"/>
  <c r="AT92" i="84" s="1"/>
  <c r="AC92" i="84"/>
  <c r="Q92" i="84"/>
  <c r="AF92" i="84" s="1"/>
  <c r="AU92" i="84" s="1"/>
  <c r="P92" i="84"/>
  <c r="O92" i="84"/>
  <c r="AD92" i="84" s="1"/>
  <c r="M92" i="84"/>
  <c r="G92" i="84"/>
  <c r="AV91" i="84"/>
  <c r="AQ91" i="84"/>
  <c r="AX91" i="84" s="1"/>
  <c r="AP91" i="84"/>
  <c r="AO91" i="84"/>
  <c r="AN91" i="84"/>
  <c r="AM91" i="84"/>
  <c r="AL91" i="84"/>
  <c r="AR91" i="84" s="1"/>
  <c r="AJ91" i="84"/>
  <c r="AI91" i="84"/>
  <c r="AH91" i="84"/>
  <c r="AG91" i="84"/>
  <c r="AF91" i="84"/>
  <c r="AD91" i="84"/>
  <c r="AS91" i="84" s="1"/>
  <c r="AC91" i="84"/>
  <c r="Q91" i="84"/>
  <c r="P91" i="84"/>
  <c r="AE91" i="84" s="1"/>
  <c r="AT91" i="84" s="1"/>
  <c r="O91" i="84"/>
  <c r="M91" i="84"/>
  <c r="G91" i="84"/>
  <c r="AQ90" i="84"/>
  <c r="AP90" i="84"/>
  <c r="AW90" i="84" s="1"/>
  <c r="AO90" i="84"/>
  <c r="AN90" i="84"/>
  <c r="AM90" i="84"/>
  <c r="AL90" i="84"/>
  <c r="AJ90" i="84"/>
  <c r="AI90" i="84"/>
  <c r="AX90" i="84" s="1"/>
  <c r="AH90" i="84"/>
  <c r="AG90" i="84"/>
  <c r="AV90" i="84" s="1"/>
  <c r="AE90" i="84"/>
  <c r="AT90" i="84" s="1"/>
  <c r="AC90" i="84"/>
  <c r="Q90" i="84"/>
  <c r="AF90" i="84" s="1"/>
  <c r="AU90" i="84" s="1"/>
  <c r="P90" i="84"/>
  <c r="O90" i="84"/>
  <c r="AD90" i="84" s="1"/>
  <c r="M90" i="84"/>
  <c r="G90" i="84"/>
  <c r="AQ89" i="84"/>
  <c r="AX89" i="84" s="1"/>
  <c r="AP89" i="84"/>
  <c r="AO89" i="84"/>
  <c r="AV89" i="84" s="1"/>
  <c r="AN89" i="84"/>
  <c r="AM89" i="84"/>
  <c r="AL89" i="84"/>
  <c r="AR89" i="84" s="1"/>
  <c r="AJ89" i="84"/>
  <c r="AI89" i="84"/>
  <c r="AH89" i="84"/>
  <c r="AW89" i="84" s="1"/>
  <c r="AG89" i="84"/>
  <c r="AF89" i="84"/>
  <c r="AD89" i="84"/>
  <c r="AS89" i="84" s="1"/>
  <c r="AC89" i="84"/>
  <c r="Q89" i="84"/>
  <c r="P89" i="84"/>
  <c r="AE89" i="84" s="1"/>
  <c r="AT89" i="84" s="1"/>
  <c r="O89" i="84"/>
  <c r="M89" i="84"/>
  <c r="G89" i="84"/>
  <c r="AQ88" i="84"/>
  <c r="AP88" i="84"/>
  <c r="AW88" i="84" s="1"/>
  <c r="AO88" i="84"/>
  <c r="AN88" i="84"/>
  <c r="AM88" i="84"/>
  <c r="AL88" i="84"/>
  <c r="AJ88" i="84"/>
  <c r="AI88" i="84"/>
  <c r="AX88" i="84" s="1"/>
  <c r="AH88" i="84"/>
  <c r="AG88" i="84"/>
  <c r="AV88" i="84" s="1"/>
  <c r="AE88" i="84"/>
  <c r="AT88" i="84" s="1"/>
  <c r="AC88" i="84"/>
  <c r="Q88" i="84"/>
  <c r="AF88" i="84" s="1"/>
  <c r="AU88" i="84" s="1"/>
  <c r="P88" i="84"/>
  <c r="O88" i="84"/>
  <c r="AD88" i="84" s="1"/>
  <c r="M88" i="84"/>
  <c r="G88" i="84"/>
  <c r="AQ87" i="84"/>
  <c r="AX87" i="84" s="1"/>
  <c r="AP87" i="84"/>
  <c r="AO87" i="84"/>
  <c r="AV87" i="84" s="1"/>
  <c r="AN87" i="84"/>
  <c r="AM87" i="84"/>
  <c r="AL87" i="84"/>
  <c r="AR87" i="84" s="1"/>
  <c r="AJ87" i="84"/>
  <c r="AI87" i="84"/>
  <c r="AH87" i="84"/>
  <c r="AW87" i="84" s="1"/>
  <c r="AG87" i="84"/>
  <c r="AF87" i="84"/>
  <c r="AD87" i="84"/>
  <c r="AS87" i="84" s="1"/>
  <c r="AC87" i="84"/>
  <c r="Q87" i="84"/>
  <c r="P87" i="84"/>
  <c r="AE87" i="84" s="1"/>
  <c r="AT87" i="84" s="1"/>
  <c r="O87" i="84"/>
  <c r="M87" i="84"/>
  <c r="G87" i="84"/>
  <c r="AQ86" i="84"/>
  <c r="AP86" i="84"/>
  <c r="AW86" i="84" s="1"/>
  <c r="AO86" i="84"/>
  <c r="AN86" i="84"/>
  <c r="AM86" i="84"/>
  <c r="AL86" i="84"/>
  <c r="AJ86" i="84"/>
  <c r="AI86" i="84"/>
  <c r="AX86" i="84" s="1"/>
  <c r="AH86" i="84"/>
  <c r="AG86" i="84"/>
  <c r="AV86" i="84" s="1"/>
  <c r="AE86" i="84"/>
  <c r="AT86" i="84" s="1"/>
  <c r="AC86" i="84"/>
  <c r="Q86" i="84"/>
  <c r="AF86" i="84" s="1"/>
  <c r="AU86" i="84" s="1"/>
  <c r="P86" i="84"/>
  <c r="O86" i="84"/>
  <c r="AD86" i="84" s="1"/>
  <c r="M86" i="84"/>
  <c r="G86" i="84"/>
  <c r="AQ85" i="84"/>
  <c r="AX85" i="84" s="1"/>
  <c r="AP85" i="84"/>
  <c r="AO85" i="84"/>
  <c r="AV85" i="84" s="1"/>
  <c r="AN85" i="84"/>
  <c r="AM85" i="84"/>
  <c r="AL85" i="84"/>
  <c r="AR85" i="84" s="1"/>
  <c r="AJ85" i="84"/>
  <c r="AI85" i="84"/>
  <c r="AH85" i="84"/>
  <c r="AW85" i="84" s="1"/>
  <c r="AG85" i="84"/>
  <c r="AF85" i="84"/>
  <c r="AD85" i="84"/>
  <c r="AS85" i="84" s="1"/>
  <c r="AC85" i="84"/>
  <c r="Q85" i="84"/>
  <c r="P85" i="84"/>
  <c r="AE85" i="84" s="1"/>
  <c r="AT85" i="84" s="1"/>
  <c r="O85" i="84"/>
  <c r="M85" i="84"/>
  <c r="G85" i="84"/>
  <c r="AQ84" i="84"/>
  <c r="AP84" i="84"/>
  <c r="AW84" i="84" s="1"/>
  <c r="AO84" i="84"/>
  <c r="AN84" i="84"/>
  <c r="AM84" i="84"/>
  <c r="AL84" i="84"/>
  <c r="AJ84" i="84"/>
  <c r="AI84" i="84"/>
  <c r="AX84" i="84" s="1"/>
  <c r="AH84" i="84"/>
  <c r="AG84" i="84"/>
  <c r="AV84" i="84" s="1"/>
  <c r="AE84" i="84"/>
  <c r="AT84" i="84" s="1"/>
  <c r="AC84" i="84"/>
  <c r="Q84" i="84"/>
  <c r="AF84" i="84" s="1"/>
  <c r="AU84" i="84" s="1"/>
  <c r="P84" i="84"/>
  <c r="O84" i="84"/>
  <c r="AD84" i="84" s="1"/>
  <c r="M84" i="84"/>
  <c r="G84" i="84"/>
  <c r="AQ83" i="84"/>
  <c r="AP83" i="84"/>
  <c r="AO83" i="84"/>
  <c r="AN83" i="84"/>
  <c r="AM83" i="84"/>
  <c r="AL83" i="84"/>
  <c r="AR83" i="84" s="1"/>
  <c r="AJ83" i="84"/>
  <c r="AI83" i="84"/>
  <c r="AX83" i="84" s="1"/>
  <c r="AH83" i="84"/>
  <c r="AW83" i="84" s="1"/>
  <c r="AG83" i="84"/>
  <c r="AV83" i="84" s="1"/>
  <c r="AF83" i="84"/>
  <c r="AD83" i="84"/>
  <c r="AS83" i="84" s="1"/>
  <c r="AC83" i="84"/>
  <c r="Q83" i="84"/>
  <c r="P83" i="84"/>
  <c r="AE83" i="84" s="1"/>
  <c r="AT83" i="84" s="1"/>
  <c r="O83" i="84"/>
  <c r="M83" i="84"/>
  <c r="G83" i="84"/>
  <c r="AQ82" i="84"/>
  <c r="AP82" i="84"/>
  <c r="AO82" i="84"/>
  <c r="AN82" i="84"/>
  <c r="AM82" i="84"/>
  <c r="AL82" i="84"/>
  <c r="AR82" i="84" s="1"/>
  <c r="AJ82" i="84"/>
  <c r="AI82" i="84"/>
  <c r="AX82" i="84" s="1"/>
  <c r="AH82" i="84"/>
  <c r="AG82" i="84"/>
  <c r="AV82" i="84" s="1"/>
  <c r="AE82" i="84"/>
  <c r="AT82" i="84" s="1"/>
  <c r="AC82" i="84"/>
  <c r="Q82" i="84"/>
  <c r="AF82" i="84" s="1"/>
  <c r="P82" i="84"/>
  <c r="O82" i="84"/>
  <c r="AD82" i="84" s="1"/>
  <c r="M82" i="84"/>
  <c r="G82" i="84"/>
  <c r="AQ81" i="84"/>
  <c r="AP81" i="84"/>
  <c r="AO81" i="84"/>
  <c r="AN81" i="84"/>
  <c r="AM81" i="84"/>
  <c r="AL81" i="84"/>
  <c r="AJ81" i="84"/>
  <c r="AI81" i="84"/>
  <c r="AX81" i="84" s="1"/>
  <c r="AH81" i="84"/>
  <c r="AW81" i="84" s="1"/>
  <c r="AG81" i="84"/>
  <c r="AF81" i="84"/>
  <c r="AU81" i="84" s="1"/>
  <c r="AD81" i="84"/>
  <c r="AS81" i="84" s="1"/>
  <c r="AC81" i="84"/>
  <c r="Q81" i="84"/>
  <c r="P81" i="84"/>
  <c r="AE81" i="84" s="1"/>
  <c r="AT81" i="84" s="1"/>
  <c r="O81" i="84"/>
  <c r="M81" i="84"/>
  <c r="G81" i="84"/>
  <c r="AQ80" i="84"/>
  <c r="AP80" i="84"/>
  <c r="AO80" i="84"/>
  <c r="AN80" i="84"/>
  <c r="AM80" i="84"/>
  <c r="AL80" i="84"/>
  <c r="AJ80" i="84"/>
  <c r="AI80" i="84"/>
  <c r="AX80" i="84" s="1"/>
  <c r="AH80" i="84"/>
  <c r="AW80" i="84" s="1"/>
  <c r="AG80" i="84"/>
  <c r="AV80" i="84" s="1"/>
  <c r="AE80" i="84"/>
  <c r="AT80" i="84" s="1"/>
  <c r="AC80" i="84"/>
  <c r="Q80" i="84"/>
  <c r="AF80" i="84" s="1"/>
  <c r="AU80" i="84" s="1"/>
  <c r="P80" i="84"/>
  <c r="O80" i="84"/>
  <c r="AD80" i="84" s="1"/>
  <c r="M80" i="84"/>
  <c r="G80" i="84"/>
  <c r="AQ79" i="84"/>
  <c r="AP79" i="84"/>
  <c r="AO79" i="84"/>
  <c r="AN79" i="84"/>
  <c r="AM79" i="84"/>
  <c r="AL79" i="84"/>
  <c r="AR79" i="84" s="1"/>
  <c r="AJ79" i="84"/>
  <c r="AI79" i="84"/>
  <c r="AX79" i="84" s="1"/>
  <c r="AH79" i="84"/>
  <c r="AG79" i="84"/>
  <c r="AV79" i="84" s="1"/>
  <c r="AF79" i="84"/>
  <c r="AD79" i="84"/>
  <c r="AS79" i="84" s="1"/>
  <c r="AC79" i="84"/>
  <c r="Q79" i="84"/>
  <c r="P79" i="84"/>
  <c r="AE79" i="84" s="1"/>
  <c r="AT79" i="84" s="1"/>
  <c r="O79" i="84"/>
  <c r="M79" i="84"/>
  <c r="G79" i="84"/>
  <c r="AQ78" i="84"/>
  <c r="AP78" i="84"/>
  <c r="AO78" i="84"/>
  <c r="AN78" i="84"/>
  <c r="AM78" i="84"/>
  <c r="AL78" i="84"/>
  <c r="AR78" i="84" s="1"/>
  <c r="AJ78" i="84"/>
  <c r="AI78" i="84"/>
  <c r="AX78" i="84" s="1"/>
  <c r="AH78" i="84"/>
  <c r="AG78" i="84"/>
  <c r="AV78" i="84" s="1"/>
  <c r="AE78" i="84"/>
  <c r="AT78" i="84" s="1"/>
  <c r="AC78" i="84"/>
  <c r="Q78" i="84"/>
  <c r="AF78" i="84" s="1"/>
  <c r="P78" i="84"/>
  <c r="O78" i="84"/>
  <c r="AD78" i="84" s="1"/>
  <c r="M78" i="84"/>
  <c r="G78" i="84"/>
  <c r="AQ77" i="84"/>
  <c r="AP77" i="84"/>
  <c r="AO77" i="84"/>
  <c r="AN77" i="84"/>
  <c r="AM77" i="84"/>
  <c r="AL77" i="84"/>
  <c r="AJ77" i="84"/>
  <c r="AI77" i="84"/>
  <c r="AH77" i="84"/>
  <c r="AW77" i="84" s="1"/>
  <c r="AG77" i="84"/>
  <c r="AF77" i="84"/>
  <c r="AU77" i="84" s="1"/>
  <c r="AD77" i="84"/>
  <c r="AS77" i="84" s="1"/>
  <c r="AC77" i="84"/>
  <c r="Q77" i="84"/>
  <c r="P77" i="84"/>
  <c r="AE77" i="84" s="1"/>
  <c r="AT77" i="84" s="1"/>
  <c r="O77" i="84"/>
  <c r="M77" i="84"/>
  <c r="G77" i="84"/>
  <c r="AQ76" i="84"/>
  <c r="AP76" i="84"/>
  <c r="AW76" i="84" s="1"/>
  <c r="AO76" i="84"/>
  <c r="AN76" i="84"/>
  <c r="AM76" i="84"/>
  <c r="AL76" i="84"/>
  <c r="AR76" i="84" s="1"/>
  <c r="AJ76" i="84"/>
  <c r="AI76" i="84"/>
  <c r="AX76" i="84" s="1"/>
  <c r="AH76" i="84"/>
  <c r="AG76" i="84"/>
  <c r="AV76" i="84" s="1"/>
  <c r="AE76" i="84"/>
  <c r="AT76" i="84" s="1"/>
  <c r="AC76" i="84"/>
  <c r="Q76" i="84"/>
  <c r="AF76" i="84" s="1"/>
  <c r="P76" i="84"/>
  <c r="O76" i="84"/>
  <c r="AD76" i="84" s="1"/>
  <c r="M76" i="84"/>
  <c r="G76" i="84"/>
  <c r="AQ75" i="84"/>
  <c r="AX75" i="84" s="1"/>
  <c r="AP75" i="84"/>
  <c r="AO75" i="84"/>
  <c r="AV75" i="84" s="1"/>
  <c r="AN75" i="84"/>
  <c r="AM75" i="84"/>
  <c r="AL75" i="84"/>
  <c r="AJ75" i="84"/>
  <c r="AI75" i="84"/>
  <c r="AH75" i="84"/>
  <c r="AW75" i="84" s="1"/>
  <c r="AG75" i="84"/>
  <c r="AF75" i="84"/>
  <c r="AU75" i="84" s="1"/>
  <c r="AD75" i="84"/>
  <c r="AS75" i="84" s="1"/>
  <c r="AC75" i="84"/>
  <c r="Q75" i="84"/>
  <c r="P75" i="84"/>
  <c r="AE75" i="84" s="1"/>
  <c r="AT75" i="84" s="1"/>
  <c r="O75" i="84"/>
  <c r="M75" i="84"/>
  <c r="G75" i="84"/>
  <c r="AQ74" i="84"/>
  <c r="AP74" i="84"/>
  <c r="AW74" i="84" s="1"/>
  <c r="AO74" i="84"/>
  <c r="AN74" i="84"/>
  <c r="AM74" i="84"/>
  <c r="AL74" i="84"/>
  <c r="AR74" i="84" s="1"/>
  <c r="AJ74" i="84"/>
  <c r="AI74" i="84"/>
  <c r="AX74" i="84" s="1"/>
  <c r="AH74" i="84"/>
  <c r="AG74" i="84"/>
  <c r="AV74" i="84" s="1"/>
  <c r="AE74" i="84"/>
  <c r="AT74" i="84" s="1"/>
  <c r="AC74" i="84"/>
  <c r="Q74" i="84"/>
  <c r="AF74" i="84" s="1"/>
  <c r="P74" i="84"/>
  <c r="O74" i="84"/>
  <c r="AD74" i="84" s="1"/>
  <c r="M74" i="84"/>
  <c r="G74" i="84"/>
  <c r="AQ73" i="84"/>
  <c r="AX73" i="84" s="1"/>
  <c r="AP73" i="84"/>
  <c r="AO73" i="84"/>
  <c r="AV73" i="84" s="1"/>
  <c r="AN73" i="84"/>
  <c r="AM73" i="84"/>
  <c r="AL73" i="84"/>
  <c r="AJ73" i="84"/>
  <c r="AI73" i="84"/>
  <c r="AH73" i="84"/>
  <c r="AW73" i="84" s="1"/>
  <c r="AG73" i="84"/>
  <c r="AF73" i="84"/>
  <c r="AU73" i="84" s="1"/>
  <c r="AD73" i="84"/>
  <c r="AS73" i="84" s="1"/>
  <c r="AC73" i="84"/>
  <c r="Q73" i="84"/>
  <c r="P73" i="84"/>
  <c r="AE73" i="84" s="1"/>
  <c r="AT73" i="84" s="1"/>
  <c r="O73" i="84"/>
  <c r="M73" i="84"/>
  <c r="G73" i="84"/>
  <c r="AQ72" i="84"/>
  <c r="AP72" i="84"/>
  <c r="AW72" i="84" s="1"/>
  <c r="AO72" i="84"/>
  <c r="AN72" i="84"/>
  <c r="AM72" i="84"/>
  <c r="AL72" i="84"/>
  <c r="AR72" i="84" s="1"/>
  <c r="AJ72" i="84"/>
  <c r="AI72" i="84"/>
  <c r="AX72" i="84" s="1"/>
  <c r="AH72" i="84"/>
  <c r="AG72" i="84"/>
  <c r="AV72" i="84" s="1"/>
  <c r="AE72" i="84"/>
  <c r="AT72" i="84" s="1"/>
  <c r="AC72" i="84"/>
  <c r="Q72" i="84"/>
  <c r="AF72" i="84" s="1"/>
  <c r="P72" i="84"/>
  <c r="O72" i="84"/>
  <c r="AD72" i="84" s="1"/>
  <c r="M72" i="84"/>
  <c r="G72" i="84"/>
  <c r="AQ71" i="84"/>
  <c r="AX71" i="84" s="1"/>
  <c r="AP71" i="84"/>
  <c r="AO71" i="84"/>
  <c r="AV71" i="84" s="1"/>
  <c r="AN71" i="84"/>
  <c r="AM71" i="84"/>
  <c r="AL71" i="84"/>
  <c r="AJ71" i="84"/>
  <c r="AI71" i="84"/>
  <c r="AH71" i="84"/>
  <c r="AG71" i="84"/>
  <c r="AF71" i="84"/>
  <c r="AD71" i="84"/>
  <c r="AC71" i="84"/>
  <c r="Q71" i="84"/>
  <c r="P71" i="84"/>
  <c r="AE71" i="84" s="1"/>
  <c r="AT71" i="84" s="1"/>
  <c r="O71" i="84"/>
  <c r="M71" i="84"/>
  <c r="G71" i="84"/>
  <c r="AQ70" i="84"/>
  <c r="AP70" i="84"/>
  <c r="AO70" i="84"/>
  <c r="AN70" i="84"/>
  <c r="AM70" i="84"/>
  <c r="AL70" i="84"/>
  <c r="AJ70" i="84"/>
  <c r="AI70" i="84"/>
  <c r="AH70" i="84"/>
  <c r="AW70" i="84" s="1"/>
  <c r="AG70" i="84"/>
  <c r="AF70" i="84"/>
  <c r="AU70" i="84" s="1"/>
  <c r="AD70" i="84"/>
  <c r="AS70" i="84" s="1"/>
  <c r="AC70" i="84"/>
  <c r="Q70" i="84"/>
  <c r="P70" i="84"/>
  <c r="V70" i="84" s="1"/>
  <c r="O70" i="84"/>
  <c r="M70" i="84"/>
  <c r="G70" i="84"/>
  <c r="AQ69" i="84"/>
  <c r="AP69" i="84"/>
  <c r="AW69" i="84" s="1"/>
  <c r="AO69" i="84"/>
  <c r="AN69" i="84"/>
  <c r="AM69" i="84"/>
  <c r="AL69" i="84"/>
  <c r="AR69" i="84" s="1"/>
  <c r="AJ69" i="84"/>
  <c r="AI69" i="84"/>
  <c r="AX69" i="84" s="1"/>
  <c r="AH69" i="84"/>
  <c r="AG69" i="84"/>
  <c r="AV69" i="84" s="1"/>
  <c r="AE69" i="84"/>
  <c r="AT69" i="84" s="1"/>
  <c r="AC69" i="84"/>
  <c r="Q69" i="84"/>
  <c r="AF69" i="84" s="1"/>
  <c r="P69" i="84"/>
  <c r="O69" i="84"/>
  <c r="AD69" i="84" s="1"/>
  <c r="M69" i="84"/>
  <c r="G69" i="84"/>
  <c r="AQ68" i="84"/>
  <c r="AX68" i="84" s="1"/>
  <c r="AP68" i="84"/>
  <c r="AO68" i="84"/>
  <c r="AV68" i="84" s="1"/>
  <c r="AN68" i="84"/>
  <c r="AM68" i="84"/>
  <c r="AL68" i="84"/>
  <c r="AJ68" i="84"/>
  <c r="AI68" i="84"/>
  <c r="AH68" i="84"/>
  <c r="AW68" i="84" s="1"/>
  <c r="AG68" i="84"/>
  <c r="AF68" i="84"/>
  <c r="AU68" i="84" s="1"/>
  <c r="AD68" i="84"/>
  <c r="AS68" i="84" s="1"/>
  <c r="AC68" i="84"/>
  <c r="Q68" i="84"/>
  <c r="P68" i="84"/>
  <c r="V68" i="84" s="1"/>
  <c r="O68" i="84"/>
  <c r="M68" i="84"/>
  <c r="G68" i="84"/>
  <c r="AQ67" i="84"/>
  <c r="AP67" i="84"/>
  <c r="AW67" i="84" s="1"/>
  <c r="AO67" i="84"/>
  <c r="AN67" i="84"/>
  <c r="AM67" i="84"/>
  <c r="AL67" i="84"/>
  <c r="AR67" i="84" s="1"/>
  <c r="AJ67" i="84"/>
  <c r="AI67" i="84"/>
  <c r="AX67" i="84" s="1"/>
  <c r="AH67" i="84"/>
  <c r="AG67" i="84"/>
  <c r="AV67" i="84" s="1"/>
  <c r="AE67" i="84"/>
  <c r="AT67" i="84" s="1"/>
  <c r="AC67" i="84"/>
  <c r="Q67" i="84"/>
  <c r="AF67" i="84" s="1"/>
  <c r="P67" i="84"/>
  <c r="O67" i="84"/>
  <c r="AD67" i="84" s="1"/>
  <c r="M67" i="84"/>
  <c r="G67" i="84"/>
  <c r="AQ66" i="84"/>
  <c r="AX66" i="84" s="1"/>
  <c r="AP66" i="84"/>
  <c r="AO66" i="84"/>
  <c r="AV66" i="84" s="1"/>
  <c r="AN66" i="84"/>
  <c r="AM66" i="84"/>
  <c r="AL66" i="84"/>
  <c r="AJ66" i="84"/>
  <c r="AI66" i="84"/>
  <c r="AH66" i="84"/>
  <c r="AW66" i="84" s="1"/>
  <c r="AG66" i="84"/>
  <c r="AF66" i="84"/>
  <c r="AU66" i="84" s="1"/>
  <c r="AD66" i="84"/>
  <c r="AS66" i="84" s="1"/>
  <c r="AC66" i="84"/>
  <c r="Q66" i="84"/>
  <c r="P66" i="84"/>
  <c r="V66" i="84" s="1"/>
  <c r="O66" i="84"/>
  <c r="M66" i="84"/>
  <c r="G66" i="84"/>
  <c r="AQ65" i="84"/>
  <c r="AP65" i="84"/>
  <c r="AO65" i="84"/>
  <c r="AN65" i="84"/>
  <c r="AM65" i="84"/>
  <c r="AL65" i="84"/>
  <c r="AJ65" i="84"/>
  <c r="AI65" i="84"/>
  <c r="AX65" i="84" s="1"/>
  <c r="AH65" i="84"/>
  <c r="AW65" i="84" s="1"/>
  <c r="AG65" i="84"/>
  <c r="AV65" i="84" s="1"/>
  <c r="AE65" i="84"/>
  <c r="AT65" i="84" s="1"/>
  <c r="AC65" i="84"/>
  <c r="Q65" i="84"/>
  <c r="AF65" i="84" s="1"/>
  <c r="AU65" i="84" s="1"/>
  <c r="P65" i="84"/>
  <c r="O65" i="84"/>
  <c r="AD65" i="84" s="1"/>
  <c r="M65" i="84"/>
  <c r="G65" i="84"/>
  <c r="AQ64" i="84"/>
  <c r="AP64" i="84"/>
  <c r="AO64" i="84"/>
  <c r="AN64" i="84"/>
  <c r="AM64" i="84"/>
  <c r="AL64" i="84"/>
  <c r="AR64" i="84" s="1"/>
  <c r="AJ64" i="84"/>
  <c r="AI64" i="84"/>
  <c r="AX64" i="84" s="1"/>
  <c r="AH64" i="84"/>
  <c r="AW64" i="84" s="1"/>
  <c r="AG64" i="84"/>
  <c r="AV64" i="84" s="1"/>
  <c r="AF64" i="84"/>
  <c r="AD64" i="84"/>
  <c r="AS64" i="84" s="1"/>
  <c r="AC64" i="84"/>
  <c r="Q64" i="84"/>
  <c r="P64" i="84"/>
  <c r="V64" i="84" s="1"/>
  <c r="O64" i="84"/>
  <c r="M64" i="84"/>
  <c r="G64" i="84"/>
  <c r="AQ63" i="84"/>
  <c r="AP63" i="84"/>
  <c r="AO63" i="84"/>
  <c r="AN63" i="84"/>
  <c r="AM63" i="84"/>
  <c r="AL63" i="84"/>
  <c r="AR63" i="84" s="1"/>
  <c r="AJ63" i="84"/>
  <c r="AI63" i="84"/>
  <c r="AX63" i="84" s="1"/>
  <c r="AH63" i="84"/>
  <c r="AG63" i="84"/>
  <c r="AV63" i="84" s="1"/>
  <c r="AE63" i="84"/>
  <c r="AT63" i="84" s="1"/>
  <c r="AC63" i="84"/>
  <c r="Q63" i="84"/>
  <c r="AF63" i="84" s="1"/>
  <c r="P63" i="84"/>
  <c r="O63" i="84"/>
  <c r="AD63" i="84" s="1"/>
  <c r="M63" i="84"/>
  <c r="G63" i="84"/>
  <c r="AQ62" i="84"/>
  <c r="AP62" i="84"/>
  <c r="AO62" i="84"/>
  <c r="AN62" i="84"/>
  <c r="AM62" i="84"/>
  <c r="AL62" i="84"/>
  <c r="AJ62" i="84"/>
  <c r="AI62" i="84"/>
  <c r="AX62" i="84" s="1"/>
  <c r="AH62" i="84"/>
  <c r="AW62" i="84" s="1"/>
  <c r="AG62" i="84"/>
  <c r="AF62" i="84"/>
  <c r="AU62" i="84" s="1"/>
  <c r="AD62" i="84"/>
  <c r="AS62" i="84" s="1"/>
  <c r="AC62" i="84"/>
  <c r="Q62" i="84"/>
  <c r="P62" i="84"/>
  <c r="V62" i="84" s="1"/>
  <c r="O62" i="84"/>
  <c r="M62" i="84"/>
  <c r="G62" i="84"/>
  <c r="AQ61" i="84"/>
  <c r="AP61" i="84"/>
  <c r="AO61" i="84"/>
  <c r="AN61" i="84"/>
  <c r="AM61" i="84"/>
  <c r="AL61" i="84"/>
  <c r="AR61" i="84" s="1"/>
  <c r="AJ61" i="84"/>
  <c r="AI61" i="84"/>
  <c r="AX61" i="84" s="1"/>
  <c r="AH61" i="84"/>
  <c r="AW61" i="84" s="1"/>
  <c r="AG61" i="84"/>
  <c r="AV61" i="84" s="1"/>
  <c r="AE61" i="84"/>
  <c r="AT61" i="84" s="1"/>
  <c r="AC61" i="84"/>
  <c r="Q61" i="84"/>
  <c r="AF61" i="84" s="1"/>
  <c r="AU61" i="84" s="1"/>
  <c r="P61" i="84"/>
  <c r="O61" i="84"/>
  <c r="AD61" i="84" s="1"/>
  <c r="M61" i="84"/>
  <c r="G61" i="84"/>
  <c r="AQ60" i="84"/>
  <c r="AP60" i="84"/>
  <c r="AO60" i="84"/>
  <c r="AN60" i="84"/>
  <c r="AM60" i="84"/>
  <c r="AL60" i="84"/>
  <c r="AR60" i="84" s="1"/>
  <c r="AJ60" i="84"/>
  <c r="AI60" i="84"/>
  <c r="AX60" i="84" s="1"/>
  <c r="AH60" i="84"/>
  <c r="AW60" i="84" s="1"/>
  <c r="AG60" i="84"/>
  <c r="AV60" i="84" s="1"/>
  <c r="AE60" i="84"/>
  <c r="AT60" i="84" s="1"/>
  <c r="AC60" i="84"/>
  <c r="Q60" i="84"/>
  <c r="AF60" i="84" s="1"/>
  <c r="P60" i="84"/>
  <c r="O60" i="84"/>
  <c r="AD60" i="84" s="1"/>
  <c r="M60" i="84"/>
  <c r="G60" i="84"/>
  <c r="AQ59" i="84"/>
  <c r="AP59" i="84"/>
  <c r="AO59" i="84"/>
  <c r="AN59" i="84"/>
  <c r="AM59" i="84"/>
  <c r="AL59" i="84"/>
  <c r="AR59" i="84" s="1"/>
  <c r="AJ59" i="84"/>
  <c r="AI59" i="84"/>
  <c r="AX59" i="84" s="1"/>
  <c r="AH59" i="84"/>
  <c r="AW59" i="84" s="1"/>
  <c r="AG59" i="84"/>
  <c r="AV59" i="84" s="1"/>
  <c r="AF59" i="84"/>
  <c r="AU59" i="84" s="1"/>
  <c r="AD59" i="84"/>
  <c r="AS59" i="84" s="1"/>
  <c r="AC59" i="84"/>
  <c r="Q59" i="84"/>
  <c r="P59" i="84"/>
  <c r="AE59" i="84" s="1"/>
  <c r="AT59" i="84" s="1"/>
  <c r="O59" i="84"/>
  <c r="M59" i="84"/>
  <c r="G59" i="84"/>
  <c r="AQ58" i="84"/>
  <c r="AP58" i="84"/>
  <c r="AW58" i="84" s="1"/>
  <c r="AO58" i="84"/>
  <c r="AN58" i="84"/>
  <c r="AM58" i="84"/>
  <c r="AL58" i="84"/>
  <c r="AR58" i="84" s="1"/>
  <c r="AJ58" i="84"/>
  <c r="AI58" i="84"/>
  <c r="AX58" i="84" s="1"/>
  <c r="AH58" i="84"/>
  <c r="AG58" i="84"/>
  <c r="AV58" i="84" s="1"/>
  <c r="AE58" i="84"/>
  <c r="AT58" i="84" s="1"/>
  <c r="AC58" i="84"/>
  <c r="Q58" i="84"/>
  <c r="AF58" i="84" s="1"/>
  <c r="P58" i="84"/>
  <c r="O58" i="84"/>
  <c r="AD58" i="84" s="1"/>
  <c r="M58" i="84"/>
  <c r="G58" i="84"/>
  <c r="AQ57" i="84"/>
  <c r="AX57" i="84" s="1"/>
  <c r="AP57" i="84"/>
  <c r="AO57" i="84"/>
  <c r="AV57" i="84" s="1"/>
  <c r="AN57" i="84"/>
  <c r="AM57" i="84"/>
  <c r="AL57" i="84"/>
  <c r="AR57" i="84" s="1"/>
  <c r="AJ57" i="84"/>
  <c r="AI57" i="84"/>
  <c r="AH57" i="84"/>
  <c r="AW57" i="84" s="1"/>
  <c r="AG57" i="84"/>
  <c r="AF57" i="84"/>
  <c r="AU57" i="84" s="1"/>
  <c r="AD57" i="84"/>
  <c r="AS57" i="84" s="1"/>
  <c r="AC57" i="84"/>
  <c r="Q57" i="84"/>
  <c r="P57" i="84"/>
  <c r="AE57" i="84" s="1"/>
  <c r="AT57" i="84" s="1"/>
  <c r="O57" i="84"/>
  <c r="M57" i="84"/>
  <c r="G57" i="84"/>
  <c r="AQ56" i="84"/>
  <c r="AP56" i="84"/>
  <c r="AW56" i="84" s="1"/>
  <c r="AO56" i="84"/>
  <c r="AN56" i="84"/>
  <c r="AM56" i="84"/>
  <c r="AL56" i="84"/>
  <c r="AR56" i="84" s="1"/>
  <c r="AJ56" i="84"/>
  <c r="AI56" i="84"/>
  <c r="AX56" i="84" s="1"/>
  <c r="AH56" i="84"/>
  <c r="AG56" i="84"/>
  <c r="AV56" i="84" s="1"/>
  <c r="AE56" i="84"/>
  <c r="AT56" i="84" s="1"/>
  <c r="AC56" i="84"/>
  <c r="Q56" i="84"/>
  <c r="AF56" i="84" s="1"/>
  <c r="P56" i="84"/>
  <c r="O56" i="84"/>
  <c r="AD56" i="84" s="1"/>
  <c r="M56" i="84"/>
  <c r="G56" i="84"/>
  <c r="AQ55" i="84"/>
  <c r="AX55" i="84" s="1"/>
  <c r="AP55" i="84"/>
  <c r="AO55" i="84"/>
  <c r="AV55" i="84" s="1"/>
  <c r="AN55" i="84"/>
  <c r="AM55" i="84"/>
  <c r="AL55" i="84"/>
  <c r="AJ55" i="84"/>
  <c r="AI55" i="84"/>
  <c r="AH55" i="84"/>
  <c r="AW55" i="84" s="1"/>
  <c r="AG55" i="84"/>
  <c r="AF55" i="84"/>
  <c r="AU55" i="84" s="1"/>
  <c r="AD55" i="84"/>
  <c r="AS55" i="84" s="1"/>
  <c r="AC55" i="84"/>
  <c r="Q55" i="84"/>
  <c r="P55" i="84"/>
  <c r="AE55" i="84" s="1"/>
  <c r="AT55" i="84" s="1"/>
  <c r="O55" i="84"/>
  <c r="M55" i="84"/>
  <c r="G55" i="84"/>
  <c r="AQ54" i="84"/>
  <c r="AP54" i="84"/>
  <c r="AW54" i="84" s="1"/>
  <c r="AO54" i="84"/>
  <c r="AN54" i="84"/>
  <c r="AM54" i="84"/>
  <c r="AL54" i="84"/>
  <c r="AR54" i="84" s="1"/>
  <c r="AJ54" i="84"/>
  <c r="AI54" i="84"/>
  <c r="AX54" i="84" s="1"/>
  <c r="AH54" i="84"/>
  <c r="AG54" i="84"/>
  <c r="AV54" i="84" s="1"/>
  <c r="AE54" i="84"/>
  <c r="AT54" i="84" s="1"/>
  <c r="AC54" i="84"/>
  <c r="Q54" i="84"/>
  <c r="AF54" i="84" s="1"/>
  <c r="P54" i="84"/>
  <c r="O54" i="84"/>
  <c r="AD54" i="84" s="1"/>
  <c r="M54" i="84"/>
  <c r="G54" i="84"/>
  <c r="AQ53" i="84"/>
  <c r="AX53" i="84" s="1"/>
  <c r="AP53" i="84"/>
  <c r="AO53" i="84"/>
  <c r="AV53" i="84" s="1"/>
  <c r="AN53" i="84"/>
  <c r="AM53" i="84"/>
  <c r="AL53" i="84"/>
  <c r="AJ53" i="84"/>
  <c r="AI53" i="84"/>
  <c r="AH53" i="84"/>
  <c r="AW53" i="84" s="1"/>
  <c r="AG53" i="84"/>
  <c r="AF53" i="84"/>
  <c r="AU53" i="84" s="1"/>
  <c r="AD53" i="84"/>
  <c r="AS53" i="84" s="1"/>
  <c r="AC53" i="84"/>
  <c r="Q53" i="84"/>
  <c r="P53" i="84"/>
  <c r="AE53" i="84" s="1"/>
  <c r="AT53" i="84" s="1"/>
  <c r="O53" i="84"/>
  <c r="M53" i="84"/>
  <c r="G53" i="84"/>
  <c r="AQ52" i="84"/>
  <c r="AP52" i="84"/>
  <c r="AO52" i="84"/>
  <c r="AN52" i="84"/>
  <c r="AM52" i="84"/>
  <c r="AL52" i="84"/>
  <c r="AR52" i="84" s="1"/>
  <c r="AJ52" i="84"/>
  <c r="AI52" i="84"/>
  <c r="AX52" i="84" s="1"/>
  <c r="AH52" i="84"/>
  <c r="AW52" i="84" s="1"/>
  <c r="AG52" i="84"/>
  <c r="AV52" i="84" s="1"/>
  <c r="AE52" i="84"/>
  <c r="AT52" i="84" s="1"/>
  <c r="AC52" i="84"/>
  <c r="Q52" i="84"/>
  <c r="AF52" i="84" s="1"/>
  <c r="AU52" i="84" s="1"/>
  <c r="P52" i="84"/>
  <c r="O52" i="84"/>
  <c r="AD52" i="84" s="1"/>
  <c r="M52" i="84"/>
  <c r="G52" i="84"/>
  <c r="AQ51" i="84"/>
  <c r="AP51" i="84"/>
  <c r="AO51" i="84"/>
  <c r="AN51" i="84"/>
  <c r="AM51" i="84"/>
  <c r="AL51" i="84"/>
  <c r="AR51" i="84" s="1"/>
  <c r="AJ51" i="84"/>
  <c r="AI51" i="84"/>
  <c r="AX51" i="84" s="1"/>
  <c r="AH51" i="84"/>
  <c r="AW51" i="84" s="1"/>
  <c r="AG51" i="84"/>
  <c r="AV51" i="84" s="1"/>
  <c r="AF51" i="84"/>
  <c r="AD51" i="84"/>
  <c r="AS51" i="84" s="1"/>
  <c r="AC51" i="84"/>
  <c r="Q51" i="84"/>
  <c r="P51" i="84"/>
  <c r="AE51" i="84" s="1"/>
  <c r="AT51" i="84" s="1"/>
  <c r="O51" i="84"/>
  <c r="M51" i="84"/>
  <c r="G51" i="84"/>
  <c r="AQ50" i="84"/>
  <c r="AP50" i="84"/>
  <c r="AO50" i="84"/>
  <c r="AN50" i="84"/>
  <c r="AM50" i="84"/>
  <c r="AL50" i="84"/>
  <c r="AR50" i="84" s="1"/>
  <c r="AJ50" i="84"/>
  <c r="AI50" i="84"/>
  <c r="AX50" i="84" s="1"/>
  <c r="AH50" i="84"/>
  <c r="AG50" i="84"/>
  <c r="AV50" i="84" s="1"/>
  <c r="AE50" i="84"/>
  <c r="AT50" i="84" s="1"/>
  <c r="AC50" i="84"/>
  <c r="Q50" i="84"/>
  <c r="AF50" i="84" s="1"/>
  <c r="P50" i="84"/>
  <c r="O50" i="84"/>
  <c r="AD50" i="84" s="1"/>
  <c r="M50" i="84"/>
  <c r="G50" i="84"/>
  <c r="AQ49" i="84"/>
  <c r="AP49" i="84"/>
  <c r="AO49" i="84"/>
  <c r="AN49" i="84"/>
  <c r="AM49" i="84"/>
  <c r="AL49" i="84"/>
  <c r="AJ49" i="84"/>
  <c r="AI49" i="84"/>
  <c r="AX49" i="84" s="1"/>
  <c r="AH49" i="84"/>
  <c r="AW49" i="84" s="1"/>
  <c r="AG49" i="84"/>
  <c r="AF49" i="84"/>
  <c r="AU49" i="84" s="1"/>
  <c r="AD49" i="84"/>
  <c r="AS49" i="84" s="1"/>
  <c r="AC49" i="84"/>
  <c r="Q49" i="84"/>
  <c r="P49" i="84"/>
  <c r="AE49" i="84" s="1"/>
  <c r="AT49" i="84" s="1"/>
  <c r="O49" i="84"/>
  <c r="M49" i="84"/>
  <c r="G49" i="84"/>
  <c r="AQ48" i="84"/>
  <c r="AP48" i="84"/>
  <c r="AO48" i="84"/>
  <c r="AN48" i="84"/>
  <c r="AM48" i="84"/>
  <c r="AL48" i="84"/>
  <c r="AJ48" i="84"/>
  <c r="AI48" i="84"/>
  <c r="AX48" i="84" s="1"/>
  <c r="AH48" i="84"/>
  <c r="AW48" i="84" s="1"/>
  <c r="AG48" i="84"/>
  <c r="AV48" i="84" s="1"/>
  <c r="AE48" i="84"/>
  <c r="AT48" i="84" s="1"/>
  <c r="AC48" i="84"/>
  <c r="Q48" i="84"/>
  <c r="AF48" i="84" s="1"/>
  <c r="AU48" i="84" s="1"/>
  <c r="P48" i="84"/>
  <c r="O48" i="84"/>
  <c r="AD48" i="84" s="1"/>
  <c r="M48" i="84"/>
  <c r="G48" i="84"/>
  <c r="AQ47" i="84"/>
  <c r="AP47" i="84"/>
  <c r="AO47" i="84"/>
  <c r="AN47" i="84"/>
  <c r="AM47" i="84"/>
  <c r="AL47" i="84"/>
  <c r="AR47" i="84" s="1"/>
  <c r="AJ47" i="84"/>
  <c r="AI47" i="84"/>
  <c r="AX47" i="84" s="1"/>
  <c r="AH47" i="84"/>
  <c r="AW47" i="84" s="1"/>
  <c r="AG47" i="84"/>
  <c r="AV47" i="84" s="1"/>
  <c r="AF47" i="84"/>
  <c r="AD47" i="84"/>
  <c r="AS47" i="84" s="1"/>
  <c r="AC47" i="84"/>
  <c r="Q47" i="84"/>
  <c r="P47" i="84"/>
  <c r="AE47" i="84" s="1"/>
  <c r="AT47" i="84" s="1"/>
  <c r="O47" i="84"/>
  <c r="M47" i="84"/>
  <c r="G47" i="84"/>
  <c r="AQ46" i="84"/>
  <c r="AP46" i="84"/>
  <c r="AO46" i="84"/>
  <c r="AN46" i="84"/>
  <c r="AM46" i="84"/>
  <c r="AL46" i="84"/>
  <c r="AR46" i="84" s="1"/>
  <c r="AJ46" i="84"/>
  <c r="AI46" i="84"/>
  <c r="AX46" i="84" s="1"/>
  <c r="AH46" i="84"/>
  <c r="AG46" i="84"/>
  <c r="AV46" i="84" s="1"/>
  <c r="AE46" i="84"/>
  <c r="AT46" i="84" s="1"/>
  <c r="AC46" i="84"/>
  <c r="Q46" i="84"/>
  <c r="AF46" i="84" s="1"/>
  <c r="P46" i="84"/>
  <c r="O46" i="84"/>
  <c r="AD46" i="84" s="1"/>
  <c r="M46" i="84"/>
  <c r="G46" i="84"/>
  <c r="AQ45" i="84"/>
  <c r="AP45" i="84"/>
  <c r="AO45" i="84"/>
  <c r="AN45" i="84"/>
  <c r="AM45" i="84"/>
  <c r="AL45" i="84"/>
  <c r="AJ45" i="84"/>
  <c r="AI45" i="84"/>
  <c r="AX45" i="84" s="1"/>
  <c r="AH45" i="84"/>
  <c r="AW45" i="84" s="1"/>
  <c r="AG45" i="84"/>
  <c r="AF45" i="84"/>
  <c r="AU45" i="84" s="1"/>
  <c r="AD45" i="84"/>
  <c r="AS45" i="84" s="1"/>
  <c r="AC45" i="84"/>
  <c r="Q45" i="84"/>
  <c r="P45" i="84"/>
  <c r="AE45" i="84" s="1"/>
  <c r="AT45" i="84" s="1"/>
  <c r="O45" i="84"/>
  <c r="M45" i="84"/>
  <c r="G45" i="84"/>
  <c r="AQ44" i="84"/>
  <c r="AP44" i="84"/>
  <c r="AO44" i="84"/>
  <c r="AN44" i="84"/>
  <c r="AM44" i="84"/>
  <c r="AL44" i="84"/>
  <c r="AR44" i="84" s="1"/>
  <c r="AJ44" i="84"/>
  <c r="AI44" i="84"/>
  <c r="AX44" i="84" s="1"/>
  <c r="AH44" i="84"/>
  <c r="AW44" i="84" s="1"/>
  <c r="AG44" i="84"/>
  <c r="AV44" i="84" s="1"/>
  <c r="AE44" i="84"/>
  <c r="AT44" i="84" s="1"/>
  <c r="AC44" i="84"/>
  <c r="Q44" i="84"/>
  <c r="AF44" i="84" s="1"/>
  <c r="AU44" i="84" s="1"/>
  <c r="P44" i="84"/>
  <c r="O44" i="84"/>
  <c r="AD44" i="84" s="1"/>
  <c r="M44" i="84"/>
  <c r="G44" i="84"/>
  <c r="AX43" i="84"/>
  <c r="AV43" i="84"/>
  <c r="AR43" i="84"/>
  <c r="AJ43" i="84"/>
  <c r="AI43" i="84"/>
  <c r="AH43" i="84"/>
  <c r="AW43" i="84" s="1"/>
  <c r="AG43" i="84"/>
  <c r="AF43" i="84"/>
  <c r="AU43" i="84" s="1"/>
  <c r="AD43" i="84"/>
  <c r="AS43" i="84" s="1"/>
  <c r="AC43" i="84"/>
  <c r="Q43" i="84"/>
  <c r="P43" i="84"/>
  <c r="AE43" i="84" s="1"/>
  <c r="AT43" i="84" s="1"/>
  <c r="O43" i="84"/>
  <c r="M43" i="84"/>
  <c r="G43" i="84"/>
  <c r="AQ42" i="84"/>
  <c r="AP42" i="84"/>
  <c r="AO42" i="84"/>
  <c r="AN42" i="84"/>
  <c r="AM42" i="84"/>
  <c r="AL42" i="84"/>
  <c r="AR42" i="84" s="1"/>
  <c r="AJ42" i="84"/>
  <c r="AI42" i="84"/>
  <c r="AX42" i="84" s="1"/>
  <c r="AH42" i="84"/>
  <c r="AW42" i="84" s="1"/>
  <c r="AG42" i="84"/>
  <c r="AV42" i="84" s="1"/>
  <c r="AF42" i="84"/>
  <c r="AU42" i="84" s="1"/>
  <c r="AD42" i="84"/>
  <c r="AS42" i="84" s="1"/>
  <c r="AC42" i="84"/>
  <c r="Q42" i="84"/>
  <c r="P42" i="84"/>
  <c r="V42" i="84" s="1"/>
  <c r="O42" i="84"/>
  <c r="M42" i="84"/>
  <c r="G42" i="84"/>
  <c r="AQ41" i="84"/>
  <c r="AP41" i="84"/>
  <c r="AO41" i="84"/>
  <c r="AN41" i="84"/>
  <c r="AM41" i="84"/>
  <c r="AL41" i="84"/>
  <c r="AR41" i="84" s="1"/>
  <c r="AJ41" i="84"/>
  <c r="AI41" i="84"/>
  <c r="AX41" i="84" s="1"/>
  <c r="AH41" i="84"/>
  <c r="AG41" i="84"/>
  <c r="AV41" i="84" s="1"/>
  <c r="AF41" i="84"/>
  <c r="AD41" i="84"/>
  <c r="AS41" i="84" s="1"/>
  <c r="AC41" i="84"/>
  <c r="Q41" i="84"/>
  <c r="P41" i="84"/>
  <c r="AE41" i="84" s="1"/>
  <c r="AT41" i="84" s="1"/>
  <c r="O41" i="84"/>
  <c r="M41" i="84"/>
  <c r="G41" i="84"/>
  <c r="AQ40" i="84"/>
  <c r="AP40" i="84"/>
  <c r="AO40" i="84"/>
  <c r="AN40" i="84"/>
  <c r="AM40" i="84"/>
  <c r="AL40" i="84"/>
  <c r="AR40" i="84" s="1"/>
  <c r="AJ40" i="84"/>
  <c r="AI40" i="84"/>
  <c r="AX40" i="84" s="1"/>
  <c r="AH40" i="84"/>
  <c r="AG40" i="84"/>
  <c r="AV40" i="84" s="1"/>
  <c r="AF40" i="84"/>
  <c r="AD40" i="84"/>
  <c r="AS40" i="84" s="1"/>
  <c r="AC40" i="84"/>
  <c r="Q40" i="84"/>
  <c r="P40" i="84"/>
  <c r="V40" i="84" s="1"/>
  <c r="O40" i="84"/>
  <c r="M40" i="84"/>
  <c r="G40" i="84"/>
  <c r="AQ39" i="84"/>
  <c r="AP39" i="84"/>
  <c r="AO39" i="84"/>
  <c r="AN39" i="84"/>
  <c r="AM39" i="84"/>
  <c r="AL39" i="84"/>
  <c r="AR39" i="84" s="1"/>
  <c r="AJ39" i="84"/>
  <c r="AI39" i="84"/>
  <c r="AX39" i="84" s="1"/>
  <c r="AH39" i="84"/>
  <c r="AG39" i="84"/>
  <c r="AV39" i="84" s="1"/>
  <c r="AF39" i="84"/>
  <c r="AD39" i="84"/>
  <c r="AS39" i="84" s="1"/>
  <c r="AC39" i="84"/>
  <c r="Q39" i="84"/>
  <c r="P39" i="84"/>
  <c r="AE39" i="84" s="1"/>
  <c r="AT39" i="84" s="1"/>
  <c r="O39" i="84"/>
  <c r="M39" i="84"/>
  <c r="G39" i="84"/>
  <c r="AW38" i="84"/>
  <c r="AR38" i="84"/>
  <c r="AJ38" i="84"/>
  <c r="AI38" i="84"/>
  <c r="AX38" i="84" s="1"/>
  <c r="AH38" i="84"/>
  <c r="AG38" i="84"/>
  <c r="AV38" i="84" s="1"/>
  <c r="AE38" i="84"/>
  <c r="AT38" i="84" s="1"/>
  <c r="AC38" i="84"/>
  <c r="Q38" i="84"/>
  <c r="AF38" i="84" s="1"/>
  <c r="AU38" i="84" s="1"/>
  <c r="P38" i="84"/>
  <c r="O38" i="84"/>
  <c r="M38" i="84"/>
  <c r="G38" i="84"/>
  <c r="AV37" i="84"/>
  <c r="AQ37" i="84"/>
  <c r="AP37" i="84"/>
  <c r="AO37" i="84"/>
  <c r="AN37" i="84"/>
  <c r="AM37" i="84"/>
  <c r="AL37" i="84"/>
  <c r="AR37" i="84" s="1"/>
  <c r="AJ37" i="84"/>
  <c r="AI37" i="84"/>
  <c r="AX37" i="84" s="1"/>
  <c r="AH37" i="84"/>
  <c r="AG37" i="84"/>
  <c r="AF37" i="84"/>
  <c r="AD37" i="84"/>
  <c r="AS37" i="84" s="1"/>
  <c r="AC37" i="84"/>
  <c r="Q37" i="84"/>
  <c r="P37" i="84"/>
  <c r="AE37" i="84" s="1"/>
  <c r="AT37" i="84" s="1"/>
  <c r="O37" i="84"/>
  <c r="M37" i="84"/>
  <c r="G37" i="84"/>
  <c r="AQ36" i="84"/>
  <c r="AP36" i="84"/>
  <c r="AW36" i="84" s="1"/>
  <c r="AO36" i="84"/>
  <c r="AN36" i="84"/>
  <c r="AM36" i="84"/>
  <c r="AL36" i="84"/>
  <c r="AJ36" i="84"/>
  <c r="AI36" i="84"/>
  <c r="AH36" i="84"/>
  <c r="AG36" i="84"/>
  <c r="AE36" i="84"/>
  <c r="AT36" i="84" s="1"/>
  <c r="AC36" i="84"/>
  <c r="Q36" i="84"/>
  <c r="AF36" i="84" s="1"/>
  <c r="AU36" i="84" s="1"/>
  <c r="P36" i="84"/>
  <c r="O36" i="84"/>
  <c r="AD36" i="84" s="1"/>
  <c r="M36" i="84"/>
  <c r="G36" i="84"/>
  <c r="AV35" i="84"/>
  <c r="AQ35" i="84"/>
  <c r="AX35" i="84" s="1"/>
  <c r="AP35" i="84"/>
  <c r="AO35" i="84"/>
  <c r="AN35" i="84"/>
  <c r="AM35" i="84"/>
  <c r="AL35" i="84"/>
  <c r="AR35" i="84" s="1"/>
  <c r="AJ35" i="84"/>
  <c r="AI35" i="84"/>
  <c r="AH35" i="84"/>
  <c r="AG35" i="84"/>
  <c r="AF35" i="84"/>
  <c r="AD35" i="84"/>
  <c r="AS35" i="84" s="1"/>
  <c r="AC35" i="84"/>
  <c r="Q35" i="84"/>
  <c r="P35" i="84"/>
  <c r="AE35" i="84" s="1"/>
  <c r="AT35" i="84" s="1"/>
  <c r="O35" i="84"/>
  <c r="M35" i="84"/>
  <c r="G35" i="84"/>
  <c r="AQ34" i="84"/>
  <c r="AP34" i="84"/>
  <c r="AW34" i="84" s="1"/>
  <c r="AO34" i="84"/>
  <c r="AN34" i="84"/>
  <c r="AM34" i="84"/>
  <c r="AL34" i="84"/>
  <c r="AJ34" i="84"/>
  <c r="AI34" i="84"/>
  <c r="AH34" i="84"/>
  <c r="AG34" i="84"/>
  <c r="AE34" i="84"/>
  <c r="AT34" i="84" s="1"/>
  <c r="AC34" i="84"/>
  <c r="Q34" i="84"/>
  <c r="AF34" i="84" s="1"/>
  <c r="AU34" i="84" s="1"/>
  <c r="P34" i="84"/>
  <c r="O34" i="84"/>
  <c r="AD34" i="84" s="1"/>
  <c r="M34" i="84"/>
  <c r="G34" i="84"/>
  <c r="AV33" i="84"/>
  <c r="AQ33" i="84"/>
  <c r="AX33" i="84" s="1"/>
  <c r="AP33" i="84"/>
  <c r="AO33" i="84"/>
  <c r="AN33" i="84"/>
  <c r="AM33" i="84"/>
  <c r="AL33" i="84"/>
  <c r="AR33" i="84" s="1"/>
  <c r="AJ33" i="84"/>
  <c r="AI33" i="84"/>
  <c r="AH33" i="84"/>
  <c r="AG33" i="84"/>
  <c r="AF33" i="84"/>
  <c r="AD33" i="84"/>
  <c r="AS33" i="84" s="1"/>
  <c r="AC33" i="84"/>
  <c r="Q33" i="84"/>
  <c r="P33" i="84"/>
  <c r="AE33" i="84" s="1"/>
  <c r="AT33" i="84" s="1"/>
  <c r="O33" i="84"/>
  <c r="M33" i="84"/>
  <c r="G33" i="84"/>
  <c r="AQ32" i="84"/>
  <c r="AP32" i="84"/>
  <c r="AW32" i="84" s="1"/>
  <c r="AO32" i="84"/>
  <c r="AN32" i="84"/>
  <c r="AM32" i="84"/>
  <c r="AL32" i="84"/>
  <c r="AJ32" i="84"/>
  <c r="AI32" i="84"/>
  <c r="AX32" i="84" s="1"/>
  <c r="AH32" i="84"/>
  <c r="AG32" i="84"/>
  <c r="AV32" i="84" s="1"/>
  <c r="AC32" i="84"/>
  <c r="X32" i="84"/>
  <c r="Q32" i="84"/>
  <c r="AF32" i="84" s="1"/>
  <c r="AU32" i="84" s="1"/>
  <c r="P32" i="84"/>
  <c r="AE32" i="84" s="1"/>
  <c r="O32" i="84"/>
  <c r="AD32" i="84" s="1"/>
  <c r="M32" i="84"/>
  <c r="G32" i="84"/>
  <c r="AQ31" i="84"/>
  <c r="AP31" i="84"/>
  <c r="AW31" i="84" s="1"/>
  <c r="AO31" i="84"/>
  <c r="AN31" i="84"/>
  <c r="AM31" i="84"/>
  <c r="AL31" i="84"/>
  <c r="AR31" i="84" s="1"/>
  <c r="AJ31" i="84"/>
  <c r="AI31" i="84"/>
  <c r="AX31" i="84" s="1"/>
  <c r="AH31" i="84"/>
  <c r="AG31" i="84"/>
  <c r="AV31" i="84" s="1"/>
  <c r="AE31" i="84"/>
  <c r="AT31" i="84" s="1"/>
  <c r="AC31" i="84"/>
  <c r="Q31" i="84"/>
  <c r="AF31" i="84" s="1"/>
  <c r="AU31" i="84" s="1"/>
  <c r="P31" i="84"/>
  <c r="O31" i="84"/>
  <c r="AD31" i="84" s="1"/>
  <c r="M31" i="84"/>
  <c r="G31" i="84"/>
  <c r="AQ30" i="84"/>
  <c r="AX30" i="84" s="1"/>
  <c r="AP30" i="84"/>
  <c r="AO30" i="84"/>
  <c r="AV30" i="84" s="1"/>
  <c r="AN30" i="84"/>
  <c r="AM30" i="84"/>
  <c r="AL30" i="84"/>
  <c r="AR30" i="84" s="1"/>
  <c r="AJ30" i="84"/>
  <c r="AI30" i="84"/>
  <c r="AH30" i="84"/>
  <c r="AW30" i="84" s="1"/>
  <c r="AG30" i="84"/>
  <c r="AF30" i="84"/>
  <c r="AU30" i="84" s="1"/>
  <c r="AD30" i="84"/>
  <c r="AS30" i="84" s="1"/>
  <c r="AC30" i="84"/>
  <c r="Q30" i="84"/>
  <c r="P30" i="84"/>
  <c r="AE30" i="84" s="1"/>
  <c r="AT30" i="84" s="1"/>
  <c r="O30" i="84"/>
  <c r="M30" i="84"/>
  <c r="G30" i="84"/>
  <c r="AQ29" i="84"/>
  <c r="AP29" i="84"/>
  <c r="AW29" i="84" s="1"/>
  <c r="AO29" i="84"/>
  <c r="AN29" i="84"/>
  <c r="AM29" i="84"/>
  <c r="AL29" i="84"/>
  <c r="AR29" i="84" s="1"/>
  <c r="AJ29" i="84"/>
  <c r="AI29" i="84"/>
  <c r="AX29" i="84" s="1"/>
  <c r="AH29" i="84"/>
  <c r="AG29" i="84"/>
  <c r="AV29" i="84" s="1"/>
  <c r="AE29" i="84"/>
  <c r="AT29" i="84" s="1"/>
  <c r="AC29" i="84"/>
  <c r="Q29" i="84"/>
  <c r="AF29" i="84" s="1"/>
  <c r="AU29" i="84" s="1"/>
  <c r="P29" i="84"/>
  <c r="O29" i="84"/>
  <c r="AD29" i="84" s="1"/>
  <c r="M29" i="84"/>
  <c r="G29" i="84"/>
  <c r="AQ28" i="84"/>
  <c r="AX28" i="84" s="1"/>
  <c r="AP28" i="84"/>
  <c r="AO28" i="84"/>
  <c r="AV28" i="84" s="1"/>
  <c r="AN28" i="84"/>
  <c r="AM28" i="84"/>
  <c r="AL28" i="84"/>
  <c r="AR28" i="84" s="1"/>
  <c r="AJ28" i="84"/>
  <c r="AI28" i="84"/>
  <c r="AH28" i="84"/>
  <c r="AW28" i="84" s="1"/>
  <c r="AG28" i="84"/>
  <c r="AF28" i="84"/>
  <c r="AU28" i="84" s="1"/>
  <c r="AD28" i="84"/>
  <c r="AS28" i="84" s="1"/>
  <c r="AC28" i="84"/>
  <c r="Q28" i="84"/>
  <c r="P28" i="84"/>
  <c r="AE28" i="84" s="1"/>
  <c r="AT28" i="84" s="1"/>
  <c r="O28" i="84"/>
  <c r="M28" i="84"/>
  <c r="G28" i="84"/>
  <c r="AQ27" i="84"/>
  <c r="AP27" i="84"/>
  <c r="AW27" i="84" s="1"/>
  <c r="AO27" i="84"/>
  <c r="AN27" i="84"/>
  <c r="AM27" i="84"/>
  <c r="AL27" i="84"/>
  <c r="AR27" i="84" s="1"/>
  <c r="AJ27" i="84"/>
  <c r="AI27" i="84"/>
  <c r="AX27" i="84" s="1"/>
  <c r="AH27" i="84"/>
  <c r="AG27" i="84"/>
  <c r="AV27" i="84" s="1"/>
  <c r="AE27" i="84"/>
  <c r="AT27" i="84" s="1"/>
  <c r="AC27" i="84"/>
  <c r="Q27" i="84"/>
  <c r="AF27" i="84" s="1"/>
  <c r="P27" i="84"/>
  <c r="O27" i="84"/>
  <c r="AD27" i="84" s="1"/>
  <c r="M27" i="84"/>
  <c r="G27" i="84"/>
  <c r="AQ26" i="84"/>
  <c r="AX26" i="84" s="1"/>
  <c r="AP26" i="84"/>
  <c r="AO26" i="84"/>
  <c r="AV26" i="84" s="1"/>
  <c r="AN26" i="84"/>
  <c r="AM26" i="84"/>
  <c r="AL26" i="84"/>
  <c r="AR26" i="84" s="1"/>
  <c r="AJ26" i="84"/>
  <c r="AI26" i="84"/>
  <c r="AH26" i="84"/>
  <c r="AW26" i="84" s="1"/>
  <c r="AG26" i="84"/>
  <c r="AF26" i="84"/>
  <c r="AU26" i="84" s="1"/>
  <c r="AD26" i="84"/>
  <c r="AS26" i="84" s="1"/>
  <c r="AC26" i="84"/>
  <c r="Q26" i="84"/>
  <c r="P26" i="84"/>
  <c r="AE26" i="84" s="1"/>
  <c r="AT26" i="84" s="1"/>
  <c r="O26" i="84"/>
  <c r="M26" i="84"/>
  <c r="G26" i="84"/>
  <c r="AQ25" i="84"/>
  <c r="AP25" i="84"/>
  <c r="AW25" i="84" s="1"/>
  <c r="AO25" i="84"/>
  <c r="AN25" i="84"/>
  <c r="AM25" i="84"/>
  <c r="AL25" i="84"/>
  <c r="AR25" i="84" s="1"/>
  <c r="AJ25" i="84"/>
  <c r="AI25" i="84"/>
  <c r="AX25" i="84" s="1"/>
  <c r="AH25" i="84"/>
  <c r="AG25" i="84"/>
  <c r="AV25" i="84" s="1"/>
  <c r="AE25" i="84"/>
  <c r="AT25" i="84" s="1"/>
  <c r="AC25" i="84"/>
  <c r="Q25" i="84"/>
  <c r="AF25" i="84" s="1"/>
  <c r="AU25" i="84" s="1"/>
  <c r="P25" i="84"/>
  <c r="O25" i="84"/>
  <c r="AD25" i="84" s="1"/>
  <c r="M25" i="84"/>
  <c r="G25" i="84"/>
  <c r="AQ24" i="84"/>
  <c r="AX24" i="84" s="1"/>
  <c r="AP24" i="84"/>
  <c r="AO24" i="84"/>
  <c r="AV24" i="84" s="1"/>
  <c r="AN24" i="84"/>
  <c r="AM24" i="84"/>
  <c r="AL24" i="84"/>
  <c r="AR24" i="84" s="1"/>
  <c r="AJ24" i="84"/>
  <c r="AI24" i="84"/>
  <c r="AH24" i="84"/>
  <c r="AW24" i="84" s="1"/>
  <c r="AG24" i="84"/>
  <c r="AF24" i="84"/>
  <c r="AU24" i="84" s="1"/>
  <c r="AD24" i="84"/>
  <c r="AS24" i="84" s="1"/>
  <c r="AC24" i="84"/>
  <c r="Q24" i="84"/>
  <c r="P24" i="84"/>
  <c r="AE24" i="84" s="1"/>
  <c r="AT24" i="84" s="1"/>
  <c r="O24" i="84"/>
  <c r="M24" i="84"/>
  <c r="G24" i="84"/>
  <c r="AQ23" i="84"/>
  <c r="AP23" i="84"/>
  <c r="AW23" i="84" s="1"/>
  <c r="AO23" i="84"/>
  <c r="AN23" i="84"/>
  <c r="AM23" i="84"/>
  <c r="AL23" i="84"/>
  <c r="AJ23" i="84"/>
  <c r="AI23" i="84"/>
  <c r="AH23" i="84"/>
  <c r="AG23" i="84"/>
  <c r="AE23" i="84"/>
  <c r="AT23" i="84" s="1"/>
  <c r="AC23" i="84"/>
  <c r="Q23" i="84"/>
  <c r="AF23" i="84" s="1"/>
  <c r="AU23" i="84" s="1"/>
  <c r="P23" i="84"/>
  <c r="O23" i="84"/>
  <c r="AD23" i="84" s="1"/>
  <c r="M23" i="84"/>
  <c r="G23" i="84"/>
  <c r="AV22" i="84"/>
  <c r="AQ22" i="84"/>
  <c r="AX22" i="84" s="1"/>
  <c r="AP22" i="84"/>
  <c r="AO22" i="84"/>
  <c r="AN22" i="84"/>
  <c r="AM22" i="84"/>
  <c r="AL22" i="84"/>
  <c r="AR22" i="84" s="1"/>
  <c r="AJ22" i="84"/>
  <c r="AI22" i="84"/>
  <c r="AH22" i="84"/>
  <c r="AG22" i="84"/>
  <c r="AF22" i="84"/>
  <c r="AD22" i="84"/>
  <c r="AS22" i="84" s="1"/>
  <c r="AC22" i="84"/>
  <c r="Q22" i="84"/>
  <c r="P22" i="84"/>
  <c r="AE22" i="84" s="1"/>
  <c r="AT22" i="84" s="1"/>
  <c r="O22" i="84"/>
  <c r="M22" i="84"/>
  <c r="G22" i="84"/>
  <c r="AQ21" i="84"/>
  <c r="AP21" i="84"/>
  <c r="AW21" i="84" s="1"/>
  <c r="AO21" i="84"/>
  <c r="AN21" i="84"/>
  <c r="AM21" i="84"/>
  <c r="AL21" i="84"/>
  <c r="AJ21" i="84"/>
  <c r="AI21" i="84"/>
  <c r="AH21" i="84"/>
  <c r="AG21" i="84"/>
  <c r="AE21" i="84"/>
  <c r="AT21" i="84" s="1"/>
  <c r="AC21" i="84"/>
  <c r="Q21" i="84"/>
  <c r="AF21" i="84" s="1"/>
  <c r="AU21" i="84" s="1"/>
  <c r="P21" i="84"/>
  <c r="O21" i="84"/>
  <c r="AD21" i="84" s="1"/>
  <c r="M21" i="84"/>
  <c r="G21" i="84"/>
  <c r="AV20" i="84"/>
  <c r="AQ20" i="84"/>
  <c r="AX20" i="84" s="1"/>
  <c r="AP20" i="84"/>
  <c r="AO20" i="84"/>
  <c r="AN20" i="84"/>
  <c r="AM20" i="84"/>
  <c r="AL20" i="84"/>
  <c r="AR20" i="84" s="1"/>
  <c r="AJ20" i="84"/>
  <c r="AI20" i="84"/>
  <c r="AH20" i="84"/>
  <c r="AG20" i="84"/>
  <c r="AF20" i="84"/>
  <c r="AD20" i="84"/>
  <c r="AS20" i="84" s="1"/>
  <c r="AC20" i="84"/>
  <c r="Q20" i="84"/>
  <c r="P20" i="84"/>
  <c r="AE20" i="84" s="1"/>
  <c r="AT20" i="84" s="1"/>
  <c r="O20" i="84"/>
  <c r="M20" i="84"/>
  <c r="G20" i="84"/>
  <c r="AQ19" i="84"/>
  <c r="AP19" i="84"/>
  <c r="AW19" i="84" s="1"/>
  <c r="AO19" i="84"/>
  <c r="AN19" i="84"/>
  <c r="AM19" i="84"/>
  <c r="AL19" i="84"/>
  <c r="AJ19" i="84"/>
  <c r="AI19" i="84"/>
  <c r="AH19" i="84"/>
  <c r="AG19" i="84"/>
  <c r="AE19" i="84"/>
  <c r="AT19" i="84" s="1"/>
  <c r="AC19" i="84"/>
  <c r="Q19" i="84"/>
  <c r="AF19" i="84" s="1"/>
  <c r="AU19" i="84" s="1"/>
  <c r="P19" i="84"/>
  <c r="O19" i="84"/>
  <c r="AD19" i="84" s="1"/>
  <c r="M19" i="84"/>
  <c r="G19" i="84"/>
  <c r="AV18" i="84"/>
  <c r="AQ18" i="84"/>
  <c r="AX18" i="84" s="1"/>
  <c r="AP18" i="84"/>
  <c r="AO18" i="84"/>
  <c r="AN18" i="84"/>
  <c r="AM18" i="84"/>
  <c r="AL18" i="84"/>
  <c r="AR18" i="84" s="1"/>
  <c r="AJ18" i="84"/>
  <c r="AI18" i="84"/>
  <c r="AH18" i="84"/>
  <c r="AG18" i="84"/>
  <c r="AF18" i="84"/>
  <c r="AD18" i="84"/>
  <c r="AS18" i="84" s="1"/>
  <c r="AC18" i="84"/>
  <c r="Q18" i="84"/>
  <c r="P18" i="84"/>
  <c r="AE18" i="84" s="1"/>
  <c r="AT18" i="84" s="1"/>
  <c r="O18" i="84"/>
  <c r="M18" i="84"/>
  <c r="G18" i="84"/>
  <c r="AQ17" i="84"/>
  <c r="AP17" i="84"/>
  <c r="AW17" i="84" s="1"/>
  <c r="AO17" i="84"/>
  <c r="AN17" i="84"/>
  <c r="AM17" i="84"/>
  <c r="AL17" i="84"/>
  <c r="AJ17" i="84"/>
  <c r="AI17" i="84"/>
  <c r="AH17" i="84"/>
  <c r="AG17" i="84"/>
  <c r="AE17" i="84"/>
  <c r="AT17" i="84" s="1"/>
  <c r="AC17" i="84"/>
  <c r="Q17" i="84"/>
  <c r="AF17" i="84" s="1"/>
  <c r="AU17" i="84" s="1"/>
  <c r="P17" i="84"/>
  <c r="O17" i="84"/>
  <c r="AD17" i="84" s="1"/>
  <c r="M17" i="84"/>
  <c r="G17" i="84"/>
  <c r="AV16" i="84"/>
  <c r="AQ16" i="84"/>
  <c r="AX16" i="84" s="1"/>
  <c r="AP16" i="84"/>
  <c r="AO16" i="84"/>
  <c r="AN16" i="84"/>
  <c r="AM16" i="84"/>
  <c r="AL16" i="84"/>
  <c r="AR16" i="84" s="1"/>
  <c r="AJ16" i="84"/>
  <c r="AI16" i="84"/>
  <c r="AH16" i="84"/>
  <c r="AG16" i="84"/>
  <c r="AF16" i="84"/>
  <c r="AD16" i="84"/>
  <c r="AS16" i="84" s="1"/>
  <c r="AC16" i="84"/>
  <c r="Q16" i="84"/>
  <c r="P16" i="84"/>
  <c r="AE16" i="84" s="1"/>
  <c r="AT16" i="84" s="1"/>
  <c r="O16" i="84"/>
  <c r="M16" i="84"/>
  <c r="G16" i="84"/>
  <c r="AQ15" i="84"/>
  <c r="AP15" i="84"/>
  <c r="AW15" i="84" s="1"/>
  <c r="AO15" i="84"/>
  <c r="AN15" i="84"/>
  <c r="AM15" i="84"/>
  <c r="AL15" i="84"/>
  <c r="AJ15" i="84"/>
  <c r="AI15" i="84"/>
  <c r="AH15" i="84"/>
  <c r="AG15" i="84"/>
  <c r="AE15" i="84"/>
  <c r="AT15" i="84" s="1"/>
  <c r="AC15" i="84"/>
  <c r="Q15" i="84"/>
  <c r="AF15" i="84" s="1"/>
  <c r="AU15" i="84" s="1"/>
  <c r="P15" i="84"/>
  <c r="O15" i="84"/>
  <c r="AD15" i="84" s="1"/>
  <c r="M15" i="84"/>
  <c r="G15" i="84"/>
  <c r="AV14" i="84"/>
  <c r="AQ14" i="84"/>
  <c r="AX14" i="84" s="1"/>
  <c r="AP14" i="84"/>
  <c r="AO14" i="84"/>
  <c r="AN14" i="84"/>
  <c r="AM14" i="84"/>
  <c r="AL14" i="84"/>
  <c r="AR14" i="84" s="1"/>
  <c r="AJ14" i="84"/>
  <c r="AI14" i="84"/>
  <c r="AH14" i="84"/>
  <c r="AG14" i="84"/>
  <c r="AF14" i="84"/>
  <c r="AD14" i="84"/>
  <c r="AS14" i="84" s="1"/>
  <c r="AC14" i="84"/>
  <c r="Q14" i="84"/>
  <c r="P14" i="84"/>
  <c r="AE14" i="84" s="1"/>
  <c r="AT14" i="84" s="1"/>
  <c r="O14" i="84"/>
  <c r="M14" i="84"/>
  <c r="G14" i="84"/>
  <c r="AQ13" i="84"/>
  <c r="AP13" i="84"/>
  <c r="AW13" i="84" s="1"/>
  <c r="AO13" i="84"/>
  <c r="AN13" i="84"/>
  <c r="AM13" i="84"/>
  <c r="AL13" i="84"/>
  <c r="AJ13" i="84"/>
  <c r="AI13" i="84"/>
  <c r="AH13" i="84"/>
  <c r="AG13" i="84"/>
  <c r="AE13" i="84"/>
  <c r="AT13" i="84" s="1"/>
  <c r="AC13" i="84"/>
  <c r="Q13" i="84"/>
  <c r="AF13" i="84" s="1"/>
  <c r="AU13" i="84" s="1"/>
  <c r="P13" i="84"/>
  <c r="O13" i="84"/>
  <c r="AD13" i="84" s="1"/>
  <c r="M13" i="84"/>
  <c r="G13" i="84"/>
  <c r="AV12" i="84"/>
  <c r="AQ12" i="84"/>
  <c r="AX12" i="84" s="1"/>
  <c r="AP12" i="84"/>
  <c r="AO12" i="84"/>
  <c r="AN12" i="84"/>
  <c r="AM12" i="84"/>
  <c r="AL12" i="84"/>
  <c r="AR12" i="84" s="1"/>
  <c r="AJ12" i="84"/>
  <c r="AI12" i="84"/>
  <c r="AH12" i="84"/>
  <c r="AG12" i="84"/>
  <c r="AF12" i="84"/>
  <c r="AD12" i="84"/>
  <c r="AS12" i="84" s="1"/>
  <c r="AC12" i="84"/>
  <c r="Q12" i="84"/>
  <c r="P12" i="84"/>
  <c r="AE12" i="84" s="1"/>
  <c r="AT12" i="84" s="1"/>
  <c r="O12" i="84"/>
  <c r="M12" i="84"/>
  <c r="G12" i="84"/>
  <c r="AQ11" i="84"/>
  <c r="AP11" i="84"/>
  <c r="AW11" i="84" s="1"/>
  <c r="AO11" i="84"/>
  <c r="AN11" i="84"/>
  <c r="AM11" i="84"/>
  <c r="AL11" i="84"/>
  <c r="AJ11" i="84"/>
  <c r="AI11" i="84"/>
  <c r="AH11" i="84"/>
  <c r="AG11" i="84"/>
  <c r="AE11" i="84"/>
  <c r="AT11" i="84" s="1"/>
  <c r="AC11" i="84"/>
  <c r="Q11" i="84"/>
  <c r="AF11" i="84" s="1"/>
  <c r="AU11" i="84" s="1"/>
  <c r="P11" i="84"/>
  <c r="O11" i="84"/>
  <c r="AD11" i="84" s="1"/>
  <c r="M11" i="84"/>
  <c r="G11" i="84"/>
  <c r="AV10" i="84"/>
  <c r="AQ10" i="84"/>
  <c r="AX10" i="84" s="1"/>
  <c r="AP10" i="84"/>
  <c r="AO10" i="84"/>
  <c r="AN10" i="84"/>
  <c r="AM10" i="84"/>
  <c r="AL10" i="84"/>
  <c r="AR10" i="84" s="1"/>
  <c r="AJ10" i="84"/>
  <c r="AI10" i="84"/>
  <c r="AH10" i="84"/>
  <c r="AG10" i="84"/>
  <c r="AF10" i="84"/>
  <c r="AD10" i="84"/>
  <c r="AS10" i="84" s="1"/>
  <c r="AC10" i="84"/>
  <c r="Q10" i="84"/>
  <c r="P10" i="84"/>
  <c r="AE10" i="84" s="1"/>
  <c r="AT10" i="84" s="1"/>
  <c r="O10" i="84"/>
  <c r="M10" i="84"/>
  <c r="G10" i="84"/>
  <c r="AQ9" i="84"/>
  <c r="AP9" i="84"/>
  <c r="AW9" i="84" s="1"/>
  <c r="AO9" i="84"/>
  <c r="AN9" i="84"/>
  <c r="AM9" i="84"/>
  <c r="AL9" i="84"/>
  <c r="AJ9" i="84"/>
  <c r="AI9" i="84"/>
  <c r="AH9" i="84"/>
  <c r="AG9" i="84"/>
  <c r="AE9" i="84"/>
  <c r="AT9" i="84" s="1"/>
  <c r="AC9" i="84"/>
  <c r="Q9" i="84"/>
  <c r="AF9" i="84" s="1"/>
  <c r="AU9" i="84" s="1"/>
  <c r="P9" i="84"/>
  <c r="O9" i="84"/>
  <c r="AD9" i="84" s="1"/>
  <c r="M9" i="84"/>
  <c r="G9" i="84"/>
  <c r="AV8" i="84"/>
  <c r="AQ8" i="84"/>
  <c r="AX8" i="84" s="1"/>
  <c r="AP8" i="84"/>
  <c r="AO8" i="84"/>
  <c r="AN8" i="84"/>
  <c r="AM8" i="84"/>
  <c r="AL8" i="84"/>
  <c r="AR8" i="84" s="1"/>
  <c r="AJ8" i="84"/>
  <c r="AI8" i="84"/>
  <c r="AH8" i="84"/>
  <c r="AG8" i="84"/>
  <c r="AF8" i="84"/>
  <c r="AD8" i="84"/>
  <c r="AS8" i="84" s="1"/>
  <c r="AC8" i="84"/>
  <c r="Q8" i="84"/>
  <c r="P8" i="84"/>
  <c r="AE8" i="84" s="1"/>
  <c r="AT8" i="84" s="1"/>
  <c r="O8" i="84"/>
  <c r="M8" i="84"/>
  <c r="G8" i="84"/>
  <c r="AQ7" i="84"/>
  <c r="AP7" i="84"/>
  <c r="AW7" i="84" s="1"/>
  <c r="AO7" i="84"/>
  <c r="AN7" i="84"/>
  <c r="AM7" i="84"/>
  <c r="AL7" i="84"/>
  <c r="AJ7" i="84"/>
  <c r="AI7" i="84"/>
  <c r="AH7" i="84"/>
  <c r="AG7" i="84"/>
  <c r="AE7" i="84"/>
  <c r="AT7" i="84" s="1"/>
  <c r="AC7" i="84"/>
  <c r="Q7" i="84"/>
  <c r="AF7" i="84" s="1"/>
  <c r="AU7" i="84" s="1"/>
  <c r="P7" i="84"/>
  <c r="O7" i="84"/>
  <c r="AD7" i="84" s="1"/>
  <c r="M7" i="84"/>
  <c r="G7" i="84"/>
  <c r="AV6" i="84"/>
  <c r="AQ6" i="84"/>
  <c r="AX6" i="84" s="1"/>
  <c r="AP6" i="84"/>
  <c r="AO6" i="84"/>
  <c r="AN6" i="84"/>
  <c r="AM6" i="84"/>
  <c r="AL6" i="84"/>
  <c r="AR6" i="84" s="1"/>
  <c r="AJ6" i="84"/>
  <c r="AI6" i="84"/>
  <c r="AH6" i="84"/>
  <c r="AG6" i="84"/>
  <c r="AF6" i="84"/>
  <c r="AD6" i="84"/>
  <c r="AC6" i="84"/>
  <c r="Q6" i="84"/>
  <c r="P6" i="84"/>
  <c r="AE6" i="84" s="1"/>
  <c r="AT6" i="84" s="1"/>
  <c r="O6" i="84"/>
  <c r="M6" i="84"/>
  <c r="G6" i="84"/>
  <c r="AQ5" i="84"/>
  <c r="AP5" i="84"/>
  <c r="AW5" i="84" s="1"/>
  <c r="AO5" i="84"/>
  <c r="AN5" i="84"/>
  <c r="AM5" i="84"/>
  <c r="AL5" i="84"/>
  <c r="AJ5" i="84"/>
  <c r="AI5" i="84"/>
  <c r="AH5" i="84"/>
  <c r="AG5" i="84"/>
  <c r="AE5" i="84"/>
  <c r="AC5" i="84"/>
  <c r="Q5" i="84"/>
  <c r="AF5" i="84" s="1"/>
  <c r="AU5" i="84" s="1"/>
  <c r="P5" i="84"/>
  <c r="O5" i="84"/>
  <c r="AD5" i="84" s="1"/>
  <c r="M5" i="84"/>
  <c r="G5" i="84"/>
  <c r="AV4" i="84"/>
  <c r="AQ4" i="84"/>
  <c r="AX4" i="84" s="1"/>
  <c r="AP4" i="84"/>
  <c r="AO4" i="84"/>
  <c r="AN4" i="84"/>
  <c r="AM4" i="84"/>
  <c r="AL4" i="84"/>
  <c r="AR4" i="84" s="1"/>
  <c r="AJ4" i="84"/>
  <c r="AI4" i="84"/>
  <c r="AH4" i="84"/>
  <c r="AG4" i="84"/>
  <c r="AF4" i="84"/>
  <c r="AD4" i="84"/>
  <c r="AC4" i="84"/>
  <c r="Q4" i="84"/>
  <c r="P4" i="84"/>
  <c r="AE4" i="84" s="1"/>
  <c r="AT4" i="84" s="1"/>
  <c r="O4" i="84"/>
  <c r="M4" i="84"/>
  <c r="G4" i="84"/>
  <c r="AQ3" i="84"/>
  <c r="AP3" i="84"/>
  <c r="AW3" i="84" s="1"/>
  <c r="AO3" i="84"/>
  <c r="AN3" i="84"/>
  <c r="AM3" i="84"/>
  <c r="AL3" i="84"/>
  <c r="AJ3" i="84"/>
  <c r="AI3" i="84"/>
  <c r="AH3" i="84"/>
  <c r="AG3" i="84"/>
  <c r="AE3" i="84"/>
  <c r="AC3" i="84"/>
  <c r="Q3" i="84"/>
  <c r="AF3" i="84" s="1"/>
  <c r="AU3" i="84" s="1"/>
  <c r="P3" i="84"/>
  <c r="O3" i="84"/>
  <c r="AD3" i="84" s="1"/>
  <c r="M3" i="84"/>
  <c r="G3" i="84"/>
  <c r="AT3" i="84" l="1"/>
  <c r="AS4" i="84"/>
  <c r="AV3" i="84"/>
  <c r="AX3" i="84"/>
  <c r="AR3" i="84"/>
  <c r="AU4" i="84"/>
  <c r="AW4" i="84"/>
  <c r="AV5" i="84"/>
  <c r="AX5" i="84"/>
  <c r="AR5" i="84"/>
  <c r="AU6" i="84"/>
  <c r="AW6" i="84"/>
  <c r="AV7" i="84"/>
  <c r="AX7" i="84"/>
  <c r="AR7" i="84"/>
  <c r="AU8" i="84"/>
  <c r="AW8" i="84"/>
  <c r="AV9" i="84"/>
  <c r="AX9" i="84"/>
  <c r="AR9" i="84"/>
  <c r="AU10" i="84"/>
  <c r="AW10" i="84"/>
  <c r="AV11" i="84"/>
  <c r="AX11" i="84"/>
  <c r="AR11" i="84"/>
  <c r="AU12" i="84"/>
  <c r="AW12" i="84"/>
  <c r="AV13" i="84"/>
  <c r="AX13" i="84"/>
  <c r="AR13" i="84"/>
  <c r="AU14" i="84"/>
  <c r="AW14" i="84"/>
  <c r="AV15" i="84"/>
  <c r="AX15" i="84"/>
  <c r="AR15" i="84"/>
  <c r="AU16" i="84"/>
  <c r="AW16" i="84"/>
  <c r="AV17" i="84"/>
  <c r="AX17" i="84"/>
  <c r="AR17" i="84"/>
  <c r="AU18" i="84"/>
  <c r="AW18" i="84"/>
  <c r="AV19" i="84"/>
  <c r="AX19" i="84"/>
  <c r="AR19" i="84"/>
  <c r="AU20" i="84"/>
  <c r="AW20" i="84"/>
  <c r="AV21" i="84"/>
  <c r="AX21" i="84"/>
  <c r="AR21" i="84"/>
  <c r="AU22" i="84"/>
  <c r="AW22" i="84"/>
  <c r="AV23" i="84"/>
  <c r="AX23" i="84"/>
  <c r="AR23" i="84"/>
  <c r="AT32" i="84"/>
  <c r="AR32" i="84"/>
  <c r="AU33" i="84"/>
  <c r="AW33" i="84"/>
  <c r="AV34" i="84"/>
  <c r="AX34" i="84"/>
  <c r="AR34" i="84"/>
  <c r="AU35" i="84"/>
  <c r="AW35" i="84"/>
  <c r="AV36" i="84"/>
  <c r="AX36" i="84"/>
  <c r="AR36" i="84"/>
  <c r="AU37" i="84"/>
  <c r="AW37" i="84"/>
  <c r="AU39" i="84"/>
  <c r="AW39" i="84"/>
  <c r="AU40" i="84"/>
  <c r="AW40" i="84"/>
  <c r="AU41" i="84"/>
  <c r="AW41" i="84"/>
  <c r="AT5" i="84"/>
  <c r="AS6" i="84"/>
  <c r="AY6" i="84" s="1"/>
  <c r="AY8" i="84"/>
  <c r="AY10" i="84"/>
  <c r="AY12" i="84"/>
  <c r="AY14" i="84"/>
  <c r="AY16" i="84"/>
  <c r="AY18" i="84"/>
  <c r="AY20" i="84"/>
  <c r="AY22" i="84"/>
  <c r="AY24" i="84"/>
  <c r="AY26" i="84"/>
  <c r="AU27" i="84"/>
  <c r="AY28" i="84"/>
  <c r="AY33" i="84"/>
  <c r="AY35" i="84"/>
  <c r="AV45" i="84"/>
  <c r="AR45" i="84"/>
  <c r="AU46" i="84"/>
  <c r="AW46" i="84"/>
  <c r="AU47" i="84"/>
  <c r="AY47" i="84" s="1"/>
  <c r="AR48" i="84"/>
  <c r="AV49" i="84"/>
  <c r="AR49" i="84"/>
  <c r="AU50" i="84"/>
  <c r="AW50" i="84"/>
  <c r="AU51" i="84"/>
  <c r="AY51" i="84" s="1"/>
  <c r="AR53" i="84"/>
  <c r="AU54" i="84"/>
  <c r="AR55" i="84"/>
  <c r="AU56" i="84"/>
  <c r="AU58" i="84"/>
  <c r="AU60" i="84"/>
  <c r="AV62" i="84"/>
  <c r="AR62" i="84"/>
  <c r="AU63" i="84"/>
  <c r="AW63" i="84"/>
  <c r="AU64" i="84"/>
  <c r="AR65" i="84"/>
  <c r="AR66" i="84"/>
  <c r="AU67" i="84"/>
  <c r="AR68" i="84"/>
  <c r="AU69" i="84"/>
  <c r="AV70" i="84"/>
  <c r="AX70" i="84"/>
  <c r="AR70" i="84"/>
  <c r="AR71" i="84"/>
  <c r="AU72" i="84"/>
  <c r="AR73" i="84"/>
  <c r="AU74" i="84"/>
  <c r="AR75" i="84"/>
  <c r="AU76" i="84"/>
  <c r="AV77" i="84"/>
  <c r="AX77" i="84"/>
  <c r="AR77" i="84"/>
  <c r="AU78" i="84"/>
  <c r="AW78" i="84"/>
  <c r="AU79" i="84"/>
  <c r="AY79" i="84" s="1"/>
  <c r="AW79" i="84"/>
  <c r="AR80" i="84"/>
  <c r="AV81" i="84"/>
  <c r="AR81" i="84"/>
  <c r="AU82" i="84"/>
  <c r="AW82" i="84"/>
  <c r="AU83" i="84"/>
  <c r="AY83" i="84" s="1"/>
  <c r="AR84" i="84"/>
  <c r="AU85" i="84"/>
  <c r="AY85" i="84" s="1"/>
  <c r="AR86" i="84"/>
  <c r="AU87" i="84"/>
  <c r="AY87" i="84" s="1"/>
  <c r="AR88" i="84"/>
  <c r="AU89" i="84"/>
  <c r="AY89" i="84" s="1"/>
  <c r="AR90" i="84"/>
  <c r="AU91" i="84"/>
  <c r="AY91" i="84" s="1"/>
  <c r="AW91" i="84"/>
  <c r="AV92" i="84"/>
  <c r="AX92" i="84"/>
  <c r="AR92" i="84"/>
  <c r="AU93" i="84"/>
  <c r="AY93" i="84" s="1"/>
  <c r="AW93" i="84"/>
  <c r="AV94" i="84"/>
  <c r="AX94" i="84"/>
  <c r="AR94" i="84"/>
  <c r="AU95" i="84"/>
  <c r="AY95" i="84" s="1"/>
  <c r="AW95" i="84"/>
  <c r="AV96" i="84"/>
  <c r="AX96" i="84"/>
  <c r="AV97" i="84"/>
  <c r="AX97" i="84"/>
  <c r="AY97" i="84" s="1"/>
  <c r="AR97" i="84"/>
  <c r="AU98" i="84"/>
  <c r="AW98" i="84"/>
  <c r="AU99" i="84"/>
  <c r="AW99" i="84"/>
  <c r="AU100" i="84"/>
  <c r="AW100" i="84"/>
  <c r="AU101" i="84"/>
  <c r="AW101" i="84"/>
  <c r="AU102" i="84"/>
  <c r="AW102" i="84"/>
  <c r="AU103" i="84"/>
  <c r="AW103" i="84"/>
  <c r="AU104" i="84"/>
  <c r="AW104" i="84"/>
  <c r="AU105" i="84"/>
  <c r="AW105" i="84"/>
  <c r="AU106" i="84"/>
  <c r="AW106" i="84"/>
  <c r="AU107" i="84"/>
  <c r="AW107" i="84"/>
  <c r="AU108" i="84"/>
  <c r="AW108" i="84"/>
  <c r="AU109" i="84"/>
  <c r="AW109" i="84"/>
  <c r="AU110" i="84"/>
  <c r="AW110" i="84"/>
  <c r="AU111" i="84"/>
  <c r="AW111" i="84"/>
  <c r="AU112" i="84"/>
  <c r="AW112" i="84"/>
  <c r="AU113" i="84"/>
  <c r="AY113" i="84" s="1"/>
  <c r="AW113" i="84"/>
  <c r="AU114" i="84"/>
  <c r="AW114" i="84"/>
  <c r="AU115" i="84"/>
  <c r="AY115" i="84" s="1"/>
  <c r="AW115" i="84"/>
  <c r="AU116" i="84"/>
  <c r="AW116" i="84"/>
  <c r="AU117" i="84"/>
  <c r="AY117" i="84" s="1"/>
  <c r="AW117" i="84"/>
  <c r="AU118" i="84"/>
  <c r="AW118" i="84"/>
  <c r="AU119" i="84"/>
  <c r="AY119" i="84" s="1"/>
  <c r="AW119" i="84"/>
  <c r="AU120" i="84"/>
  <c r="AW120" i="84"/>
  <c r="AU121" i="84"/>
  <c r="AY121" i="84" s="1"/>
  <c r="AW121" i="84"/>
  <c r="AU122" i="84"/>
  <c r="AW122" i="84"/>
  <c r="AU123" i="84"/>
  <c r="AY123" i="84" s="1"/>
  <c r="AW123" i="84"/>
  <c r="AU124" i="84"/>
  <c r="AW124" i="84"/>
  <c r="AU125" i="84"/>
  <c r="AY125" i="84" s="1"/>
  <c r="AW125" i="84"/>
  <c r="AS3" i="84"/>
  <c r="AY3" i="84" s="1"/>
  <c r="AK3" i="84"/>
  <c r="AS5" i="84"/>
  <c r="AY5" i="84" s="1"/>
  <c r="AK5" i="84"/>
  <c r="AS7" i="84"/>
  <c r="AY7" i="84" s="1"/>
  <c r="AK7" i="84"/>
  <c r="AS9" i="84"/>
  <c r="AY9" i="84" s="1"/>
  <c r="AK9" i="84"/>
  <c r="AS11" i="84"/>
  <c r="AY11" i="84" s="1"/>
  <c r="AK11" i="84"/>
  <c r="AS13" i="84"/>
  <c r="AY13" i="84" s="1"/>
  <c r="AK13" i="84"/>
  <c r="AS15" i="84"/>
  <c r="AY15" i="84" s="1"/>
  <c r="AK15" i="84"/>
  <c r="AS17" i="84"/>
  <c r="AY17" i="84" s="1"/>
  <c r="AK17" i="84"/>
  <c r="AS19" i="84"/>
  <c r="AY19" i="84" s="1"/>
  <c r="AK19" i="84"/>
  <c r="AS21" i="84"/>
  <c r="AY21" i="84" s="1"/>
  <c r="AK21" i="84"/>
  <c r="AS23" i="84"/>
  <c r="AY23" i="84" s="1"/>
  <c r="AK23" i="84"/>
  <c r="AS25" i="84"/>
  <c r="AY25" i="84" s="1"/>
  <c r="AK25" i="84"/>
  <c r="AS27" i="84"/>
  <c r="AY27" i="84" s="1"/>
  <c r="AK27" i="84"/>
  <c r="AS29" i="84"/>
  <c r="AY29" i="84" s="1"/>
  <c r="AK29" i="84"/>
  <c r="AY30" i="84"/>
  <c r="AS31" i="84"/>
  <c r="AY31" i="84" s="1"/>
  <c r="AK31" i="84"/>
  <c r="AS32" i="84"/>
  <c r="AY32" i="84" s="1"/>
  <c r="AK32" i="84"/>
  <c r="AS34" i="84"/>
  <c r="AY34" i="84" s="1"/>
  <c r="AK34" i="84"/>
  <c r="AS36" i="84"/>
  <c r="AY36" i="84" s="1"/>
  <c r="AK36" i="84"/>
  <c r="V6" i="84"/>
  <c r="V8" i="84"/>
  <c r="V10" i="84"/>
  <c r="V12" i="84"/>
  <c r="V14" i="84"/>
  <c r="V16" i="84"/>
  <c r="V18" i="84"/>
  <c r="V20" i="84"/>
  <c r="V22" i="84"/>
  <c r="V24" i="84"/>
  <c r="V26" i="84"/>
  <c r="V28" i="84"/>
  <c r="V30" i="84"/>
  <c r="V32" i="84"/>
  <c r="V33" i="84"/>
  <c r="V35" i="84"/>
  <c r="V37" i="84"/>
  <c r="AY37" i="84"/>
  <c r="AD38" i="84"/>
  <c r="V38" i="84"/>
  <c r="AS44" i="84"/>
  <c r="AY44" i="84" s="1"/>
  <c r="AK44" i="84"/>
  <c r="AS48" i="84"/>
  <c r="AY48" i="84" s="1"/>
  <c r="AK48" i="84"/>
  <c r="AS52" i="84"/>
  <c r="AY52" i="84" s="1"/>
  <c r="AK52" i="84"/>
  <c r="AS61" i="84"/>
  <c r="AY61" i="84" s="1"/>
  <c r="AK61" i="84"/>
  <c r="AS65" i="84"/>
  <c r="AY65" i="84" s="1"/>
  <c r="AK65" i="84"/>
  <c r="V4" i="84"/>
  <c r="V3" i="84"/>
  <c r="AK4" i="84"/>
  <c r="V5" i="84"/>
  <c r="AK6" i="84"/>
  <c r="V7" i="84"/>
  <c r="AK8" i="84"/>
  <c r="V9" i="84"/>
  <c r="AK10" i="84"/>
  <c r="V11" i="84"/>
  <c r="AK12" i="84"/>
  <c r="V13" i="84"/>
  <c r="AK14" i="84"/>
  <c r="V15" i="84"/>
  <c r="AK16" i="84"/>
  <c r="V17" i="84"/>
  <c r="AK18" i="84"/>
  <c r="V19" i="84"/>
  <c r="AK20" i="84"/>
  <c r="V21" i="84"/>
  <c r="AK22" i="84"/>
  <c r="V23" i="84"/>
  <c r="AK24" i="84"/>
  <c r="V25" i="84"/>
  <c r="AK26" i="84"/>
  <c r="V27" i="84"/>
  <c r="AK28" i="84"/>
  <c r="V29" i="84"/>
  <c r="AK30" i="84"/>
  <c r="V31" i="84"/>
  <c r="AK33" i="84"/>
  <c r="V34" i="84"/>
  <c r="AK35" i="84"/>
  <c r="V36" i="84"/>
  <c r="AK37" i="84"/>
  <c r="AY39" i="84"/>
  <c r="AY41" i="84"/>
  <c r="AY43" i="84"/>
  <c r="AY45" i="84"/>
  <c r="AS46" i="84"/>
  <c r="AY46" i="84" s="1"/>
  <c r="AK46" i="84"/>
  <c r="AY49" i="84"/>
  <c r="AS50" i="84"/>
  <c r="AY50" i="84" s="1"/>
  <c r="AK50" i="84"/>
  <c r="AY53" i="84"/>
  <c r="AS54" i="84"/>
  <c r="AY54" i="84" s="1"/>
  <c r="AK54" i="84"/>
  <c r="AY55" i="84"/>
  <c r="AS56" i="84"/>
  <c r="AY56" i="84" s="1"/>
  <c r="AK56" i="84"/>
  <c r="AY57" i="84"/>
  <c r="AS58" i="84"/>
  <c r="AY58" i="84" s="1"/>
  <c r="AK58" i="84"/>
  <c r="AY59" i="84"/>
  <c r="AS60" i="84"/>
  <c r="AY60" i="84" s="1"/>
  <c r="AK60" i="84"/>
  <c r="AS63" i="84"/>
  <c r="AY63" i="84" s="1"/>
  <c r="AK63" i="84"/>
  <c r="AS67" i="84"/>
  <c r="AY67" i="84" s="1"/>
  <c r="AK67" i="84"/>
  <c r="AY68" i="84"/>
  <c r="AS69" i="84"/>
  <c r="AY69" i="84" s="1"/>
  <c r="AK69" i="84"/>
  <c r="V39" i="84"/>
  <c r="AE40" i="84"/>
  <c r="AT40" i="84" s="1"/>
  <c r="AY40" i="84" s="1"/>
  <c r="AK40" i="84"/>
  <c r="V41" i="84"/>
  <c r="AE42" i="84"/>
  <c r="AT42" i="84" s="1"/>
  <c r="AY42" i="84" s="1"/>
  <c r="V43" i="84"/>
  <c r="V45" i="84"/>
  <c r="V47" i="84"/>
  <c r="V49" i="84"/>
  <c r="V51" i="84"/>
  <c r="V53" i="84"/>
  <c r="V55" i="84"/>
  <c r="V57" i="84"/>
  <c r="V59" i="84"/>
  <c r="V61" i="84"/>
  <c r="AE62" i="84"/>
  <c r="AT62" i="84" s="1"/>
  <c r="AY62" i="84" s="1"/>
  <c r="V63" i="84"/>
  <c r="AE64" i="84"/>
  <c r="AT64" i="84" s="1"/>
  <c r="AY64" i="84" s="1"/>
  <c r="AK64" i="84"/>
  <c r="V65" i="84"/>
  <c r="AE66" i="84"/>
  <c r="AT66" i="84" s="1"/>
  <c r="AY66" i="84" s="1"/>
  <c r="V67" i="84"/>
  <c r="AE68" i="84"/>
  <c r="AT68" i="84" s="1"/>
  <c r="AK68" i="84"/>
  <c r="V69" i="84"/>
  <c r="AE70" i="84"/>
  <c r="AT70" i="84" s="1"/>
  <c r="AY70" i="84" s="1"/>
  <c r="AU71" i="84"/>
  <c r="AW71" i="84"/>
  <c r="AS80" i="84"/>
  <c r="AY80" i="84" s="1"/>
  <c r="AK80" i="84"/>
  <c r="AS84" i="84"/>
  <c r="AY84" i="84" s="1"/>
  <c r="AK84" i="84"/>
  <c r="AS86" i="84"/>
  <c r="AY86" i="84" s="1"/>
  <c r="AK86" i="84"/>
  <c r="AS88" i="84"/>
  <c r="AY88" i="84" s="1"/>
  <c r="AK88" i="84"/>
  <c r="AS90" i="84"/>
  <c r="AY90" i="84" s="1"/>
  <c r="AK90" i="84"/>
  <c r="AS92" i="84"/>
  <c r="AY92" i="84" s="1"/>
  <c r="AK92" i="84"/>
  <c r="AS94" i="84"/>
  <c r="AY94" i="84" s="1"/>
  <c r="AK94" i="84"/>
  <c r="AS96" i="84"/>
  <c r="AY96" i="84" s="1"/>
  <c r="AK96" i="84"/>
  <c r="AK39" i="84"/>
  <c r="AK41" i="84"/>
  <c r="AK43" i="84"/>
  <c r="V44" i="84"/>
  <c r="AK45" i="84"/>
  <c r="V46" i="84"/>
  <c r="AK47" i="84"/>
  <c r="V48" i="84"/>
  <c r="AK49" i="84"/>
  <c r="V50" i="84"/>
  <c r="AK51" i="84"/>
  <c r="V52" i="84"/>
  <c r="AK53" i="84"/>
  <c r="V54" i="84"/>
  <c r="AK55" i="84"/>
  <c r="V56" i="84"/>
  <c r="AK57" i="84"/>
  <c r="V58" i="84"/>
  <c r="AK59" i="84"/>
  <c r="V60" i="84"/>
  <c r="V71" i="84"/>
  <c r="AS71" i="84"/>
  <c r="AK71" i="84"/>
  <c r="AS72" i="84"/>
  <c r="AY72" i="84" s="1"/>
  <c r="AK72" i="84"/>
  <c r="AY73" i="84"/>
  <c r="AS74" i="84"/>
  <c r="AY74" i="84" s="1"/>
  <c r="AK74" i="84"/>
  <c r="AY75" i="84"/>
  <c r="AS76" i="84"/>
  <c r="AY76" i="84" s="1"/>
  <c r="AK76" i="84"/>
  <c r="AY77" i="84"/>
  <c r="AS78" i="84"/>
  <c r="AY78" i="84" s="1"/>
  <c r="AK78" i="84"/>
  <c r="AY81" i="84"/>
  <c r="AS82" i="84"/>
  <c r="AY82" i="84" s="1"/>
  <c r="AK82" i="84"/>
  <c r="V73" i="84"/>
  <c r="V75" i="84"/>
  <c r="V77" i="84"/>
  <c r="V79" i="84"/>
  <c r="V81" i="84"/>
  <c r="V83" i="84"/>
  <c r="V85" i="84"/>
  <c r="V87" i="84"/>
  <c r="V89" i="84"/>
  <c r="V91" i="84"/>
  <c r="V93" i="84"/>
  <c r="V95" i="84"/>
  <c r="AY99" i="84"/>
  <c r="AY101" i="84"/>
  <c r="AY103" i="84"/>
  <c r="AY104" i="84"/>
  <c r="AY105" i="84"/>
  <c r="AY107" i="84"/>
  <c r="AY109" i="84"/>
  <c r="V72" i="84"/>
  <c r="AK73" i="84"/>
  <c r="V74" i="84"/>
  <c r="AK75" i="84"/>
  <c r="V76" i="84"/>
  <c r="AK77" i="84"/>
  <c r="V78" i="84"/>
  <c r="AK79" i="84"/>
  <c r="V80" i="84"/>
  <c r="AK81" i="84"/>
  <c r="V82" i="84"/>
  <c r="AK83" i="84"/>
  <c r="V84" i="84"/>
  <c r="AK85" i="84"/>
  <c r="V86" i="84"/>
  <c r="AK87" i="84"/>
  <c r="V88" i="84"/>
  <c r="AK89" i="84"/>
  <c r="V90" i="84"/>
  <c r="AK91" i="84"/>
  <c r="V92" i="84"/>
  <c r="AK93" i="84"/>
  <c r="V94" i="84"/>
  <c r="AK95" i="84"/>
  <c r="V96" i="84"/>
  <c r="AR96" i="84"/>
  <c r="AS98" i="84"/>
  <c r="AY98" i="84" s="1"/>
  <c r="AK98" i="84"/>
  <c r="V97" i="84"/>
  <c r="V99" i="84"/>
  <c r="AE100" i="84"/>
  <c r="AT100" i="84" s="1"/>
  <c r="AY100" i="84" s="1"/>
  <c r="AK100" i="84"/>
  <c r="V101" i="84"/>
  <c r="AE102" i="84"/>
  <c r="AT102" i="84" s="1"/>
  <c r="AY102" i="84" s="1"/>
  <c r="V103" i="84"/>
  <c r="AE104" i="84"/>
  <c r="AT104" i="84" s="1"/>
  <c r="AK104" i="84"/>
  <c r="V105" i="84"/>
  <c r="AE106" i="84"/>
  <c r="AT106" i="84" s="1"/>
  <c r="AY106" i="84" s="1"/>
  <c r="V107" i="84"/>
  <c r="AE108" i="84"/>
  <c r="AT108" i="84" s="1"/>
  <c r="AY108" i="84" s="1"/>
  <c r="AK108" i="84"/>
  <c r="V109" i="84"/>
  <c r="AE110" i="84"/>
  <c r="AT110" i="84" s="1"/>
  <c r="AY110" i="84" s="1"/>
  <c r="V111" i="84"/>
  <c r="AS111" i="84"/>
  <c r="AY111" i="84" s="1"/>
  <c r="AK111" i="84"/>
  <c r="AY118" i="84"/>
  <c r="AK97" i="84"/>
  <c r="V98" i="84"/>
  <c r="AK99" i="84"/>
  <c r="AK101" i="84"/>
  <c r="AK103" i="84"/>
  <c r="AK105" i="84"/>
  <c r="AK107" i="84"/>
  <c r="AK109" i="84"/>
  <c r="AE112" i="84"/>
  <c r="AT112" i="84" s="1"/>
  <c r="AY112" i="84" s="1"/>
  <c r="V113" i="84"/>
  <c r="AE114" i="84"/>
  <c r="AT114" i="84" s="1"/>
  <c r="AY114" i="84" s="1"/>
  <c r="AK114" i="84"/>
  <c r="V115" i="84"/>
  <c r="AE116" i="84"/>
  <c r="AT116" i="84" s="1"/>
  <c r="AY116" i="84" s="1"/>
  <c r="V117" i="84"/>
  <c r="AE118" i="84"/>
  <c r="AT118" i="84" s="1"/>
  <c r="AK118" i="84"/>
  <c r="V119" i="84"/>
  <c r="AE120" i="84"/>
  <c r="AT120" i="84" s="1"/>
  <c r="AY120" i="84" s="1"/>
  <c r="V121" i="84"/>
  <c r="AE122" i="84"/>
  <c r="AT122" i="84" s="1"/>
  <c r="AY122" i="84" s="1"/>
  <c r="AK122" i="84"/>
  <c r="V123" i="84"/>
  <c r="AE124" i="84"/>
  <c r="AT124" i="84" s="1"/>
  <c r="AY124" i="84" s="1"/>
  <c r="V125" i="84"/>
  <c r="AK113" i="84"/>
  <c r="AK115" i="84"/>
  <c r="AK117" i="84"/>
  <c r="AK119" i="84"/>
  <c r="AK121" i="84"/>
  <c r="AK123" i="84"/>
  <c r="AK125" i="84"/>
  <c r="E33" i="83"/>
  <c r="E5" i="83"/>
  <c r="E47" i="83"/>
  <c r="AY4" i="84" l="1"/>
  <c r="AR126" i="84"/>
  <c r="AR127" i="84" s="1"/>
  <c r="AK124" i="84"/>
  <c r="AK120" i="84"/>
  <c r="AK116" i="84"/>
  <c r="AK112" i="84"/>
  <c r="AK110" i="84"/>
  <c r="AK106" i="84"/>
  <c r="AK102" i="84"/>
  <c r="AY71" i="84"/>
  <c r="AK70" i="84"/>
  <c r="AK66" i="84"/>
  <c r="AK62" i="84"/>
  <c r="AK42" i="84"/>
  <c r="AS38" i="84"/>
  <c r="AY38" i="84" s="1"/>
  <c r="AK38" i="84"/>
  <c r="S96" i="82"/>
  <c r="R96" i="82"/>
  <c r="P96" i="82"/>
  <c r="R85" i="82" l="1"/>
  <c r="S85" i="82" s="1"/>
  <c r="O85" i="82"/>
  <c r="O77" i="82"/>
  <c r="T77" i="82" s="1"/>
  <c r="M8" i="83"/>
  <c r="I33" i="83" l="1"/>
  <c r="G33" i="83"/>
  <c r="I5" i="83" l="1"/>
  <c r="G5" i="83"/>
  <c r="B130" i="83"/>
  <c r="B128" i="83"/>
  <c r="B126" i="83"/>
  <c r="D125" i="83"/>
  <c r="E125" i="83" s="1"/>
  <c r="F125" i="83" s="1"/>
  <c r="G125" i="83" s="1"/>
  <c r="D123" i="83"/>
  <c r="E123" i="83" s="1"/>
  <c r="F123" i="83" s="1"/>
  <c r="G123" i="83" s="1"/>
  <c r="H123" i="83" s="1"/>
  <c r="I123" i="83" s="1"/>
  <c r="J123" i="83" s="1"/>
  <c r="K123" i="83" s="1"/>
  <c r="L123" i="83" s="1"/>
  <c r="M123" i="83" s="1"/>
  <c r="D121" i="83"/>
  <c r="E121" i="83" s="1"/>
  <c r="F121" i="83" s="1"/>
  <c r="G121" i="83" s="1"/>
  <c r="H121" i="83" s="1"/>
  <c r="I121" i="83" s="1"/>
  <c r="J121" i="83" s="1"/>
  <c r="K121" i="83" s="1"/>
  <c r="L121" i="83" s="1"/>
  <c r="M121"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I113" i="83" s="1"/>
  <c r="J113" i="83" s="1"/>
  <c r="K113" i="83" s="1"/>
  <c r="L113" i="83" s="1"/>
  <c r="M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B94" i="83"/>
  <c r="B92" i="83"/>
  <c r="D91" i="83"/>
  <c r="E91" i="83" s="1"/>
  <c r="F91" i="83" s="1"/>
  <c r="G91" i="83" s="1"/>
  <c r="H91" i="83" s="1"/>
  <c r="I91" i="83" s="1"/>
  <c r="J91" i="83" s="1"/>
  <c r="K91" i="83" s="1"/>
  <c r="L91" i="83" s="1"/>
  <c r="M91" i="83" s="1"/>
  <c r="B90" i="83"/>
  <c r="B88" i="83"/>
  <c r="D87" i="83"/>
  <c r="E87" i="83" s="1"/>
  <c r="F87" i="83" s="1"/>
  <c r="G87" i="83" s="1"/>
  <c r="H87" i="83" s="1"/>
  <c r="I87" i="83" s="1"/>
  <c r="J87" i="83" s="1"/>
  <c r="K87" i="83" s="1"/>
  <c r="L87" i="83" s="1"/>
  <c r="M87" i="83" s="1"/>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P47" i="83"/>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H25" i="83"/>
  <c r="AB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AB8" i="83" s="1"/>
  <c r="F8" i="83"/>
  <c r="S8" i="83" s="1"/>
  <c r="D2" i="83"/>
  <c r="U8" i="83" l="1"/>
  <c r="F25" i="83"/>
  <c r="AA25" i="83" s="1"/>
  <c r="J25" i="83"/>
  <c r="W25" i="83" s="1"/>
  <c r="AA8" i="83"/>
  <c r="AC8" i="83"/>
  <c r="S17" i="83"/>
  <c r="W17" i="83"/>
  <c r="S19" i="83"/>
  <c r="W19" i="83"/>
  <c r="S21" i="83"/>
  <c r="W21" i="83"/>
  <c r="S23" i="83"/>
  <c r="W23" i="83"/>
  <c r="U9" i="83"/>
  <c r="S10" i="83"/>
  <c r="W10" i="83"/>
  <c r="U11" i="83"/>
  <c r="S12" i="83"/>
  <c r="W12" i="83"/>
  <c r="U13" i="83"/>
  <c r="S14" i="83"/>
  <c r="W14" i="83"/>
  <c r="S15" i="83"/>
  <c r="W15" i="83"/>
  <c r="S9" i="83"/>
  <c r="W9" i="83"/>
  <c r="U10" i="83"/>
  <c r="S11" i="83"/>
  <c r="W11" i="83"/>
  <c r="U12" i="83"/>
  <c r="S13" i="83"/>
  <c r="W13" i="83"/>
  <c r="U14" i="83"/>
  <c r="U15" i="83"/>
  <c r="U17" i="83"/>
  <c r="U19" i="83"/>
  <c r="U21" i="83"/>
  <c r="U23" i="83"/>
  <c r="AC25" i="83"/>
  <c r="S25" i="83"/>
  <c r="U25" i="83"/>
  <c r="S26" i="83"/>
  <c r="W26" i="83"/>
  <c r="U27" i="83"/>
  <c r="S28" i="83"/>
  <c r="W28" i="83"/>
  <c r="U29" i="83"/>
  <c r="S30" i="83"/>
  <c r="W30" i="83"/>
  <c r="U31" i="83"/>
  <c r="S32" i="83"/>
  <c r="W32" i="83"/>
  <c r="S34" i="83"/>
  <c r="W34" i="83"/>
  <c r="U35" i="83"/>
  <c r="S36" i="83"/>
  <c r="W36" i="83"/>
  <c r="U37" i="83"/>
  <c r="S38" i="83"/>
  <c r="W38" i="83"/>
  <c r="U39" i="83"/>
  <c r="S40" i="83"/>
  <c r="W40" i="83"/>
  <c r="U41" i="83"/>
  <c r="S42" i="83"/>
  <c r="W42" i="83"/>
  <c r="U43" i="83"/>
  <c r="S44" i="83"/>
  <c r="W44" i="83"/>
  <c r="U45" i="83"/>
  <c r="S46" i="83"/>
  <c r="W46" i="83"/>
  <c r="G54" i="83"/>
  <c r="H54" i="83" s="1"/>
  <c r="T47" i="83"/>
  <c r="U26" i="83"/>
  <c r="S27" i="83"/>
  <c r="W27" i="83"/>
  <c r="U28" i="83"/>
  <c r="S29" i="83"/>
  <c r="W29" i="83"/>
  <c r="U30" i="83"/>
  <c r="S31" i="83"/>
  <c r="W31" i="83"/>
  <c r="U32" i="83"/>
  <c r="U34" i="83"/>
  <c r="S35" i="83"/>
  <c r="W35" i="83"/>
  <c r="U36" i="83"/>
  <c r="S37" i="83"/>
  <c r="W37" i="83"/>
  <c r="U38" i="83"/>
  <c r="S39" i="83"/>
  <c r="W39" i="83"/>
  <c r="U40" i="83"/>
  <c r="S41" i="83"/>
  <c r="W41" i="83"/>
  <c r="U42" i="83"/>
  <c r="S43" i="83"/>
  <c r="W43" i="83"/>
  <c r="U44" i="83"/>
  <c r="S45" i="83"/>
  <c r="W45" i="83"/>
  <c r="U46" i="83"/>
  <c r="E54" i="83"/>
  <c r="F54" i="83" s="1"/>
  <c r="I54" i="83"/>
  <c r="J54" i="83" s="1"/>
  <c r="R47" i="83"/>
  <c r="V47" i="83"/>
  <c r="I47" i="33"/>
  <c r="I33" i="33"/>
  <c r="I5" i="33"/>
  <c r="E47" i="33"/>
  <c r="E33" i="33"/>
  <c r="E5" i="33"/>
  <c r="G47" i="33"/>
  <c r="G33" i="33"/>
  <c r="G5" i="33"/>
  <c r="N22" i="1"/>
  <c r="N6" i="1" s="1"/>
  <c r="Y6" i="1" s="1"/>
  <c r="M28" i="1"/>
  <c r="O28" i="1" s="1"/>
  <c r="M27" i="1"/>
  <c r="O27" i="1" s="1"/>
  <c r="G19" i="6"/>
  <c r="F19" i="6"/>
  <c r="M26" i="1" s="1"/>
  <c r="O26" i="1" s="1"/>
  <c r="O29" i="1" l="1"/>
  <c r="M29" i="1"/>
  <c r="N29" i="1" l="1"/>
  <c r="L26" i="79" l="1"/>
  <c r="M26" i="79"/>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6"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I34" i="79"/>
  <c r="AD34" i="79" s="1"/>
  <c r="AB33" i="79"/>
  <c r="AA33" i="79"/>
  <c r="Z33" i="79"/>
  <c r="N33" i="79"/>
  <c r="U33" i="79" s="1"/>
  <c r="M33" i="79"/>
  <c r="T33" i="79" s="1"/>
  <c r="W33" i="79" s="1"/>
  <c r="L33" i="79"/>
  <c r="I33" i="79"/>
  <c r="AB32" i="79"/>
  <c r="AA32" i="79"/>
  <c r="Z32" i="79"/>
  <c r="N32" i="79"/>
  <c r="M32" i="79"/>
  <c r="T32" i="79" s="1"/>
  <c r="W32" i="79" s="1"/>
  <c r="L32" i="79"/>
  <c r="I32" i="79"/>
  <c r="AB31" i="79"/>
  <c r="AA31" i="79"/>
  <c r="Z31" i="79"/>
  <c r="N31" i="79"/>
  <c r="M31" i="79"/>
  <c r="L31" i="79"/>
  <c r="S31" i="79" s="1"/>
  <c r="I31" i="79"/>
  <c r="AB30" i="79"/>
  <c r="AA30" i="79"/>
  <c r="Z30" i="79"/>
  <c r="N30" i="79"/>
  <c r="M30" i="79"/>
  <c r="L30" i="79"/>
  <c r="I30" i="79"/>
  <c r="AD30" i="79" s="1"/>
  <c r="AB29" i="79"/>
  <c r="AA29" i="79"/>
  <c r="AA23" i="79" s="1"/>
  <c r="AD23" i="79" s="1"/>
  <c r="Z29" i="79"/>
  <c r="N29" i="79"/>
  <c r="U23" i="79" s="1"/>
  <c r="M29" i="79"/>
  <c r="L29" i="79"/>
  <c r="I29" i="79"/>
  <c r="AB25" i="79"/>
  <c r="AB23" i="79" s="1"/>
  <c r="AA25" i="79"/>
  <c r="Z25" i="79"/>
  <c r="N25" i="79"/>
  <c r="M25" i="79"/>
  <c r="T25" i="79" s="1"/>
  <c r="W25" i="79" s="1"/>
  <c r="L25" i="79"/>
  <c r="I25" i="79"/>
  <c r="AD25" i="79" s="1"/>
  <c r="M23" i="79"/>
  <c r="P23" i="79" s="1"/>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P13" i="79" s="1"/>
  <c r="L13" i="79"/>
  <c r="K13" i="79"/>
  <c r="I13" i="79"/>
  <c r="AD12" i="79"/>
  <c r="AC12" i="79"/>
  <c r="AB12" i="79"/>
  <c r="AA12" i="79"/>
  <c r="Z12" i="79"/>
  <c r="Y12" i="79"/>
  <c r="O12" i="79"/>
  <c r="N12" i="79"/>
  <c r="M12" i="79"/>
  <c r="T12" i="79" s="1"/>
  <c r="W12" i="79" s="1"/>
  <c r="L12" i="79"/>
  <c r="K12" i="79"/>
  <c r="I12" i="79"/>
  <c r="AC11" i="79"/>
  <c r="AB11" i="79"/>
  <c r="AA11" i="79"/>
  <c r="AD11" i="79" s="1"/>
  <c r="Z11" i="79"/>
  <c r="Y11" i="79"/>
  <c r="O11" i="79"/>
  <c r="N11" i="79"/>
  <c r="M11" i="79"/>
  <c r="P11" i="79" s="1"/>
  <c r="L11" i="79"/>
  <c r="S11" i="79" s="1"/>
  <c r="K11" i="79"/>
  <c r="I11" i="79"/>
  <c r="AC10" i="79"/>
  <c r="AB10" i="79"/>
  <c r="AA10" i="79"/>
  <c r="AD10" i="79" s="1"/>
  <c r="Z10" i="79"/>
  <c r="Y10" i="79"/>
  <c r="O10" i="79"/>
  <c r="V10" i="79" s="1"/>
  <c r="N10" i="79"/>
  <c r="M10" i="79"/>
  <c r="L10" i="79"/>
  <c r="K10" i="79"/>
  <c r="R10" i="79" s="1"/>
  <c r="I10" i="79"/>
  <c r="AC9" i="79"/>
  <c r="AB9" i="79"/>
  <c r="AA9" i="79"/>
  <c r="AD9" i="79" s="1"/>
  <c r="Z9" i="79"/>
  <c r="Y9" i="79"/>
  <c r="O9" i="79"/>
  <c r="N9" i="79"/>
  <c r="M9" i="79"/>
  <c r="L9" i="79"/>
  <c r="K9" i="79"/>
  <c r="I9" i="79"/>
  <c r="AC5" i="79"/>
  <c r="AB5" i="79"/>
  <c r="AA5" i="79"/>
  <c r="AD5" i="79" s="1"/>
  <c r="Z5" i="79"/>
  <c r="Y5" i="79"/>
  <c r="O5" i="79"/>
  <c r="N5" i="79"/>
  <c r="M5" i="79"/>
  <c r="T3" i="79" s="1"/>
  <c r="W3" i="79" s="1"/>
  <c r="L5" i="79"/>
  <c r="K5" i="79"/>
  <c r="I5" i="79"/>
  <c r="Z3" i="79"/>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Y3" i="79" l="1"/>
  <c r="AC3" i="79"/>
  <c r="U5" i="79"/>
  <c r="AB3" i="79"/>
  <c r="R11" i="79"/>
  <c r="V11" i="79"/>
  <c r="S12" i="79"/>
  <c r="S13" i="79"/>
  <c r="R14" i="79"/>
  <c r="T14" i="79"/>
  <c r="W14" i="79" s="1"/>
  <c r="V14" i="79"/>
  <c r="L3" i="79"/>
  <c r="S3" i="79"/>
  <c r="T5" i="79"/>
  <c r="W5" i="79" s="1"/>
  <c r="P9" i="79"/>
  <c r="T7" i="79"/>
  <c r="W7" i="79" s="1"/>
  <c r="T6" i="79"/>
  <c r="W6" i="79" s="1"/>
  <c r="T8" i="79"/>
  <c r="W8" i="79" s="1"/>
  <c r="U10" i="79"/>
  <c r="L23" i="79"/>
  <c r="T27" i="79"/>
  <c r="W27" i="79" s="1"/>
  <c r="T26" i="79"/>
  <c r="W26" i="79" s="1"/>
  <c r="T28" i="79"/>
  <c r="W28" i="79" s="1"/>
  <c r="U30" i="79"/>
  <c r="AD31" i="79"/>
  <c r="S32" i="79"/>
  <c r="U29" i="79"/>
  <c r="U28" i="79"/>
  <c r="U26" i="79"/>
  <c r="U27" i="79"/>
  <c r="U3" i="79"/>
  <c r="R5" i="79"/>
  <c r="V9" i="79"/>
  <c r="V8" i="79"/>
  <c r="V6" i="79"/>
  <c r="V7" i="79"/>
  <c r="U13" i="79"/>
  <c r="N23" i="79"/>
  <c r="AD29" i="79"/>
  <c r="S30" i="79"/>
  <c r="T31" i="79"/>
  <c r="W31" i="79" s="1"/>
  <c r="U32" i="79"/>
  <c r="AD33" i="79"/>
  <c r="S34" i="79"/>
  <c r="U9" i="79"/>
  <c r="U6" i="79"/>
  <c r="U7" i="79"/>
  <c r="U8" i="79"/>
  <c r="N3" i="79"/>
  <c r="AA3" i="79"/>
  <c r="AD3" i="79" s="1"/>
  <c r="V5" i="79"/>
  <c r="R6" i="79"/>
  <c r="R8" i="79"/>
  <c r="R7" i="79"/>
  <c r="S10" i="79"/>
  <c r="U12" i="79"/>
  <c r="K3" i="79"/>
  <c r="O3" i="79"/>
  <c r="V3" i="79"/>
  <c r="S5" i="79"/>
  <c r="P5" i="79"/>
  <c r="S9" i="79"/>
  <c r="S8" i="79"/>
  <c r="S7" i="79"/>
  <c r="S6" i="79"/>
  <c r="T10" i="79"/>
  <c r="W10" i="79" s="1"/>
  <c r="U11" i="79"/>
  <c r="R12" i="79"/>
  <c r="V12" i="79"/>
  <c r="R13" i="79"/>
  <c r="V13" i="79"/>
  <c r="T23" i="79"/>
  <c r="W23" i="79" s="1"/>
  <c r="S26" i="79"/>
  <c r="S27" i="79"/>
  <c r="S28" i="79"/>
  <c r="U31" i="79"/>
  <c r="AD32" i="79"/>
  <c r="S33"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B60" i="72" s="1"/>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c r="Q79" i="71"/>
  <c r="P79" i="71"/>
  <c r="O79" i="71"/>
  <c r="N79" i="71"/>
  <c r="B79" i="71"/>
  <c r="B78" i="71"/>
  <c r="Q78" i="71"/>
  <c r="P78" i="71"/>
  <c r="O78" i="71"/>
  <c r="N78" i="71"/>
  <c r="Q77" i="71"/>
  <c r="P77" i="71"/>
  <c r="O77" i="71"/>
  <c r="N77" i="71"/>
  <c r="D77" i="71"/>
  <c r="Q76" i="71"/>
  <c r="P76" i="71"/>
  <c r="O76" i="71"/>
  <c r="N76" i="71"/>
  <c r="F76" i="71"/>
  <c r="V76" i="71" s="1"/>
  <c r="E76" i="71"/>
  <c r="U76" i="71"/>
  <c r="C76" i="71"/>
  <c r="B76" i="71"/>
  <c r="S76" i="71" s="1"/>
  <c r="Q75" i="71"/>
  <c r="P75" i="71"/>
  <c r="O75" i="71"/>
  <c r="N75" i="71"/>
  <c r="B75" i="71"/>
  <c r="B74" i="71" s="1"/>
  <c r="Q74" i="71"/>
  <c r="P74" i="71"/>
  <c r="O74" i="71"/>
  <c r="N74" i="71"/>
  <c r="Q73" i="71"/>
  <c r="P73" i="71"/>
  <c r="O73" i="71"/>
  <c r="N73" i="71"/>
  <c r="D73" i="71"/>
  <c r="Q72" i="71"/>
  <c r="P72" i="71"/>
  <c r="O72" i="71"/>
  <c r="N72" i="71"/>
  <c r="F72" i="71"/>
  <c r="V72" i="71"/>
  <c r="E72" i="71"/>
  <c r="U72" i="71" s="1"/>
  <c r="C72" i="71"/>
  <c r="T72" i="71" s="1"/>
  <c r="B72" i="71"/>
  <c r="S72" i="71" s="1"/>
  <c r="Q71" i="71"/>
  <c r="P71" i="71"/>
  <c r="O71" i="71"/>
  <c r="N71" i="71"/>
  <c r="F71" i="71"/>
  <c r="F70" i="71"/>
  <c r="Q70" i="71"/>
  <c r="P70" i="71"/>
  <c r="O70" i="71"/>
  <c r="N70" i="71"/>
  <c r="Q69" i="71"/>
  <c r="P69" i="71"/>
  <c r="O69" i="71"/>
  <c r="N69" i="71"/>
  <c r="D69" i="71"/>
  <c r="F68" i="71"/>
  <c r="F67" i="71" s="1"/>
  <c r="V68" i="71"/>
  <c r="E68" i="71"/>
  <c r="P68" i="71" s="1"/>
  <c r="C68" i="71"/>
  <c r="B68" i="71"/>
  <c r="D65" i="71"/>
  <c r="Q64" i="71"/>
  <c r="P64" i="71"/>
  <c r="O64" i="71"/>
  <c r="N64" i="71"/>
  <c r="Q63" i="71"/>
  <c r="P63" i="71"/>
  <c r="O63" i="71"/>
  <c r="N63" i="71"/>
  <c r="Q62" i="71"/>
  <c r="P62" i="71"/>
  <c r="O62" i="71"/>
  <c r="N62" i="71"/>
  <c r="Q61" i="71"/>
  <c r="F62" i="71"/>
  <c r="F63" i="71" s="1"/>
  <c r="F64" i="71" s="1"/>
  <c r="V64" i="71" s="1"/>
  <c r="P61" i="71"/>
  <c r="E62"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U56"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P41" i="71"/>
  <c r="E42" i="71" s="1"/>
  <c r="E43" i="71" s="1"/>
  <c r="E44" i="71" s="1"/>
  <c r="U44" i="71" s="1"/>
  <c r="O41" i="71"/>
  <c r="C42" i="71" s="1"/>
  <c r="N41" i="71"/>
  <c r="B42" i="71" s="1"/>
  <c r="B43" i="71" s="1"/>
  <c r="B44" i="71" s="1"/>
  <c r="S44" i="71" s="1"/>
  <c r="D41" i="71"/>
  <c r="Q40" i="71"/>
  <c r="P40" i="71"/>
  <c r="O40" i="71"/>
  <c r="N40" i="71"/>
  <c r="AB39" i="71"/>
  <c r="Q39" i="71"/>
  <c r="P39" i="71"/>
  <c r="AA39" i="71" s="1"/>
  <c r="O39" i="71"/>
  <c r="N39" i="71"/>
  <c r="X39" i="71"/>
  <c r="Q38" i="71"/>
  <c r="AB38" i="71" s="1"/>
  <c r="P38" i="71"/>
  <c r="AA37" i="71" s="1"/>
  <c r="O38" i="71"/>
  <c r="N38" i="71"/>
  <c r="Q37" i="71"/>
  <c r="AB37" i="71" s="1"/>
  <c r="P37" i="71"/>
  <c r="O37" i="71"/>
  <c r="N37" i="71"/>
  <c r="D37" i="71"/>
  <c r="Q36" i="71"/>
  <c r="P36" i="71"/>
  <c r="O36" i="71"/>
  <c r="N36" i="71"/>
  <c r="Q35" i="71"/>
  <c r="P35" i="71"/>
  <c r="AA35" i="71" s="1"/>
  <c r="O35" i="71"/>
  <c r="N35" i="71"/>
  <c r="Q34" i="71"/>
  <c r="P34" i="71"/>
  <c r="O34" i="71"/>
  <c r="Y34" i="71"/>
  <c r="Z34" i="71" s="1"/>
  <c r="N34" i="71"/>
  <c r="F35" i="71"/>
  <c r="Q33" i="71"/>
  <c r="F34" i="71" s="1"/>
  <c r="P33" i="71"/>
  <c r="O33" i="71"/>
  <c r="N33" i="71"/>
  <c r="B34" i="71" s="1"/>
  <c r="B35" i="71" s="1"/>
  <c r="B36" i="71" s="1"/>
  <c r="S36" i="71" s="1"/>
  <c r="D33" i="71"/>
  <c r="Q32" i="71"/>
  <c r="AB32" i="71" s="1"/>
  <c r="P32" i="71"/>
  <c r="AA32" i="71" s="1"/>
  <c r="O32" i="71"/>
  <c r="N32" i="71"/>
  <c r="Q31" i="71"/>
  <c r="P31" i="71"/>
  <c r="O31" i="71"/>
  <c r="N31" i="71"/>
  <c r="Q30" i="71"/>
  <c r="P30" i="71"/>
  <c r="AA29" i="71" s="1"/>
  <c r="O30" i="71"/>
  <c r="N30" i="71"/>
  <c r="Q29" i="71"/>
  <c r="F30" i="71" s="1"/>
  <c r="F31" i="71" s="1"/>
  <c r="F32" i="71" s="1"/>
  <c r="V32" i="71" s="1"/>
  <c r="P29" i="71"/>
  <c r="O29" i="71"/>
  <c r="N29" i="71"/>
  <c r="D29" i="71"/>
  <c r="O28" i="71"/>
  <c r="N28" i="71"/>
  <c r="B28" i="71" s="1"/>
  <c r="B30" i="71"/>
  <c r="E30" i="71"/>
  <c r="E31" i="71" s="1"/>
  <c r="E32" i="71" s="1"/>
  <c r="U32" i="71" s="1"/>
  <c r="E38" i="71"/>
  <c r="E39" i="71" s="1"/>
  <c r="E40" i="71" s="1"/>
  <c r="U40" i="71" s="1"/>
  <c r="N68" i="71"/>
  <c r="C30" i="71"/>
  <c r="D30" i="71" s="1"/>
  <c r="X35" i="71"/>
  <c r="C38" i="71"/>
  <c r="D38" i="71" s="1"/>
  <c r="AA38" i="71"/>
  <c r="C28" i="71"/>
  <c r="T28" i="71" s="1"/>
  <c r="C31" i="71"/>
  <c r="C39" i="71"/>
  <c r="C40" i="71" s="1"/>
  <c r="D50" i="71"/>
  <c r="P28" i="71"/>
  <c r="E63" i="71"/>
  <c r="E64" i="71" s="1"/>
  <c r="U64" i="71" s="1"/>
  <c r="U68" i="71"/>
  <c r="E67" i="71"/>
  <c r="P67" i="71" s="1"/>
  <c r="Q28" i="71"/>
  <c r="F28" i="71" s="1"/>
  <c r="F27" i="71" s="1"/>
  <c r="F26" i="71" s="1"/>
  <c r="C59" i="71"/>
  <c r="D58" i="71"/>
  <c r="T68" i="71"/>
  <c r="O68" i="71"/>
  <c r="D68" i="71"/>
  <c r="C67" i="71"/>
  <c r="Q68" i="71"/>
  <c r="C71" i="71"/>
  <c r="D72" i="71"/>
  <c r="C75" i="71"/>
  <c r="E75" i="71"/>
  <c r="E74" i="71" s="1"/>
  <c r="E79" i="71"/>
  <c r="E78" i="71" s="1"/>
  <c r="C83" i="71"/>
  <c r="C82" i="71" s="1"/>
  <c r="C87" i="71"/>
  <c r="C27" i="71"/>
  <c r="AB25" i="71"/>
  <c r="E28" i="71"/>
  <c r="E27" i="71"/>
  <c r="E26" i="71" s="1"/>
  <c r="AA26" i="71"/>
  <c r="D28" i="71"/>
  <c r="U28" i="71" s="1"/>
  <c r="C66" i="71"/>
  <c r="D66" i="71" s="1"/>
  <c r="O67" i="71"/>
  <c r="D67" i="71"/>
  <c r="D82" i="71"/>
  <c r="D87" i="71"/>
  <c r="C86" i="71"/>
  <c r="D86" i="71" s="1"/>
  <c r="D71" i="71"/>
  <c r="C70" i="71"/>
  <c r="D70" i="71" s="1"/>
  <c r="C60" i="71"/>
  <c r="T60" i="71" s="1"/>
  <c r="D59" i="71"/>
  <c r="E66" i="71"/>
  <c r="P65" i="71" s="1"/>
  <c r="C52" i="71"/>
  <c r="D51" i="71"/>
  <c r="D39" i="71"/>
  <c r="V28" i="71"/>
  <c r="O66" i="71"/>
  <c r="T5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s="1"/>
  <c r="F68" i="35" s="1"/>
  <c r="G68" i="35" s="1"/>
  <c r="F18" i="35"/>
  <c r="S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D81" i="21"/>
  <c r="G20" i="20"/>
  <c r="C25" i="40" s="1"/>
  <c r="C22" i="20"/>
  <c r="B100" i="43" s="1"/>
  <c r="B57" i="43"/>
  <c r="C29" i="39"/>
  <c r="H25" i="40"/>
  <c r="J25" i="40"/>
  <c r="H29" i="39"/>
  <c r="AB29" i="39" s="1"/>
  <c r="J29" i="39"/>
  <c r="AC29" i="39" s="1"/>
  <c r="J18" i="36"/>
  <c r="AC18" i="36" s="1"/>
  <c r="H18" i="35"/>
  <c r="J18" i="35"/>
  <c r="AC18" i="35" s="1"/>
  <c r="F77" i="37"/>
  <c r="G77" i="37" s="1"/>
  <c r="H21" i="37"/>
  <c r="AB21" i="37" s="1"/>
  <c r="F21" i="37"/>
  <c r="AA21" i="37" s="1"/>
  <c r="H21" i="34"/>
  <c r="H21" i="33"/>
  <c r="U21" i="33" s="1"/>
  <c r="F21" i="33"/>
  <c r="E83" i="21"/>
  <c r="F83" i="21" s="1"/>
  <c r="G83" i="21" s="1"/>
  <c r="H1" i="69"/>
  <c r="AC25" i="40"/>
  <c r="W25" i="40"/>
  <c r="U29" i="39"/>
  <c r="W29" i="39"/>
  <c r="W18" i="36"/>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AC21" i="37"/>
  <c r="AC21" i="34"/>
  <c r="AC21" i="33"/>
  <c r="AB21"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3" s="1"/>
  <c r="C58" i="83" s="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L59" i="3" s="1"/>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BT57" i="3"/>
  <c r="BS57" i="3"/>
  <c r="BR57" i="3"/>
  <c r="BQ57" i="3"/>
  <c r="BP57" i="3"/>
  <c r="BO57" i="3"/>
  <c r="BN57" i="3"/>
  <c r="BL57" i="3" s="1"/>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L49" i="3" s="1"/>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L291" i="3" s="1"/>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S29" i="31" s="1"/>
  <c r="R30" i="31"/>
  <c r="R31" i="31"/>
  <c r="R32" i="31"/>
  <c r="R33" i="31"/>
  <c r="S33" i="31" s="1"/>
  <c r="R34" i="31"/>
  <c r="R35" i="31"/>
  <c r="R36" i="31"/>
  <c r="R37" i="31"/>
  <c r="S37" i="31" s="1"/>
  <c r="R38" i="31"/>
  <c r="R39" i="31"/>
  <c r="R40" i="31"/>
  <c r="R41" i="31"/>
  <c r="S41" i="31" s="1"/>
  <c r="R42" i="31"/>
  <c r="R43" i="31"/>
  <c r="R44" i="31"/>
  <c r="R45" i="31"/>
  <c r="S45" i="31" s="1"/>
  <c r="R46" i="31"/>
  <c r="R47" i="31"/>
  <c r="R48" i="31"/>
  <c r="R49" i="31"/>
  <c r="S49" i="31" s="1"/>
  <c r="R50" i="31"/>
  <c r="R51" i="31"/>
  <c r="R52" i="31"/>
  <c r="R53" i="31"/>
  <c r="S53" i="31" s="1"/>
  <c r="R54" i="31"/>
  <c r="R55" i="31"/>
  <c r="R56" i="31"/>
  <c r="R57" i="31"/>
  <c r="S57" i="31" s="1"/>
  <c r="R58" i="31"/>
  <c r="R59" i="31"/>
  <c r="R60" i="31"/>
  <c r="R61" i="31"/>
  <c r="S61" i="31" s="1"/>
  <c r="R62" i="31"/>
  <c r="R63" i="31"/>
  <c r="R64" i="31"/>
  <c r="R65" i="31"/>
  <c r="S65" i="31" s="1"/>
  <c r="R66" i="31"/>
  <c r="R67" i="31"/>
  <c r="R68" i="31"/>
  <c r="R69" i="31"/>
  <c r="S69" i="31" s="1"/>
  <c r="R70" i="31"/>
  <c r="R71" i="31"/>
  <c r="R72" i="31"/>
  <c r="R73" i="31"/>
  <c r="S73" i="31" s="1"/>
  <c r="R74" i="31"/>
  <c r="R75" i="31"/>
  <c r="R76" i="31"/>
  <c r="R77" i="31"/>
  <c r="S77" i="31" s="1"/>
  <c r="R78" i="31"/>
  <c r="R79" i="31"/>
  <c r="R80" i="31"/>
  <c r="R81" i="31"/>
  <c r="S81" i="31" s="1"/>
  <c r="R82" i="31"/>
  <c r="R83" i="31"/>
  <c r="R84" i="31"/>
  <c r="R85" i="31"/>
  <c r="S85" i="31" s="1"/>
  <c r="R86" i="31"/>
  <c r="R87" i="31"/>
  <c r="R88" i="31"/>
  <c r="R89" i="31"/>
  <c r="S89" i="31" s="1"/>
  <c r="R90" i="31"/>
  <c r="R91" i="31"/>
  <c r="R92" i="31"/>
  <c r="R93" i="31"/>
  <c r="S93" i="31" s="1"/>
  <c r="R94" i="31"/>
  <c r="R95" i="31"/>
  <c r="R96" i="31"/>
  <c r="R97" i="31"/>
  <c r="S97" i="31" s="1"/>
  <c r="R98" i="31"/>
  <c r="R99" i="31"/>
  <c r="R100" i="31"/>
  <c r="R101" i="31"/>
  <c r="S101" i="31" s="1"/>
  <c r="R102" i="31"/>
  <c r="R103" i="31"/>
  <c r="R104" i="31"/>
  <c r="R105" i="31"/>
  <c r="S105" i="31" s="1"/>
  <c r="R106" i="31"/>
  <c r="R107" i="31"/>
  <c r="R108" i="31"/>
  <c r="R109" i="31"/>
  <c r="S109" i="31" s="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S280" i="31" s="1"/>
  <c r="R281" i="31"/>
  <c r="S281" i="31" s="1"/>
  <c r="R282" i="3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S429" i="31" s="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R499" i="31"/>
  <c r="R500" i="31"/>
  <c r="R501" i="31"/>
  <c r="R502" i="31"/>
  <c r="R503" i="31"/>
  <c r="R504" i="31"/>
  <c r="R505" i="31"/>
  <c r="R506" i="31"/>
  <c r="R507" i="31"/>
  <c r="R508" i="31"/>
  <c r="R509" i="31"/>
  <c r="S509" i="31" s="1"/>
  <c r="R510" i="31"/>
  <c r="R511" i="31"/>
  <c r="R512" i="31"/>
  <c r="R513" i="31"/>
  <c r="S513" i="31" s="1"/>
  <c r="R514" i="31"/>
  <c r="R515" i="31"/>
  <c r="R516" i="31"/>
  <c r="R517" i="31"/>
  <c r="S517" i="31" s="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0" i="31"/>
  <c r="S356" i="31"/>
  <c r="S352" i="31"/>
  <c r="S348" i="31"/>
  <c r="S344" i="31"/>
  <c r="S340" i="31"/>
  <c r="S336" i="31"/>
  <c r="S332" i="31"/>
  <c r="S328" i="31"/>
  <c r="S324" i="31"/>
  <c r="S424" i="31"/>
  <c r="S320" i="31"/>
  <c r="S318" i="31"/>
  <c r="S316" i="31"/>
  <c r="S312" i="31"/>
  <c r="S310" i="31"/>
  <c r="S308" i="31"/>
  <c r="S304" i="31"/>
  <c r="S302" i="31"/>
  <c r="S300" i="31"/>
  <c r="S296" i="31"/>
  <c r="S294" i="31"/>
  <c r="S292" i="31"/>
  <c r="S290" i="31"/>
  <c r="S288" i="31"/>
  <c r="S286" i="31"/>
  <c r="S282" i="31"/>
  <c r="S278" i="31"/>
  <c r="S276" i="31"/>
  <c r="S274" i="31"/>
  <c r="S272" i="31"/>
  <c r="S270" i="31"/>
  <c r="S268" i="31"/>
  <c r="S266" i="31"/>
  <c r="S264" i="31"/>
  <c r="S262" i="31"/>
  <c r="S260" i="31"/>
  <c r="S258" i="31"/>
  <c r="S256"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8" i="31"/>
  <c r="S427"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4" i="31"/>
  <c r="S463" i="31"/>
  <c r="S462" i="31"/>
  <c r="S460" i="31"/>
  <c r="S459" i="31"/>
  <c r="S458" i="31"/>
  <c r="S456" i="31"/>
  <c r="S455" i="31"/>
  <c r="S454" i="31"/>
  <c r="S452" i="31"/>
  <c r="S451" i="31"/>
  <c r="S450" i="31"/>
  <c r="S54" i="31"/>
  <c r="S52" i="31"/>
  <c r="S51" i="31"/>
  <c r="S50" i="31"/>
  <c r="S48" i="31"/>
  <c r="S47" i="31"/>
  <c r="S46" i="31"/>
  <c r="S44" i="31"/>
  <c r="S43" i="31"/>
  <c r="S42" i="31"/>
  <c r="S40" i="31"/>
  <c r="S39" i="31"/>
  <c r="S38" i="31"/>
  <c r="S36" i="31"/>
  <c r="S35" i="31"/>
  <c r="S34" i="31"/>
  <c r="S32" i="31"/>
  <c r="S76" i="31"/>
  <c r="S75" i="31"/>
  <c r="S74" i="31"/>
  <c r="S72" i="31"/>
  <c r="S71" i="31"/>
  <c r="S70" i="31"/>
  <c r="S68" i="31"/>
  <c r="S67" i="31"/>
  <c r="S66" i="31"/>
  <c r="S64" i="31"/>
  <c r="S63" i="31"/>
  <c r="S62" i="31"/>
  <c r="S60" i="31"/>
  <c r="S59" i="31"/>
  <c r="S58" i="31"/>
  <c r="S56" i="31"/>
  <c r="S55" i="31"/>
  <c r="S24" i="31"/>
  <c r="S96" i="31"/>
  <c r="S95" i="31"/>
  <c r="S94" i="31"/>
  <c r="S92" i="31"/>
  <c r="S91" i="31"/>
  <c r="S90" i="31"/>
  <c r="S88" i="31"/>
  <c r="S87" i="31"/>
  <c r="S86" i="31"/>
  <c r="S84" i="31"/>
  <c r="S83" i="31"/>
  <c r="S82" i="31"/>
  <c r="S80" i="31"/>
  <c r="S79" i="31"/>
  <c r="S78" i="31"/>
  <c r="S31" i="31"/>
  <c r="S30" i="31"/>
  <c r="S98" i="31"/>
  <c r="S99" i="31"/>
  <c r="S100" i="31"/>
  <c r="S102" i="31"/>
  <c r="S103" i="31"/>
  <c r="S104" i="31"/>
  <c r="S106" i="31"/>
  <c r="S107" i="31"/>
  <c r="S108" i="31"/>
  <c r="S110" i="31"/>
  <c r="S111" i="31"/>
  <c r="S445" i="31"/>
  <c r="S446" i="31"/>
  <c r="S447" i="31"/>
  <c r="S448" i="31"/>
  <c r="S449" i="31"/>
  <c r="S507" i="31"/>
  <c r="S508" i="31"/>
  <c r="S510" i="31"/>
  <c r="S511"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8" i="31"/>
  <c r="S519" i="31"/>
  <c r="S520"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H33" i="40" s="1"/>
  <c r="U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c r="G92" i="40" s="1"/>
  <c r="D90" i="40"/>
  <c r="E90" i="40" s="1"/>
  <c r="F90" i="40" s="1"/>
  <c r="G90" i="40"/>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c r="Q39" i="40"/>
  <c r="Z39" i="40" s="1"/>
  <c r="Q38" i="40"/>
  <c r="Z38" i="40" s="1"/>
  <c r="J38" i="40"/>
  <c r="AC38" i="40" s="1"/>
  <c r="Q37" i="40"/>
  <c r="Z37" i="40" s="1"/>
  <c r="Q36" i="40"/>
  <c r="Z36" i="40" s="1"/>
  <c r="Q35" i="40"/>
  <c r="Z35" i="40" s="1"/>
  <c r="Q34" i="40"/>
  <c r="Z34" i="40"/>
  <c r="J34" i="40"/>
  <c r="AC34" i="40" s="1"/>
  <c r="H34" i="40"/>
  <c r="AB34" i="40" s="1"/>
  <c r="F34" i="40"/>
  <c r="AA34" i="40" s="1"/>
  <c r="Q33" i="40"/>
  <c r="Z33" i="40"/>
  <c r="Q32" i="40"/>
  <c r="Z32" i="40" s="1"/>
  <c r="Q31" i="40"/>
  <c r="Z31" i="40" s="1"/>
  <c r="Q30" i="40"/>
  <c r="Z30" i="40" s="1"/>
  <c r="Q28" i="40"/>
  <c r="Z28" i="40"/>
  <c r="Q27" i="40"/>
  <c r="Z27" i="40" s="1"/>
  <c r="Q23" i="40"/>
  <c r="Z23" i="40" s="1"/>
  <c r="Q21" i="40"/>
  <c r="Z21" i="40" s="1"/>
  <c r="Q19" i="40"/>
  <c r="Z19" i="40"/>
  <c r="Q17" i="40"/>
  <c r="Z17" i="40" s="1"/>
  <c r="Q15" i="40"/>
  <c r="Z15" i="40" s="1"/>
  <c r="Q14" i="40"/>
  <c r="Z14" i="40" s="1"/>
  <c r="Q13" i="40"/>
  <c r="Z13" i="40"/>
  <c r="Q12" i="40"/>
  <c r="Z12" i="40" s="1"/>
  <c r="Q11" i="40"/>
  <c r="Z11" i="40" s="1"/>
  <c r="Q10" i="40"/>
  <c r="Z10" i="40" s="1"/>
  <c r="Q9" i="40"/>
  <c r="Z9" i="40"/>
  <c r="J9" i="40"/>
  <c r="W9" i="40" s="1"/>
  <c r="H9" i="40"/>
  <c r="AB9" i="40" s="1"/>
  <c r="F9" i="40"/>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c r="H9" i="39"/>
  <c r="AB9" i="39" s="1"/>
  <c r="F9" i="39"/>
  <c r="AA9" i="39" s="1"/>
  <c r="J8" i="39"/>
  <c r="AC8" i="39" s="1"/>
  <c r="H8" i="39"/>
  <c r="F8" i="39"/>
  <c r="AA8" i="39" s="1"/>
  <c r="C20" i="36"/>
  <c r="C20" i="35"/>
  <c r="C16" i="36"/>
  <c r="C16" i="35"/>
  <c r="C14" i="36"/>
  <c r="C14" i="35"/>
  <c r="B80" i="37"/>
  <c r="J25" i="37" s="1"/>
  <c r="W25" i="37" s="1"/>
  <c r="B110" i="37"/>
  <c r="J39" i="37" s="1"/>
  <c r="B108" i="37"/>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F97" i="37"/>
  <c r="E97" i="37"/>
  <c r="D97" i="37"/>
  <c r="C97" i="37"/>
  <c r="D96" i="37"/>
  <c r="E96" i="37" s="1"/>
  <c r="F96" i="37" s="1"/>
  <c r="G96" i="37" s="1"/>
  <c r="H96" i="37" s="1"/>
  <c r="I96" i="37" s="1"/>
  <c r="J96" i="37" s="1"/>
  <c r="K96" i="37" s="1"/>
  <c r="L96" i="37" s="1"/>
  <c r="M96" i="37" s="1"/>
  <c r="D94" i="37"/>
  <c r="E94" i="37" s="1"/>
  <c r="F94" i="37" s="1"/>
  <c r="G94" i="37" s="1"/>
  <c r="H94" i="37" s="1"/>
  <c r="I94" i="37" s="1"/>
  <c r="M90" i="37"/>
  <c r="L90" i="37"/>
  <c r="K90" i="37"/>
  <c r="J90" i="37"/>
  <c r="I90" i="37"/>
  <c r="H90" i="37"/>
  <c r="G90" i="37"/>
  <c r="F90" i="37"/>
  <c r="E90" i="37"/>
  <c r="D90" i="37"/>
  <c r="C90" i="37"/>
  <c r="D89" i="37"/>
  <c r="E89" i="37" s="1"/>
  <c r="F89" i="37" s="1"/>
  <c r="B86" i="37"/>
  <c r="B84" i="37"/>
  <c r="H27" i="37" s="1"/>
  <c r="B82" i="37"/>
  <c r="J26" i="37" s="1"/>
  <c r="D79" i="37"/>
  <c r="E79" i="37" s="1"/>
  <c r="F79" i="37" s="1"/>
  <c r="G79" i="37" s="1"/>
  <c r="D75" i="37"/>
  <c r="E75" i="37" s="1"/>
  <c r="D73" i="37"/>
  <c r="E73" i="37"/>
  <c r="F73" i="37" s="1"/>
  <c r="G73" i="37" s="1"/>
  <c r="D71" i="37"/>
  <c r="H15" i="37"/>
  <c r="AB15" i="37"/>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s="1"/>
  <c r="H29" i="37"/>
  <c r="AB29" i="37"/>
  <c r="Q28" i="37"/>
  <c r="Z28" i="37" s="1"/>
  <c r="Q27" i="37"/>
  <c r="Z27" i="37" s="1"/>
  <c r="Q26" i="37"/>
  <c r="Z26" i="37" s="1"/>
  <c r="H26" i="37"/>
  <c r="AB26" i="37" s="1"/>
  <c r="Q25" i="37"/>
  <c r="Z25" i="37" s="1"/>
  <c r="F25" i="37"/>
  <c r="AA25" i="37" s="1"/>
  <c r="Q23" i="37"/>
  <c r="Z23" i="37"/>
  <c r="Q19" i="37"/>
  <c r="Z19" i="37" s="1"/>
  <c r="Q17" i="37"/>
  <c r="Z17" i="37" s="1"/>
  <c r="Q15" i="37"/>
  <c r="Z15" i="37" s="1"/>
  <c r="Q14" i="37"/>
  <c r="Z14" i="37"/>
  <c r="Q13" i="37"/>
  <c r="Z13" i="37" s="1"/>
  <c r="Q12" i="37"/>
  <c r="Z12" i="37" s="1"/>
  <c r="Q11" i="37"/>
  <c r="Z11" i="37" s="1"/>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29" i="36"/>
  <c r="D81" i="36"/>
  <c r="E81" i="36" s="1"/>
  <c r="F81" i="36" s="1"/>
  <c r="G81" i="36" s="1"/>
  <c r="H81" i="36" s="1"/>
  <c r="I81" i="36" s="1"/>
  <c r="J81" i="36" s="1"/>
  <c r="K81" i="36" s="1"/>
  <c r="L81" i="36" s="1"/>
  <c r="M81" i="36" s="1"/>
  <c r="F79" i="36"/>
  <c r="E79" i="36"/>
  <c r="D79" i="36"/>
  <c r="C79" i="36"/>
  <c r="B93" i="36"/>
  <c r="B91" i="36"/>
  <c r="F32" i="36" s="1"/>
  <c r="B95" i="36"/>
  <c r="D83" i="36"/>
  <c r="E83" i="36"/>
  <c r="F83" i="36" s="1"/>
  <c r="G83" i="36" s="1"/>
  <c r="H83" i="36" s="1"/>
  <c r="I83" i="36" s="1"/>
  <c r="J83" i="36" s="1"/>
  <c r="K83" i="36" s="1"/>
  <c r="L83" i="36" s="1"/>
  <c r="M83" i="36" s="1"/>
  <c r="D78" i="36"/>
  <c r="E78" i="36" s="1"/>
  <c r="F78" i="36" s="1"/>
  <c r="G78" i="36"/>
  <c r="H78" i="36" s="1"/>
  <c r="I78" i="36" s="1"/>
  <c r="J78" i="36" s="1"/>
  <c r="K78" i="36" s="1"/>
  <c r="L78" i="36" s="1"/>
  <c r="M78" i="36" s="1"/>
  <c r="B75" i="36"/>
  <c r="B73" i="36"/>
  <c r="H24" i="36" s="1"/>
  <c r="AB24" i="36" s="1"/>
  <c r="J24" i="36"/>
  <c r="B71" i="36"/>
  <c r="D70" i="36"/>
  <c r="H22" i="36"/>
  <c r="AB22" i="36" s="1"/>
  <c r="D68" i="36"/>
  <c r="E68" i="36" s="1"/>
  <c r="F68" i="36" s="1"/>
  <c r="G68" i="36" s="1"/>
  <c r="D64" i="36"/>
  <c r="E64" i="36"/>
  <c r="F64" i="36" s="1"/>
  <c r="G64" i="36" s="1"/>
  <c r="J16" i="36"/>
  <c r="W16" i="36"/>
  <c r="D62" i="36"/>
  <c r="E62" i="36" s="1"/>
  <c r="F62" i="36" s="1"/>
  <c r="G62" i="36" s="1"/>
  <c r="B59" i="36"/>
  <c r="B57" i="36"/>
  <c r="J12" i="36" s="1"/>
  <c r="W12" i="36" s="1"/>
  <c r="B55" i="36"/>
  <c r="C51" i="36"/>
  <c r="J9" i="36" s="1"/>
  <c r="AC9" i="36" s="1"/>
  <c r="P37" i="36"/>
  <c r="P36" i="36"/>
  <c r="V35" i="36"/>
  <c r="T35" i="36"/>
  <c r="R35" i="36"/>
  <c r="P35" i="36"/>
  <c r="Q34" i="36"/>
  <c r="Z34" i="36" s="1"/>
  <c r="Q33" i="36"/>
  <c r="Z33" i="36" s="1"/>
  <c r="Q32" i="36"/>
  <c r="Z32" i="36" s="1"/>
  <c r="Q31" i="36"/>
  <c r="Z31" i="36" s="1"/>
  <c r="Q30" i="36"/>
  <c r="Z30" i="36"/>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F23" i="36"/>
  <c r="AA23" i="36" s="1"/>
  <c r="Q22" i="36"/>
  <c r="Z22" i="36"/>
  <c r="J22" i="36"/>
  <c r="AC22" i="36" s="1"/>
  <c r="Q20" i="36"/>
  <c r="Z20" i="36" s="1"/>
  <c r="Q16" i="36"/>
  <c r="Z16" i="36" s="1"/>
  <c r="Q14" i="36"/>
  <c r="Z14" i="36"/>
  <c r="Q13" i="36"/>
  <c r="Z13" i="36" s="1"/>
  <c r="Q12" i="36"/>
  <c r="Z12" i="36" s="1"/>
  <c r="H12" i="36"/>
  <c r="U12" i="36" s="1"/>
  <c r="Q11" i="36"/>
  <c r="Z11" i="36" s="1"/>
  <c r="Q10" i="36"/>
  <c r="Z10" i="36" s="1"/>
  <c r="F10" i="36"/>
  <c r="AA10" i="36" s="1"/>
  <c r="Q9" i="36"/>
  <c r="Z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c r="B101" i="35"/>
  <c r="B99" i="35"/>
  <c r="B97" i="35"/>
  <c r="H34" i="35" s="1"/>
  <c r="B77" i="35"/>
  <c r="B75" i="35"/>
  <c r="J24" i="35"/>
  <c r="AC24" i="35" s="1"/>
  <c r="B73" i="35"/>
  <c r="H23" i="35" s="1"/>
  <c r="U23" i="35"/>
  <c r="B57" i="35"/>
  <c r="J11" i="35" s="1"/>
  <c r="B61" i="35"/>
  <c r="B59" i="35"/>
  <c r="B131" i="34"/>
  <c r="B129" i="34"/>
  <c r="F46" i="34" s="1"/>
  <c r="B127" i="34"/>
  <c r="B99" i="34"/>
  <c r="B97" i="34"/>
  <c r="B95" i="34"/>
  <c r="J30" i="34" s="1"/>
  <c r="B93" i="34"/>
  <c r="B75" i="34"/>
  <c r="B73" i="34"/>
  <c r="B71" i="34"/>
  <c r="B130" i="33"/>
  <c r="B128" i="33"/>
  <c r="B126" i="33"/>
  <c r="B98" i="33"/>
  <c r="H31" i="33" s="1"/>
  <c r="B96" i="33"/>
  <c r="B94" i="33"/>
  <c r="B74" i="33"/>
  <c r="B72" i="33"/>
  <c r="J13" i="33" s="1"/>
  <c r="B70" i="33"/>
  <c r="J12" i="33" s="1"/>
  <c r="D96" i="35"/>
  <c r="E96" i="35"/>
  <c r="F96" i="35" s="1"/>
  <c r="G96" i="35" s="1"/>
  <c r="D94" i="35"/>
  <c r="E94" i="35" s="1"/>
  <c r="F94" i="35" s="1"/>
  <c r="G94" i="35" s="1"/>
  <c r="H94" i="35" s="1"/>
  <c r="I94" i="35" s="1"/>
  <c r="J94" i="35" s="1"/>
  <c r="K94" i="35" s="1"/>
  <c r="L94" i="35"/>
  <c r="M94" i="35" s="1"/>
  <c r="D84" i="35"/>
  <c r="E84" i="35" s="1"/>
  <c r="F84" i="35"/>
  <c r="G84" i="35" s="1"/>
  <c r="H84" i="35" s="1"/>
  <c r="I84" i="35" s="1"/>
  <c r="J84" i="35" s="1"/>
  <c r="K84" i="35" s="1"/>
  <c r="L84" i="35" s="1"/>
  <c r="M84" i="35" s="1"/>
  <c r="D80" i="35"/>
  <c r="E80" i="35"/>
  <c r="F80" i="35" s="1"/>
  <c r="G80" i="35" s="1"/>
  <c r="H80" i="35" s="1"/>
  <c r="I80" i="35" s="1"/>
  <c r="J80" i="35" s="1"/>
  <c r="K80" i="35" s="1"/>
  <c r="L80" i="35" s="1"/>
  <c r="M80" i="35" s="1"/>
  <c r="D72" i="35"/>
  <c r="E72" i="35" s="1"/>
  <c r="F72" i="35"/>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J34" i="35"/>
  <c r="W34" i="35" s="1"/>
  <c r="F34" i="35"/>
  <c r="AA34" i="35"/>
  <c r="Q33" i="35"/>
  <c r="Z33" i="35" s="1"/>
  <c r="Q32" i="35"/>
  <c r="Z32" i="35" s="1"/>
  <c r="H32" i="35"/>
  <c r="AB32" i="35" s="1"/>
  <c r="F32" i="35"/>
  <c r="AA32" i="35" s="1"/>
  <c r="Q31" i="35"/>
  <c r="Z31" i="35" s="1"/>
  <c r="AC31" i="35"/>
  <c r="AB31" i="35"/>
  <c r="AA31" i="35"/>
  <c r="Q30" i="35"/>
  <c r="Z30" i="35" s="1"/>
  <c r="Q29" i="35"/>
  <c r="Z29" i="35" s="1"/>
  <c r="Q28" i="35"/>
  <c r="Z28" i="35" s="1"/>
  <c r="J28" i="35"/>
  <c r="AC28" i="35"/>
  <c r="H28" i="35"/>
  <c r="F28" i="35"/>
  <c r="AA28" i="35" s="1"/>
  <c r="Q27" i="35"/>
  <c r="Z27" i="35" s="1"/>
  <c r="Q26" i="35"/>
  <c r="Z26" i="35"/>
  <c r="Q25" i="35"/>
  <c r="Z25" i="35" s="1"/>
  <c r="Q24" i="35"/>
  <c r="Z24" i="35" s="1"/>
  <c r="Q23" i="35"/>
  <c r="Z23" i="35" s="1"/>
  <c r="Q22" i="35"/>
  <c r="Z22" i="35" s="1"/>
  <c r="Q20" i="35"/>
  <c r="Z20" i="35" s="1"/>
  <c r="Q16" i="35"/>
  <c r="Z16" i="35" s="1"/>
  <c r="Q14" i="35"/>
  <c r="Z14" i="35"/>
  <c r="Q13" i="35"/>
  <c r="Z13" i="35" s="1"/>
  <c r="Q12" i="35"/>
  <c r="Z12" i="35" s="1"/>
  <c r="J12" i="35"/>
  <c r="W12" i="35" s="1"/>
  <c r="H12" i="35"/>
  <c r="U12" i="35" s="1"/>
  <c r="F12" i="35"/>
  <c r="S12" i="35" s="1"/>
  <c r="Q11" i="35"/>
  <c r="Z11" i="35"/>
  <c r="Q10" i="35"/>
  <c r="Z10" i="35" s="1"/>
  <c r="Q9" i="35"/>
  <c r="Z9" i="35" s="1"/>
  <c r="J8" i="35"/>
  <c r="W8" i="35" s="1"/>
  <c r="H8" i="35"/>
  <c r="AB8" i="35" s="1"/>
  <c r="F8" i="35"/>
  <c r="AA8" i="35" s="1"/>
  <c r="D120" i="34"/>
  <c r="E120" i="34" s="1"/>
  <c r="F120" i="34" s="1"/>
  <c r="G120" i="34"/>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c r="Q30" i="34"/>
  <c r="Z30" i="34" s="1"/>
  <c r="Q29" i="34"/>
  <c r="Z29" i="34" s="1"/>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J12" i="34"/>
  <c r="Q11" i="34"/>
  <c r="Z11" i="34" s="1"/>
  <c r="Q10" i="34"/>
  <c r="Z10" i="34" s="1"/>
  <c r="F10" i="34"/>
  <c r="AA10" i="34" s="1"/>
  <c r="Q9" i="34"/>
  <c r="Z9" i="34" s="1"/>
  <c r="J9" i="34"/>
  <c r="AC9" i="34" s="1"/>
  <c r="H9" i="34"/>
  <c r="F9" i="34"/>
  <c r="AA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c r="Q42" i="33"/>
  <c r="Z42" i="33" s="1"/>
  <c r="J42" i="33"/>
  <c r="AC42" i="33" s="1"/>
  <c r="AC41" i="33"/>
  <c r="W41" i="33"/>
  <c r="Q41" i="33"/>
  <c r="Z41" i="33" s="1"/>
  <c r="Q40" i="33"/>
  <c r="Z40" i="33" s="1"/>
  <c r="J40" i="33"/>
  <c r="AC40" i="33"/>
  <c r="H40" i="33"/>
  <c r="AB40" i="33" s="1"/>
  <c r="Q39" i="33"/>
  <c r="Z39" i="33" s="1"/>
  <c r="J39" i="33"/>
  <c r="AC39" i="33" s="1"/>
  <c r="Q38" i="33"/>
  <c r="Z38" i="33" s="1"/>
  <c r="J38" i="33"/>
  <c r="AC38" i="33" s="1"/>
  <c r="H38" i="33"/>
  <c r="AB38" i="33" s="1"/>
  <c r="F38" i="33"/>
  <c r="AA38" i="33" s="1"/>
  <c r="Q37" i="33"/>
  <c r="Z37" i="33"/>
  <c r="Q36" i="33"/>
  <c r="Z36" i="33" s="1"/>
  <c r="Q35" i="33"/>
  <c r="Z35" i="33" s="1"/>
  <c r="H35" i="33"/>
  <c r="AB35" i="33" s="1"/>
  <c r="Q34" i="33"/>
  <c r="Z34" i="33" s="1"/>
  <c r="Q33" i="33"/>
  <c r="Z33" i="33" s="1"/>
  <c r="Q32" i="33"/>
  <c r="Z32" i="33" s="1"/>
  <c r="Q31" i="33"/>
  <c r="Z31" i="33" s="1"/>
  <c r="Q30" i="33"/>
  <c r="Z30" i="33"/>
  <c r="Q29" i="33"/>
  <c r="Z29" i="33" s="1"/>
  <c r="Q28" i="33"/>
  <c r="Z28" i="33" s="1"/>
  <c r="Q27" i="33"/>
  <c r="Z27" i="33" s="1"/>
  <c r="Q26" i="33"/>
  <c r="Z26" i="33"/>
  <c r="Q25" i="33"/>
  <c r="Z25" i="33" s="1"/>
  <c r="Q23" i="33"/>
  <c r="Z23" i="33" s="1"/>
  <c r="Q19" i="33"/>
  <c r="Z19" i="33" s="1"/>
  <c r="Q17" i="33"/>
  <c r="Z17" i="33"/>
  <c r="Q15" i="33"/>
  <c r="Z15" i="33" s="1"/>
  <c r="Q14" i="33"/>
  <c r="Z14" i="33" s="1"/>
  <c r="Q13" i="33"/>
  <c r="Z13" i="33"/>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s="1"/>
  <c r="C24" i="20"/>
  <c r="B97" i="43" s="1"/>
  <c r="C21" i="20"/>
  <c r="B99" i="43" s="1"/>
  <c r="C20" i="20"/>
  <c r="B79" i="43" s="1"/>
  <c r="C18" i="20"/>
  <c r="B94" i="43" s="1"/>
  <c r="C17" i="20"/>
  <c r="B61" i="43" s="1"/>
  <c r="C16" i="20"/>
  <c r="C17" i="39" s="1"/>
  <c r="C15" i="20"/>
  <c r="B72" i="43" s="1"/>
  <c r="E54" i="21"/>
  <c r="F54" i="21" s="1"/>
  <c r="I54" i="21"/>
  <c r="J54" i="21" s="1"/>
  <c r="G54" i="21"/>
  <c r="H54" i="21" s="1"/>
  <c r="D125" i="21"/>
  <c r="E125" i="21" s="1"/>
  <c r="F125" i="21"/>
  <c r="G125" i="21" s="1"/>
  <c r="D123" i="21"/>
  <c r="E123" i="21" s="1"/>
  <c r="F123" i="21"/>
  <c r="F42" i="21"/>
  <c r="D119" i="21"/>
  <c r="F40" i="21"/>
  <c r="D117" i="21"/>
  <c r="E117" i="21" s="1"/>
  <c r="F117" i="21" s="1"/>
  <c r="G117" i="21" s="1"/>
  <c r="D115" i="21"/>
  <c r="E115" i="21" s="1"/>
  <c r="F115" i="21" s="1"/>
  <c r="G115" i="21" s="1"/>
  <c r="H115" i="21" s="1"/>
  <c r="I115" i="21" s="1"/>
  <c r="J115" i="2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c r="B126" i="21"/>
  <c r="B98" i="21"/>
  <c r="H31" i="21" s="1"/>
  <c r="B96" i="21"/>
  <c r="B94" i="21"/>
  <c r="J29" i="21" s="1"/>
  <c r="AC29" i="21" s="1"/>
  <c r="B92" i="21"/>
  <c r="B90" i="21"/>
  <c r="J27" i="21" s="1"/>
  <c r="B74" i="21"/>
  <c r="F14" i="21" s="1"/>
  <c r="B72" i="21"/>
  <c r="H13" i="21"/>
  <c r="B70" i="21"/>
  <c r="F12" i="2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c r="F5" i="3"/>
  <c r="G27" i="6"/>
  <c r="F34" i="21"/>
  <c r="AA34" i="21"/>
  <c r="H34" i="21"/>
  <c r="AB34" i="21"/>
  <c r="F43" i="21"/>
  <c r="S43" i="2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H36" i="21"/>
  <c r="U36" i="21" s="1"/>
  <c r="F35" i="21"/>
  <c r="AA35" i="21" s="1"/>
  <c r="J10" i="21"/>
  <c r="AC10" i="21" s="1"/>
  <c r="H26" i="21"/>
  <c r="AB26" i="21"/>
  <c r="AB19" i="21"/>
  <c r="J19" i="21"/>
  <c r="W19" i="21" s="1"/>
  <c r="J12" i="21"/>
  <c r="AC12" i="21" s="1"/>
  <c r="H12" i="21"/>
  <c r="J26" i="21"/>
  <c r="W26" i="21" s="1"/>
  <c r="F26" i="21"/>
  <c r="S26" i="21" s="1"/>
  <c r="AB41" i="21"/>
  <c r="S41" i="21"/>
  <c r="AA41" i="21"/>
  <c r="F45" i="39"/>
  <c r="S45" i="39"/>
  <c r="J45" i="39"/>
  <c r="W45" i="39"/>
  <c r="H36" i="39"/>
  <c r="AB36" i="39"/>
  <c r="J35" i="39"/>
  <c r="AC35" i="39"/>
  <c r="F35" i="39"/>
  <c r="AA35" i="39"/>
  <c r="U9" i="39"/>
  <c r="U30" i="37"/>
  <c r="W31" i="37"/>
  <c r="F39" i="37"/>
  <c r="S39" i="37" s="1"/>
  <c r="U14" i="37"/>
  <c r="F29" i="36"/>
  <c r="AA29" i="36" s="1"/>
  <c r="F16" i="36"/>
  <c r="AA16" i="36" s="1"/>
  <c r="W28" i="36"/>
  <c r="J33" i="36"/>
  <c r="AC33" i="36" s="1"/>
  <c r="H22" i="35"/>
  <c r="AB22" i="35" s="1"/>
  <c r="W28" i="35"/>
  <c r="U31" i="35"/>
  <c r="S34" i="35"/>
  <c r="W22" i="35"/>
  <c r="S31" i="35"/>
  <c r="F36" i="34"/>
  <c r="J35" i="34"/>
  <c r="W9" i="34"/>
  <c r="H39" i="33"/>
  <c r="AB39" i="33" s="1"/>
  <c r="F26" i="33"/>
  <c r="AA26" i="33" s="1"/>
  <c r="U35" i="33"/>
  <c r="W39" i="33"/>
  <c r="H39" i="37"/>
  <c r="AB39" i="37"/>
  <c r="F11" i="40"/>
  <c r="AA11" i="40" s="1"/>
  <c r="H11" i="40"/>
  <c r="AB11" i="40" s="1"/>
  <c r="W8" i="40"/>
  <c r="AC40" i="40"/>
  <c r="AC9" i="40"/>
  <c r="U9" i="40"/>
  <c r="S34" i="40"/>
  <c r="S40" i="40"/>
  <c r="U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c r="AA31" i="39"/>
  <c r="E100" i="39"/>
  <c r="F100" i="39" s="1"/>
  <c r="G100" i="39" s="1"/>
  <c r="H19" i="39"/>
  <c r="AB19" i="39" s="1"/>
  <c r="F19" i="39"/>
  <c r="AA19" i="39" s="1"/>
  <c r="H17" i="39"/>
  <c r="F17" i="39"/>
  <c r="AA17" i="39" s="1"/>
  <c r="J23" i="40"/>
  <c r="AC23" i="40" s="1"/>
  <c r="F21" i="40"/>
  <c r="AA21" i="40" s="1"/>
  <c r="J21" i="40"/>
  <c r="W21" i="40" s="1"/>
  <c r="H42" i="39"/>
  <c r="AB42" i="39" s="1"/>
  <c r="J34" i="39"/>
  <c r="AC34" i="39" s="1"/>
  <c r="H27" i="39"/>
  <c r="U27" i="39" s="1"/>
  <c r="J19" i="39"/>
  <c r="AC19" i="39" s="1"/>
  <c r="J17" i="39"/>
  <c r="J27" i="39"/>
  <c r="F27" i="39"/>
  <c r="F11" i="21"/>
  <c r="S11" i="21" s="1"/>
  <c r="U34" i="21"/>
  <c r="S34" i="21"/>
  <c r="C27" i="39"/>
  <c r="C21" i="39"/>
  <c r="H11" i="39"/>
  <c r="C15" i="39"/>
  <c r="H32" i="33"/>
  <c r="AB32" i="33" s="1"/>
  <c r="H11" i="21"/>
  <c r="U11" i="21" s="1"/>
  <c r="J11" i="21"/>
  <c r="W11" i="21" s="1"/>
  <c r="H37" i="40"/>
  <c r="U37" i="40" s="1"/>
  <c r="H36" i="40"/>
  <c r="AB36" i="40"/>
  <c r="F35" i="40"/>
  <c r="AA35" i="40" s="1"/>
  <c r="H23" i="40"/>
  <c r="AB23" i="40" s="1"/>
  <c r="H17" i="40"/>
  <c r="U17" i="40" s="1"/>
  <c r="J15" i="40"/>
  <c r="W15" i="40"/>
  <c r="J11" i="40"/>
  <c r="AC11" i="40" s="1"/>
  <c r="AB12" i="36"/>
  <c r="W32" i="40"/>
  <c r="F37" i="39"/>
  <c r="AA37" i="39" s="1"/>
  <c r="J34" i="36"/>
  <c r="W34" i="36" s="1"/>
  <c r="U30" i="36"/>
  <c r="J30" i="35"/>
  <c r="W30" i="35" s="1"/>
  <c r="H30" i="35"/>
  <c r="AB30" i="35" s="1"/>
  <c r="F22" i="35"/>
  <c r="AA22" i="35" s="1"/>
  <c r="H10" i="35"/>
  <c r="U10" i="35" s="1"/>
  <c r="AC16" i="36"/>
  <c r="W30" i="36"/>
  <c r="H16" i="36"/>
  <c r="AB16" i="36" s="1"/>
  <c r="H85" i="36"/>
  <c r="I85" i="36" s="1"/>
  <c r="J85" i="36" s="1"/>
  <c r="K85" i="36" s="1"/>
  <c r="L85" i="36" s="1"/>
  <c r="M85" i="36" s="1"/>
  <c r="J29" i="36"/>
  <c r="AC29" i="36" s="1"/>
  <c r="F12" i="36"/>
  <c r="F24" i="36"/>
  <c r="AA24" i="36" s="1"/>
  <c r="F14" i="35"/>
  <c r="AA14" i="35"/>
  <c r="J32" i="35"/>
  <c r="AC32" i="35" s="1"/>
  <c r="J16" i="35"/>
  <c r="AC16" i="35" s="1"/>
  <c r="H16" i="35"/>
  <c r="U16" i="35"/>
  <c r="F16" i="35"/>
  <c r="S16" i="35" s="1"/>
  <c r="H14" i="35"/>
  <c r="AB14" i="35" s="1"/>
  <c r="J29" i="35"/>
  <c r="AC29" i="35" s="1"/>
  <c r="H33" i="35"/>
  <c r="AB33" i="35"/>
  <c r="J20" i="35"/>
  <c r="AC20" i="35" s="1"/>
  <c r="W20" i="35"/>
  <c r="F35" i="37"/>
  <c r="S35" i="37"/>
  <c r="E101" i="37"/>
  <c r="F101" i="37"/>
  <c r="G101" i="37" s="1"/>
  <c r="H101" i="37" s="1"/>
  <c r="I101" i="37" s="1"/>
  <c r="J101" i="37" s="1"/>
  <c r="K101" i="37" s="1"/>
  <c r="L101" i="37" s="1"/>
  <c r="M101" i="37" s="1"/>
  <c r="J34" i="37"/>
  <c r="W34" i="37" s="1"/>
  <c r="AA39" i="37"/>
  <c r="AB34" i="37"/>
  <c r="J33" i="37"/>
  <c r="AC33" i="37" s="1"/>
  <c r="U42" i="34"/>
  <c r="H40" i="34"/>
  <c r="E114" i="34"/>
  <c r="F114" i="34" s="1"/>
  <c r="H36" i="34"/>
  <c r="U36" i="34" s="1"/>
  <c r="F37" i="34"/>
  <c r="AA37" i="34" s="1"/>
  <c r="F27" i="34"/>
  <c r="AA27" i="34"/>
  <c r="F25" i="34"/>
  <c r="S25" i="34"/>
  <c r="H23" i="34"/>
  <c r="U23" i="34" s="1"/>
  <c r="J23" i="34"/>
  <c r="F19" i="34"/>
  <c r="H17" i="34"/>
  <c r="U17" i="34" s="1"/>
  <c r="F15" i="34"/>
  <c r="J15" i="34"/>
  <c r="H15" i="34"/>
  <c r="AB15" i="34" s="1"/>
  <c r="F41" i="33"/>
  <c r="S38" i="33"/>
  <c r="E113" i="33"/>
  <c r="F32" i="33"/>
  <c r="AA32" i="33" s="1"/>
  <c r="J19" i="33"/>
  <c r="AC19" i="33" s="1"/>
  <c r="F11" i="33"/>
  <c r="AA11" i="33" s="1"/>
  <c r="S26" i="33"/>
  <c r="U40" i="33"/>
  <c r="W40" i="33"/>
  <c r="F37" i="40"/>
  <c r="AA37" i="40"/>
  <c r="F36" i="40"/>
  <c r="AA36" i="40" s="1"/>
  <c r="H28" i="40"/>
  <c r="U28" i="40" s="1"/>
  <c r="F23" i="40"/>
  <c r="F17" i="40"/>
  <c r="AA17" i="40" s="1"/>
  <c r="J17" i="40"/>
  <c r="W17" i="40" s="1"/>
  <c r="F15" i="40"/>
  <c r="S15" i="40"/>
  <c r="H15" i="40"/>
  <c r="AB15" i="40" s="1"/>
  <c r="S12" i="36"/>
  <c r="AA12" i="36"/>
  <c r="AB30" i="36"/>
  <c r="U33" i="35"/>
  <c r="F29" i="35"/>
  <c r="S29" i="35" s="1"/>
  <c r="H29" i="35"/>
  <c r="H33" i="37"/>
  <c r="AB33" i="37" s="1"/>
  <c r="F33" i="37"/>
  <c r="AA33" i="37" s="1"/>
  <c r="U34" i="37"/>
  <c r="S34" i="37"/>
  <c r="AA34" i="37"/>
  <c r="J43" i="34"/>
  <c r="AB42" i="34"/>
  <c r="J40"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c r="F17" i="34"/>
  <c r="AA17" i="34" s="1"/>
  <c r="J17" i="34"/>
  <c r="W17" i="34" s="1"/>
  <c r="AB17" i="34"/>
  <c r="AA15" i="34"/>
  <c r="S15" i="34"/>
  <c r="F113" i="33"/>
  <c r="G113" i="33" s="1"/>
  <c r="H113" i="33" s="1"/>
  <c r="I113" i="33"/>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c r="H42" i="21"/>
  <c r="U42" i="21"/>
  <c r="J44" i="34"/>
  <c r="F44" i="34"/>
  <c r="J10" i="35"/>
  <c r="AC10" i="35" s="1"/>
  <c r="J14" i="21"/>
  <c r="S14" i="21"/>
  <c r="H14" i="21"/>
  <c r="U14" i="21" s="1"/>
  <c r="H28" i="21"/>
  <c r="AB28" i="21"/>
  <c r="F28" i="21"/>
  <c r="AA28" i="21" s="1"/>
  <c r="J28" i="21"/>
  <c r="W28" i="21" s="1"/>
  <c r="H30" i="21"/>
  <c r="F30" i="21"/>
  <c r="S30" i="21"/>
  <c r="J30" i="21"/>
  <c r="AC30" i="21" s="1"/>
  <c r="H44" i="21"/>
  <c r="U44" i="21" s="1"/>
  <c r="H46" i="21"/>
  <c r="U46" i="21" s="1"/>
  <c r="J46" i="21"/>
  <c r="W46" i="21" s="1"/>
  <c r="F46" i="21"/>
  <c r="AA46" i="21" s="1"/>
  <c r="E119" i="21"/>
  <c r="F119" i="21"/>
  <c r="G119" i="21" s="1"/>
  <c r="H119" i="21" s="1"/>
  <c r="I119" i="21" s="1"/>
  <c r="J119" i="21" s="1"/>
  <c r="K119" i="21" s="1"/>
  <c r="L119" i="21" s="1"/>
  <c r="M119" i="21" s="1"/>
  <c r="H26" i="33"/>
  <c r="U26" i="33" s="1"/>
  <c r="H28" i="33"/>
  <c r="U28" i="33" s="1"/>
  <c r="F28" i="33"/>
  <c r="AA28" i="33" s="1"/>
  <c r="J28" i="33"/>
  <c r="W28" i="33" s="1"/>
  <c r="F33" i="35"/>
  <c r="AA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F27" i="21"/>
  <c r="AA27" i="21" s="1"/>
  <c r="H29" i="21"/>
  <c r="U29" i="21" s="1"/>
  <c r="J31" i="21"/>
  <c r="AC31" i="21"/>
  <c r="F31" i="21"/>
  <c r="S31" i="21" s="1"/>
  <c r="F45" i="21"/>
  <c r="AA45" i="21" s="1"/>
  <c r="F27" i="33"/>
  <c r="AA27" i="33" s="1"/>
  <c r="H13" i="33"/>
  <c r="U13" i="33" s="1"/>
  <c r="F13" i="33"/>
  <c r="S13" i="33" s="1"/>
  <c r="J29" i="33"/>
  <c r="W29" i="33" s="1"/>
  <c r="AC29" i="33"/>
  <c r="H29" i="33"/>
  <c r="U29" i="33" s="1"/>
  <c r="F29" i="33"/>
  <c r="S29" i="33" s="1"/>
  <c r="J31" i="33"/>
  <c r="F31" i="33"/>
  <c r="H45" i="33"/>
  <c r="J45" i="33"/>
  <c r="W45" i="33"/>
  <c r="F45" i="33"/>
  <c r="J14" i="34"/>
  <c r="W14" i="34" s="1"/>
  <c r="F14" i="34"/>
  <c r="S14" i="34" s="1"/>
  <c r="H14" i="34"/>
  <c r="H30" i="34"/>
  <c r="F30" i="34"/>
  <c r="S30" i="34" s="1"/>
  <c r="W30" i="34"/>
  <c r="H32" i="34"/>
  <c r="F32" i="34"/>
  <c r="J32" i="34"/>
  <c r="W32" i="34"/>
  <c r="H46" i="34"/>
  <c r="J46" i="34"/>
  <c r="H11" i="35"/>
  <c r="AB11" i="35" s="1"/>
  <c r="F11" i="35"/>
  <c r="S11" i="35" s="1"/>
  <c r="J26" i="36"/>
  <c r="W26" i="36" s="1"/>
  <c r="H28" i="36"/>
  <c r="U28" i="36" s="1"/>
  <c r="H32" i="36"/>
  <c r="J32" i="36"/>
  <c r="W32" i="36" s="1"/>
  <c r="F11" i="36"/>
  <c r="H13" i="36"/>
  <c r="J13" i="36"/>
  <c r="F13" i="36"/>
  <c r="S13" i="36" s="1"/>
  <c r="G89" i="37"/>
  <c r="H89" i="37"/>
  <c r="I89" i="37" s="1"/>
  <c r="J89" i="37" s="1"/>
  <c r="K89" i="37" s="1"/>
  <c r="L89" i="37" s="1"/>
  <c r="M89" i="37" s="1"/>
  <c r="J29" i="37"/>
  <c r="W29" i="37"/>
  <c r="F29" i="37"/>
  <c r="S29" i="37" s="1"/>
  <c r="F105" i="37"/>
  <c r="G105" i="37" s="1"/>
  <c r="H36" i="37"/>
  <c r="J37" i="37"/>
  <c r="AC37" i="37" s="1"/>
  <c r="H37" i="37"/>
  <c r="H40" i="37"/>
  <c r="U40" i="37"/>
  <c r="J40" i="37"/>
  <c r="AC40" i="37" s="1"/>
  <c r="F40" i="37"/>
  <c r="AA40" i="37" s="1"/>
  <c r="AC12" i="40"/>
  <c r="W12" i="40"/>
  <c r="F14" i="33"/>
  <c r="H30" i="33"/>
  <c r="AB30" i="33" s="1"/>
  <c r="F30" i="33"/>
  <c r="J30" i="33"/>
  <c r="J46" i="33"/>
  <c r="AC46" i="33" s="1"/>
  <c r="F46" i="33"/>
  <c r="AA46" i="33"/>
  <c r="H46" i="33"/>
  <c r="J29" i="34"/>
  <c r="F29" i="34"/>
  <c r="H29" i="34"/>
  <c r="AB29" i="34" s="1"/>
  <c r="F31" i="34"/>
  <c r="H45" i="34"/>
  <c r="U45" i="34"/>
  <c r="J45" i="34"/>
  <c r="F45" i="34"/>
  <c r="S45" i="34" s="1"/>
  <c r="J47" i="34"/>
  <c r="F13" i="35"/>
  <c r="S13" i="35"/>
  <c r="J13" i="35"/>
  <c r="H13" i="35"/>
  <c r="U13" i="35" s="1"/>
  <c r="J25" i="35"/>
  <c r="W25" i="35" s="1"/>
  <c r="F25" i="35"/>
  <c r="S25" i="35"/>
  <c r="H25" i="35"/>
  <c r="AB25" i="35" s="1"/>
  <c r="F35" i="35"/>
  <c r="J25" i="36"/>
  <c r="W25" i="36" s="1"/>
  <c r="F25" i="36"/>
  <c r="S25" i="36" s="1"/>
  <c r="H25" i="36"/>
  <c r="F28" i="37"/>
  <c r="AA28" i="37"/>
  <c r="J28" i="37"/>
  <c r="AC28" i="37" s="1"/>
  <c r="H28" i="37"/>
  <c r="U28" i="37" s="1"/>
  <c r="H38" i="37"/>
  <c r="AB38" i="37" s="1"/>
  <c r="J38" i="37"/>
  <c r="AC38" i="37"/>
  <c r="F38" i="37"/>
  <c r="F43" i="39"/>
  <c r="AA43" i="39" s="1"/>
  <c r="H43" i="39"/>
  <c r="J14" i="39"/>
  <c r="AC14" i="39" s="1"/>
  <c r="F14" i="39"/>
  <c r="H14" i="39"/>
  <c r="AB14" i="39" s="1"/>
  <c r="F12" i="40"/>
  <c r="S12" i="40" s="1"/>
  <c r="H12" i="40"/>
  <c r="AB12" i="40" s="1"/>
  <c r="H30" i="40"/>
  <c r="AB30" i="40"/>
  <c r="F33" i="40"/>
  <c r="AA33" i="40" s="1"/>
  <c r="J35" i="40"/>
  <c r="J37" i="40"/>
  <c r="AC37" i="40"/>
  <c r="H13" i="40"/>
  <c r="J13" i="40"/>
  <c r="W13" i="40" s="1"/>
  <c r="F13" i="40"/>
  <c r="F14" i="37"/>
  <c r="S14" i="37"/>
  <c r="F27" i="37"/>
  <c r="AA27" i="37" s="1"/>
  <c r="F13" i="39"/>
  <c r="J13" i="39"/>
  <c r="W13" i="39" s="1"/>
  <c r="H13" i="39"/>
  <c r="J14" i="37"/>
  <c r="AC14" i="37"/>
  <c r="J27" i="37"/>
  <c r="AC27" i="37" s="1"/>
  <c r="AA13" i="35"/>
  <c r="J36" i="37"/>
  <c r="J10" i="36"/>
  <c r="AC10" i="36" s="1"/>
  <c r="AA14" i="37"/>
  <c r="AC13" i="36"/>
  <c r="W13" i="36"/>
  <c r="AC30" i="34"/>
  <c r="AA14" i="34"/>
  <c r="AB31" i="33"/>
  <c r="U31" i="33"/>
  <c r="F17" i="21"/>
  <c r="AA17" i="21" s="1"/>
  <c r="H17" i="21"/>
  <c r="AB17" i="21" s="1"/>
  <c r="F15" i="21"/>
  <c r="S15" i="21"/>
  <c r="J41" i="39"/>
  <c r="AC45" i="39"/>
  <c r="W35" i="39"/>
  <c r="U36" i="39"/>
  <c r="S35" i="39"/>
  <c r="G544" i="3"/>
  <c r="G536" i="3"/>
  <c r="G535" i="3"/>
  <c r="G528" i="3"/>
  <c r="G527" i="3"/>
  <c r="G523" i="3"/>
  <c r="G518" i="3"/>
  <c r="G510" i="3"/>
  <c r="G508" i="3"/>
  <c r="G504" i="3"/>
  <c r="G496" i="3"/>
  <c r="G584" i="3"/>
  <c r="G580" i="3"/>
  <c r="G576" i="3"/>
  <c r="G572" i="3"/>
  <c r="G568" i="3"/>
  <c r="G564" i="3"/>
  <c r="G560" i="3"/>
  <c r="G554" i="3"/>
  <c r="G550" i="3"/>
  <c r="BL584" i="3"/>
  <c r="AZ584" i="3" s="1"/>
  <c r="BL580" i="3"/>
  <c r="BL576" i="3"/>
  <c r="BL568" i="3"/>
  <c r="BL554" i="3"/>
  <c r="BL516" i="3"/>
  <c r="BL512" i="3"/>
  <c r="BL498" i="3"/>
  <c r="BL494" i="3"/>
  <c r="BL582" i="3"/>
  <c r="BL578" i="3"/>
  <c r="BL574" i="3"/>
  <c r="BL566" i="3"/>
  <c r="BL556" i="3"/>
  <c r="BL552" i="3"/>
  <c r="G529" i="3"/>
  <c r="G525" i="3"/>
  <c r="BL514" i="3"/>
  <c r="BL510" i="3"/>
  <c r="BL496" i="3"/>
  <c r="G493" i="3"/>
  <c r="BA584" i="3"/>
  <c r="BA582" i="3"/>
  <c r="AZ582" i="3" s="1"/>
  <c r="BA580" i="3"/>
  <c r="AZ580" i="3" s="1"/>
  <c r="BA578" i="3"/>
  <c r="AZ578" i="3"/>
  <c r="BA576" i="3"/>
  <c r="BA574" i="3"/>
  <c r="BA572" i="3"/>
  <c r="BA568" i="3"/>
  <c r="AZ568" i="3" s="1"/>
  <c r="BA566" i="3"/>
  <c r="AZ566" i="3"/>
  <c r="BA560" i="3"/>
  <c r="BA556" i="3"/>
  <c r="BA552" i="3"/>
  <c r="BA522" i="3"/>
  <c r="BA516" i="3"/>
  <c r="AZ516" i="3" s="1"/>
  <c r="BA512" i="3"/>
  <c r="AZ512" i="3" s="1"/>
  <c r="BA508" i="3"/>
  <c r="BA506" i="3"/>
  <c r="BA502" i="3"/>
  <c r="BA500" i="3"/>
  <c r="BA496" i="3"/>
  <c r="AZ496" i="3" s="1"/>
  <c r="BA494" i="3"/>
  <c r="AZ494" i="3" s="1"/>
  <c r="BA583" i="3"/>
  <c r="BA581" i="3"/>
  <c r="BA579" i="3"/>
  <c r="BA577" i="3"/>
  <c r="BA575" i="3"/>
  <c r="BA569" i="3"/>
  <c r="BA567" i="3"/>
  <c r="BA561" i="3"/>
  <c r="BA559" i="3"/>
  <c r="BA549" i="3"/>
  <c r="BA525" i="3"/>
  <c r="BA523" i="3"/>
  <c r="BA515" i="3"/>
  <c r="BA513" i="3"/>
  <c r="BA505" i="3"/>
  <c r="BA503" i="3"/>
  <c r="BA497" i="3"/>
  <c r="BA495" i="3"/>
  <c r="G583" i="3"/>
  <c r="G581" i="3"/>
  <c r="G579" i="3"/>
  <c r="G577" i="3"/>
  <c r="G575" i="3"/>
  <c r="G573" i="3"/>
  <c r="G571" i="3"/>
  <c r="G569" i="3"/>
  <c r="G567" i="3"/>
  <c r="G565" i="3"/>
  <c r="G563" i="3"/>
  <c r="G561" i="3"/>
  <c r="BL558" i="3"/>
  <c r="BA557" i="3"/>
  <c r="AC557" i="3"/>
  <c r="G557" i="3"/>
  <c r="BQ557" i="3"/>
  <c r="BQ583" i="3"/>
  <c r="BL583" i="3" s="1"/>
  <c r="AZ583" i="3" s="1"/>
  <c r="BQ581" i="3"/>
  <c r="BL581" i="3"/>
  <c r="BQ579" i="3"/>
  <c r="BL579" i="3"/>
  <c r="BQ577" i="3"/>
  <c r="BL577" i="3"/>
  <c r="BQ575" i="3"/>
  <c r="BL575" i="3"/>
  <c r="AZ575" i="3" s="1"/>
  <c r="BQ573" i="3"/>
  <c r="BQ571" i="3"/>
  <c r="BQ569" i="3"/>
  <c r="BL569" i="3" s="1"/>
  <c r="AZ569" i="3" s="1"/>
  <c r="BQ567" i="3"/>
  <c r="BL567" i="3"/>
  <c r="BQ565" i="3"/>
  <c r="BQ563" i="3"/>
  <c r="BQ561" i="3"/>
  <c r="BQ559" i="3"/>
  <c r="G559" i="3"/>
  <c r="G555" i="3"/>
  <c r="G553" i="3"/>
  <c r="G547" i="3"/>
  <c r="G545" i="3"/>
  <c r="G537" i="3"/>
  <c r="BQ555" i="3"/>
  <c r="BQ553" i="3"/>
  <c r="BQ551" i="3"/>
  <c r="BL551" i="3"/>
  <c r="BQ549" i="3"/>
  <c r="BQ547" i="3"/>
  <c r="BQ545" i="3"/>
  <c r="BQ543" i="3"/>
  <c r="BQ541" i="3"/>
  <c r="BQ539" i="3"/>
  <c r="BL539" i="3" s="1"/>
  <c r="BQ537" i="3"/>
  <c r="BQ535" i="3"/>
  <c r="BQ533" i="3"/>
  <c r="BQ531" i="3"/>
  <c r="BQ529" i="3"/>
  <c r="BQ527" i="3"/>
  <c r="BQ525" i="3"/>
  <c r="BL525" i="3" s="1"/>
  <c r="BQ523" i="3"/>
  <c r="BL523" i="3"/>
  <c r="AZ523" i="3" s="1"/>
  <c r="AC521" i="3"/>
  <c r="G521" i="3" s="1"/>
  <c r="BQ521" i="3"/>
  <c r="BL520" i="3"/>
  <c r="G519" i="3"/>
  <c r="G515" i="3"/>
  <c r="G513" i="3"/>
  <c r="G511" i="3"/>
  <c r="BQ519" i="3"/>
  <c r="BL519" i="3" s="1"/>
  <c r="BQ517" i="3"/>
  <c r="BQ515" i="3"/>
  <c r="BQ513" i="3"/>
  <c r="BL513" i="3" s="1"/>
  <c r="BQ511" i="3"/>
  <c r="BL511" i="3"/>
  <c r="AC509" i="3"/>
  <c r="BQ509" i="3"/>
  <c r="BL509" i="3" s="1"/>
  <c r="G507" i="3"/>
  <c r="G505" i="3"/>
  <c r="G499" i="3"/>
  <c r="G497" i="3"/>
  <c r="BQ507" i="3"/>
  <c r="BL507" i="3" s="1"/>
  <c r="BQ505" i="3"/>
  <c r="BQ503" i="3"/>
  <c r="BQ501" i="3"/>
  <c r="BL501" i="3" s="1"/>
  <c r="BQ499" i="3"/>
  <c r="BQ497" i="3"/>
  <c r="BL497" i="3" s="1"/>
  <c r="AZ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c r="E125" i="33"/>
  <c r="F125" i="33" s="1"/>
  <c r="H43" i="33"/>
  <c r="AB43" i="33" s="1"/>
  <c r="H17" i="37"/>
  <c r="U17" i="37" s="1"/>
  <c r="U32" i="33"/>
  <c r="F39" i="33"/>
  <c r="AA39" i="33"/>
  <c r="E123" i="33"/>
  <c r="F42" i="33"/>
  <c r="F14" i="36"/>
  <c r="AA14" i="36" s="1"/>
  <c r="F22" i="36"/>
  <c r="F26" i="36"/>
  <c r="S26" i="36" s="1"/>
  <c r="H27" i="34"/>
  <c r="U27" i="34" s="1"/>
  <c r="H35" i="34"/>
  <c r="U35" i="34" s="1"/>
  <c r="F41" i="34"/>
  <c r="S41" i="34"/>
  <c r="H41" i="34"/>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c r="S28" i="31"/>
  <c r="S27" i="31"/>
  <c r="S26" i="31"/>
  <c r="AA12" i="35"/>
  <c r="W14" i="37"/>
  <c r="U33" i="37"/>
  <c r="U39" i="37"/>
  <c r="U26" i="37"/>
  <c r="AC36" i="34"/>
  <c r="AA13" i="33"/>
  <c r="AC45" i="33"/>
  <c r="U19" i="21"/>
  <c r="U26" i="21"/>
  <c r="AC46" i="21"/>
  <c r="AB38" i="21"/>
  <c r="F43" i="33"/>
  <c r="AA43" i="33" s="1"/>
  <c r="W15" i="34"/>
  <c r="AC15" i="34"/>
  <c r="W16" i="35"/>
  <c r="W40" i="37"/>
  <c r="H107" i="37"/>
  <c r="I107" i="37"/>
  <c r="J107" i="37" s="1"/>
  <c r="K107" i="37" s="1"/>
  <c r="L107" i="37" s="1"/>
  <c r="M107" i="37" s="1"/>
  <c r="H37" i="21"/>
  <c r="U37" i="21" s="1"/>
  <c r="H19" i="34"/>
  <c r="F36" i="35"/>
  <c r="S36" i="35" s="1"/>
  <c r="J9" i="37"/>
  <c r="W9" i="37" s="1"/>
  <c r="H9" i="37"/>
  <c r="U9" i="37" s="1"/>
  <c r="F9" i="37"/>
  <c r="S9" i="37" s="1"/>
  <c r="E71" i="37"/>
  <c r="F71" i="37" s="1"/>
  <c r="G71" i="37" s="1"/>
  <c r="F15" i="37"/>
  <c r="AA15" i="37"/>
  <c r="F31" i="37"/>
  <c r="S31" i="37" s="1"/>
  <c r="J42" i="39"/>
  <c r="AC42" i="39" s="1"/>
  <c r="H21" i="40"/>
  <c r="J94" i="37"/>
  <c r="K94" i="37" s="1"/>
  <c r="L94" i="37" s="1"/>
  <c r="M94" i="37" s="1"/>
  <c r="H31" i="37"/>
  <c r="U31" i="37" s="1"/>
  <c r="J15" i="37"/>
  <c r="W15" i="37" s="1"/>
  <c r="AT6" i="3"/>
  <c r="H19" i="40"/>
  <c r="U19" i="40" s="1"/>
  <c r="F19" i="40"/>
  <c r="S19" i="40" s="1"/>
  <c r="AB33" i="40"/>
  <c r="AC43" i="39"/>
  <c r="W43" i="39"/>
  <c r="U45" i="39"/>
  <c r="AB45" i="39"/>
  <c r="H37" i="39"/>
  <c r="AB37" i="39"/>
  <c r="AC37" i="39"/>
  <c r="W37" i="39"/>
  <c r="H25" i="39"/>
  <c r="AB25" i="39"/>
  <c r="J25" i="39"/>
  <c r="F25" i="39"/>
  <c r="AA25" i="39" s="1"/>
  <c r="F15" i="39"/>
  <c r="AA15" i="39" s="1"/>
  <c r="H15" i="39"/>
  <c r="U15" i="39" s="1"/>
  <c r="J15" i="39"/>
  <c r="W15" i="39" s="1"/>
  <c r="H41" i="39"/>
  <c r="AB34" i="39"/>
  <c r="U40" i="39"/>
  <c r="S42" i="39"/>
  <c r="AA41" i="39"/>
  <c r="W9" i="39"/>
  <c r="W8" i="39"/>
  <c r="J19" i="40"/>
  <c r="J50" i="40"/>
  <c r="H103" i="9"/>
  <c r="D8" i="53" s="1"/>
  <c r="B16" i="53"/>
  <c r="B33" i="72" s="1"/>
  <c r="C7" i="37"/>
  <c r="C7" i="34"/>
  <c r="C7" i="36"/>
  <c r="A118" i="9"/>
  <c r="A4" i="52"/>
  <c r="B41" i="72" s="1"/>
  <c r="J11" i="39"/>
  <c r="W11" i="39" s="1"/>
  <c r="F11" i="39"/>
  <c r="AA11" i="39"/>
  <c r="S11" i="39"/>
  <c r="G4" i="4"/>
  <c r="I4" i="4"/>
  <c r="A2" i="9"/>
  <c r="F61" i="43"/>
  <c r="H64" i="43" s="1"/>
  <c r="AZ20" i="3"/>
  <c r="G546" i="3"/>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BA341" i="3"/>
  <c r="AZ341" i="3" s="1"/>
  <c r="BL341" i="3"/>
  <c r="BA343" i="3"/>
  <c r="AZ343" i="3" s="1"/>
  <c r="BA345" i="3"/>
  <c r="BL355" i="3"/>
  <c r="G356" i="3"/>
  <c r="BL357" i="3"/>
  <c r="BA359" i="3"/>
  <c r="BA360" i="3"/>
  <c r="BL360" i="3"/>
  <c r="G361" i="3"/>
  <c r="BA362" i="3"/>
  <c r="G370" i="3"/>
  <c r="BL371" i="3"/>
  <c r="G372" i="3"/>
  <c r="BL373" i="3"/>
  <c r="BA375" i="3"/>
  <c r="AZ375" i="3" s="1"/>
  <c r="BA376" i="3"/>
  <c r="AZ376" i="3" s="1"/>
  <c r="BL376" i="3"/>
  <c r="G377" i="3"/>
  <c r="BA378" i="3"/>
  <c r="BL378" i="3"/>
  <c r="G379" i="3"/>
  <c r="BA380" i="3"/>
  <c r="G388" i="3"/>
  <c r="BL389" i="3"/>
  <c r="G390" i="3"/>
  <c r="BL391" i="3"/>
  <c r="BA393" i="3"/>
  <c r="AZ393" i="3" s="1"/>
  <c r="BA394" i="3"/>
  <c r="AZ394" i="3" s="1"/>
  <c r="BL394" i="3"/>
  <c r="G113" i="3"/>
  <c r="BA115" i="3"/>
  <c r="BL116" i="3"/>
  <c r="G117" i="3"/>
  <c r="BA119" i="3"/>
  <c r="AZ119" i="3"/>
  <c r="BL120" i="3"/>
  <c r="G121" i="3"/>
  <c r="BA123" i="3"/>
  <c r="AZ123" i="3"/>
  <c r="BL124" i="3"/>
  <c r="AZ124" i="3" s="1"/>
  <c r="G125" i="3"/>
  <c r="BA127" i="3"/>
  <c r="BL128" i="3"/>
  <c r="G129" i="3"/>
  <c r="BA131" i="3"/>
  <c r="AZ131" i="3"/>
  <c r="BL132" i="3"/>
  <c r="G133" i="3"/>
  <c r="BA135" i="3"/>
  <c r="BL136" i="3"/>
  <c r="G137" i="3"/>
  <c r="BA139" i="3"/>
  <c r="AZ139" i="3" s="1"/>
  <c r="BL140" i="3"/>
  <c r="AZ140" i="3" s="1"/>
  <c r="G141" i="3"/>
  <c r="BA143" i="3"/>
  <c r="BL144" i="3"/>
  <c r="AZ144" i="3" s="1"/>
  <c r="G145" i="3"/>
  <c r="BA147" i="3"/>
  <c r="AZ147" i="3"/>
  <c r="BL148" i="3"/>
  <c r="AZ148" i="3" s="1"/>
  <c r="G149" i="3"/>
  <c r="BA151" i="3"/>
  <c r="AZ151" i="3" s="1"/>
  <c r="BL152" i="3"/>
  <c r="G153" i="3"/>
  <c r="BA155" i="3"/>
  <c r="AZ155" i="3" s="1"/>
  <c r="BL156" i="3"/>
  <c r="G157" i="3"/>
  <c r="BA159" i="3"/>
  <c r="AZ159" i="3" s="1"/>
  <c r="BL160" i="3"/>
  <c r="G161" i="3"/>
  <c r="BA163" i="3"/>
  <c r="AZ163" i="3" s="1"/>
  <c r="BL164" i="3"/>
  <c r="G165" i="3"/>
  <c r="BA167" i="3"/>
  <c r="BL168" i="3"/>
  <c r="G169" i="3"/>
  <c r="BA171" i="3"/>
  <c r="AZ171" i="3" s="1"/>
  <c r="BL172" i="3"/>
  <c r="AZ172" i="3" s="1"/>
  <c r="G173" i="3"/>
  <c r="BA175" i="3"/>
  <c r="BL176" i="3"/>
  <c r="G177" i="3"/>
  <c r="BA179" i="3"/>
  <c r="AZ179" i="3" s="1"/>
  <c r="BL180" i="3"/>
  <c r="AZ180" i="3" s="1"/>
  <c r="G181" i="3"/>
  <c r="BA183" i="3"/>
  <c r="BL184" i="3"/>
  <c r="G185" i="3"/>
  <c r="BA187" i="3"/>
  <c r="BL188" i="3"/>
  <c r="G189" i="3"/>
  <c r="BA191" i="3"/>
  <c r="AZ191" i="3" s="1"/>
  <c r="BL192" i="3"/>
  <c r="G193" i="3"/>
  <c r="BA195" i="3"/>
  <c r="AZ195" i="3" s="1"/>
  <c r="BL196" i="3"/>
  <c r="G197" i="3"/>
  <c r="BA199" i="3"/>
  <c r="AZ199" i="3" s="1"/>
  <c r="BL200" i="3"/>
  <c r="G201" i="3"/>
  <c r="BA203" i="3"/>
  <c r="BL204" i="3"/>
  <c r="AZ204" i="3" s="1"/>
  <c r="AZ152" i="3"/>
  <c r="AZ184" i="3"/>
  <c r="AZ89" i="3"/>
  <c r="AZ105" i="3"/>
  <c r="AZ128" i="3"/>
  <c r="G534" i="3"/>
  <c r="G522" i="3"/>
  <c r="G512" i="3"/>
  <c r="G506" i="3"/>
  <c r="G498" i="3"/>
  <c r="G16" i="3"/>
  <c r="G15" i="3"/>
  <c r="BA304" i="3"/>
  <c r="AZ304" i="3" s="1"/>
  <c r="BA305" i="3"/>
  <c r="AZ305" i="3"/>
  <c r="BL305" i="3"/>
  <c r="G306" i="3"/>
  <c r="G309" i="3"/>
  <c r="BL310" i="3"/>
  <c r="BA312" i="3"/>
  <c r="BA313" i="3"/>
  <c r="BL313" i="3"/>
  <c r="AZ313" i="3"/>
  <c r="G314" i="3"/>
  <c r="G317" i="3"/>
  <c r="BL318" i="3"/>
  <c r="BA320" i="3"/>
  <c r="AZ320" i="3" s="1"/>
  <c r="BA321" i="3"/>
  <c r="BL321" i="3"/>
  <c r="G322" i="3"/>
  <c r="G325" i="3"/>
  <c r="BL326" i="3"/>
  <c r="BA328" i="3"/>
  <c r="BA329" i="3"/>
  <c r="BL329" i="3"/>
  <c r="G330" i="3"/>
  <c r="G333" i="3"/>
  <c r="BL334" i="3"/>
  <c r="BA336" i="3"/>
  <c r="AZ336" i="3" s="1"/>
  <c r="BA337" i="3"/>
  <c r="BL337" i="3"/>
  <c r="AZ337" i="3" s="1"/>
  <c r="G338" i="3"/>
  <c r="G341" i="3"/>
  <c r="BA342" i="3"/>
  <c r="BL342" i="3"/>
  <c r="BA344" i="3"/>
  <c r="BL344" i="3"/>
  <c r="AZ344" i="3" s="1"/>
  <c r="BA346" i="3"/>
  <c r="BA347" i="3"/>
  <c r="AZ347" i="3"/>
  <c r="BL347" i="3"/>
  <c r="G350" i="3"/>
  <c r="BA351" i="3"/>
  <c r="AZ351" i="3"/>
  <c r="BL351" i="3"/>
  <c r="G352" i="3"/>
  <c r="G354" i="3"/>
  <c r="BA355" i="3"/>
  <c r="AZ355" i="3" s="1"/>
  <c r="BA356" i="3"/>
  <c r="BL356" i="3"/>
  <c r="G357" i="3"/>
  <c r="G360" i="3"/>
  <c r="BL361" i="3"/>
  <c r="BA363" i="3"/>
  <c r="BA364" i="3"/>
  <c r="BL364" i="3"/>
  <c r="AZ364" i="3" s="1"/>
  <c r="G365" i="3"/>
  <c r="G368" i="3"/>
  <c r="BL369" i="3"/>
  <c r="BA371" i="3"/>
  <c r="BA372" i="3"/>
  <c r="BL372" i="3"/>
  <c r="G373" i="3"/>
  <c r="G376" i="3"/>
  <c r="BL377" i="3"/>
  <c r="BL379" i="3"/>
  <c r="BA381" i="3"/>
  <c r="BA382" i="3"/>
  <c r="BL382" i="3"/>
  <c r="G383" i="3"/>
  <c r="G386" i="3"/>
  <c r="BL387" i="3"/>
  <c r="BA389" i="3"/>
  <c r="AZ389" i="3"/>
  <c r="BA390" i="3"/>
  <c r="BL390" i="3"/>
  <c r="AZ390" i="3" s="1"/>
  <c r="G391" i="3"/>
  <c r="G394" i="3"/>
  <c r="AZ138" i="3"/>
  <c r="AZ146" i="3"/>
  <c r="AZ178" i="3"/>
  <c r="AZ182" i="3"/>
  <c r="AZ198" i="3"/>
  <c r="AZ202" i="3"/>
  <c r="BA16" i="3"/>
  <c r="BL303" i="3"/>
  <c r="G304" i="3"/>
  <c r="BA306" i="3"/>
  <c r="AZ306" i="3" s="1"/>
  <c r="BL307" i="3"/>
  <c r="G308" i="3"/>
  <c r="BA310" i="3"/>
  <c r="AZ310" i="3" s="1"/>
  <c r="BL311" i="3"/>
  <c r="AZ311" i="3" s="1"/>
  <c r="G312" i="3"/>
  <c r="BA314" i="3"/>
  <c r="AZ314" i="3"/>
  <c r="BL315" i="3"/>
  <c r="G316" i="3"/>
  <c r="BA318" i="3"/>
  <c r="AZ318" i="3" s="1"/>
  <c r="BL319" i="3"/>
  <c r="G320" i="3"/>
  <c r="BA322" i="3"/>
  <c r="AZ322" i="3" s="1"/>
  <c r="BL323" i="3"/>
  <c r="G324" i="3"/>
  <c r="BA326" i="3"/>
  <c r="AZ326" i="3" s="1"/>
  <c r="BL327" i="3"/>
  <c r="AZ327" i="3"/>
  <c r="G328" i="3"/>
  <c r="BA330" i="3"/>
  <c r="AZ330" i="3" s="1"/>
  <c r="BL331" i="3"/>
  <c r="G332" i="3"/>
  <c r="BA334" i="3"/>
  <c r="AZ334" i="3"/>
  <c r="BL335" i="3"/>
  <c r="G336" i="3"/>
  <c r="BA338" i="3"/>
  <c r="AZ338" i="3"/>
  <c r="BL339" i="3"/>
  <c r="G340" i="3"/>
  <c r="BL343" i="3"/>
  <c r="G344" i="3"/>
  <c r="G348" i="3"/>
  <c r="G355" i="3"/>
  <c r="G342" i="3"/>
  <c r="BL345" i="3"/>
  <c r="AZ345" i="3" s="1"/>
  <c r="G346" i="3"/>
  <c r="AZ348" i="3"/>
  <c r="BL349" i="3"/>
  <c r="BL352" i="3"/>
  <c r="G353" i="3"/>
  <c r="BA357" i="3"/>
  <c r="BL358" i="3"/>
  <c r="G359" i="3"/>
  <c r="BA361" i="3"/>
  <c r="AZ361" i="3"/>
  <c r="BL362" i="3"/>
  <c r="G363" i="3"/>
  <c r="BA365" i="3"/>
  <c r="AZ365" i="3"/>
  <c r="BL366" i="3"/>
  <c r="AZ366" i="3"/>
  <c r="G367" i="3"/>
  <c r="BA369" i="3"/>
  <c r="AZ369" i="3" s="1"/>
  <c r="BL370" i="3"/>
  <c r="G371" i="3"/>
  <c r="BA373" i="3"/>
  <c r="AZ373" i="3" s="1"/>
  <c r="BL374" i="3"/>
  <c r="AZ374" i="3" s="1"/>
  <c r="G375" i="3"/>
  <c r="BA377" i="3"/>
  <c r="AZ377" i="3" s="1"/>
  <c r="AZ273" i="3"/>
  <c r="AZ370" i="3"/>
  <c r="BA379" i="3"/>
  <c r="BL380" i="3"/>
  <c r="AZ380" i="3" s="1"/>
  <c r="G381" i="3"/>
  <c r="BA383" i="3"/>
  <c r="BL384" i="3"/>
  <c r="G385" i="3"/>
  <c r="BA387" i="3"/>
  <c r="BL388" i="3"/>
  <c r="G389" i="3"/>
  <c r="BA391" i="3"/>
  <c r="AZ391" i="3" s="1"/>
  <c r="BL392" i="3"/>
  <c r="G393" i="3"/>
  <c r="AZ279" i="3"/>
  <c r="G548" i="3"/>
  <c r="G520" i="3"/>
  <c r="G502" i="3"/>
  <c r="BE5" i="3"/>
  <c r="G17" i="3"/>
  <c r="BA17" i="3"/>
  <c r="AZ368" i="3"/>
  <c r="BA15" i="3"/>
  <c r="AZ384" i="3"/>
  <c r="AZ396" i="3"/>
  <c r="G509" i="3"/>
  <c r="BL493" i="3"/>
  <c r="U36" i="40"/>
  <c r="F83" i="43"/>
  <c r="H85" i="43" s="1"/>
  <c r="F50" i="43"/>
  <c r="H54" i="43" s="1"/>
  <c r="G54" i="43" s="1"/>
  <c r="K54" i="43" s="1"/>
  <c r="J54" i="43" s="1"/>
  <c r="F72" i="43"/>
  <c r="H75" i="43" s="1"/>
  <c r="S14" i="35"/>
  <c r="U43" i="21"/>
  <c r="U35" i="21"/>
  <c r="AC35" i="21"/>
  <c r="G8" i="1"/>
  <c r="G10" i="1"/>
  <c r="AC11" i="39"/>
  <c r="W37" i="37"/>
  <c r="S15" i="37"/>
  <c r="U12" i="40"/>
  <c r="AA12" i="40"/>
  <c r="J37" i="33"/>
  <c r="W37" i="33"/>
  <c r="AC17" i="34"/>
  <c r="I106" i="33"/>
  <c r="J106" i="33" s="1"/>
  <c r="K106" i="33" s="1"/>
  <c r="L106" i="33" s="1"/>
  <c r="M106" i="33" s="1"/>
  <c r="J34" i="33"/>
  <c r="W34" i="33"/>
  <c r="F33" i="34"/>
  <c r="S33" i="34" s="1"/>
  <c r="AC12" i="36"/>
  <c r="H20" i="36"/>
  <c r="J20" i="36"/>
  <c r="W20" i="36" s="1"/>
  <c r="J27" i="36"/>
  <c r="W27" i="36" s="1"/>
  <c r="H35" i="40"/>
  <c r="AB35" i="40" s="1"/>
  <c r="W29" i="35"/>
  <c r="H35" i="37"/>
  <c r="U35" i="37" s="1"/>
  <c r="AC14" i="35"/>
  <c r="H20" i="35"/>
  <c r="U20" i="35" s="1"/>
  <c r="F20" i="35"/>
  <c r="AA20" i="35" s="1"/>
  <c r="AB23" i="35"/>
  <c r="AB29" i="36"/>
  <c r="U29" i="36"/>
  <c r="H32" i="37"/>
  <c r="AB32" i="37" s="1"/>
  <c r="H27" i="40"/>
  <c r="U27" i="40" s="1"/>
  <c r="J27" i="40"/>
  <c r="AC27" i="40" s="1"/>
  <c r="F27" i="40"/>
  <c r="J30" i="40"/>
  <c r="AC30" i="40"/>
  <c r="F30" i="40"/>
  <c r="S31" i="39"/>
  <c r="S11" i="40"/>
  <c r="E98" i="40"/>
  <c r="F98" i="40" s="1"/>
  <c r="G98" i="40" s="1"/>
  <c r="H98" i="40" s="1"/>
  <c r="I98" i="40" s="1"/>
  <c r="J98" i="40" s="1"/>
  <c r="K98" i="40" s="1"/>
  <c r="L98" i="40" s="1"/>
  <c r="M98" i="40" s="1"/>
  <c r="F10" i="33"/>
  <c r="S10" i="33" s="1"/>
  <c r="F34" i="33"/>
  <c r="H34" i="33"/>
  <c r="U34" i="33" s="1"/>
  <c r="F35" i="33"/>
  <c r="F39" i="34"/>
  <c r="S39" i="34"/>
  <c r="J39" i="34"/>
  <c r="F40" i="34"/>
  <c r="S40" i="34" s="1"/>
  <c r="F43" i="34"/>
  <c r="AA43" i="34"/>
  <c r="H44" i="34"/>
  <c r="AB44" i="34" s="1"/>
  <c r="AC38" i="39"/>
  <c r="F39" i="39"/>
  <c r="S39" i="39" s="1"/>
  <c r="J39" i="39"/>
  <c r="AC39" i="39" s="1"/>
  <c r="E96" i="39"/>
  <c r="F96" i="39" s="1"/>
  <c r="G96" i="39" s="1"/>
  <c r="AZ354" i="3"/>
  <c r="C40" i="11"/>
  <c r="AZ223" i="3"/>
  <c r="AZ268" i="3"/>
  <c r="AZ117" i="3"/>
  <c r="AZ133" i="3"/>
  <c r="AZ45" i="3"/>
  <c r="AZ53" i="3"/>
  <c r="AZ86" i="3"/>
  <c r="AZ110" i="3"/>
  <c r="F23" i="39"/>
  <c r="H27" i="36"/>
  <c r="U27" i="36" s="1"/>
  <c r="F27" i="36"/>
  <c r="AA27" i="36" s="1"/>
  <c r="H33" i="34"/>
  <c r="U33" i="34" s="1"/>
  <c r="F32" i="37"/>
  <c r="AA32" i="37" s="1"/>
  <c r="F20" i="36"/>
  <c r="AA20" i="36" s="1"/>
  <c r="J33" i="34"/>
  <c r="AC33" i="34" s="1"/>
  <c r="H23" i="39"/>
  <c r="U23" i="39" s="1"/>
  <c r="K9" i="1"/>
  <c r="M9" i="1" s="1"/>
  <c r="D93" i="9"/>
  <c r="AC26" i="33"/>
  <c r="W26" i="33"/>
  <c r="W27" i="34"/>
  <c r="AC27" i="34"/>
  <c r="W12" i="33"/>
  <c r="AC12" i="33"/>
  <c r="AZ437" i="3"/>
  <c r="AZ473" i="3"/>
  <c r="AA39" i="34"/>
  <c r="BL14" i="3"/>
  <c r="U30" i="33"/>
  <c r="W28" i="37"/>
  <c r="S19" i="39"/>
  <c r="F12" i="33"/>
  <c r="F39" i="40"/>
  <c r="BA14" i="3"/>
  <c r="AZ14" i="3" s="1"/>
  <c r="AZ238" i="3"/>
  <c r="AZ281" i="3"/>
  <c r="AZ165" i="3"/>
  <c r="AZ173" i="3"/>
  <c r="AZ197" i="3"/>
  <c r="B12" i="1"/>
  <c r="E12" i="1" s="1"/>
  <c r="B10" i="1"/>
  <c r="E10" i="1" s="1"/>
  <c r="K12" i="1"/>
  <c r="M12" i="1" s="1"/>
  <c r="S13" i="1"/>
  <c r="AR13" i="1" s="1"/>
  <c r="R13" i="1"/>
  <c r="J51" i="67"/>
  <c r="C42" i="1"/>
  <c r="AC34" i="33"/>
  <c r="B41" i="1"/>
  <c r="F48" i="9" s="1"/>
  <c r="O52" i="9" s="1"/>
  <c r="AB37" i="40"/>
  <c r="S35" i="40"/>
  <c r="U35" i="40"/>
  <c r="AC36" i="40"/>
  <c r="W38" i="40"/>
  <c r="AA32" i="40"/>
  <c r="S17" i="40"/>
  <c r="AC17" i="40"/>
  <c r="AC15" i="40"/>
  <c r="AB27" i="40"/>
  <c r="AA19" i="40"/>
  <c r="S28"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5" i="39"/>
  <c r="S9" i="39"/>
  <c r="U14" i="39"/>
  <c r="AC13" i="39"/>
  <c r="S23" i="36"/>
  <c r="U26" i="36"/>
  <c r="AA26" i="36"/>
  <c r="AC26" i="36"/>
  <c r="W14" i="36"/>
  <c r="AB14" i="36"/>
  <c r="S16" i="36"/>
  <c r="AA25" i="36"/>
  <c r="S24" i="36"/>
  <c r="U16" i="36"/>
  <c r="S14" i="36"/>
  <c r="AA25" i="35"/>
  <c r="W24" i="35"/>
  <c r="AB13" i="35"/>
  <c r="AB27" i="35"/>
  <c r="U32" i="35"/>
  <c r="AC30" i="35"/>
  <c r="S32" i="35"/>
  <c r="AA36" i="35"/>
  <c r="S28" i="35"/>
  <c r="AB16" i="35"/>
  <c r="U22" i="35"/>
  <c r="S20" i="35"/>
  <c r="S22" i="35"/>
  <c r="U14" i="35"/>
  <c r="AA11" i="35"/>
  <c r="AC12" i="35"/>
  <c r="F9" i="35"/>
  <c r="S9" i="35" s="1"/>
  <c r="H9" i="35"/>
  <c r="U9" i="35" s="1"/>
  <c r="AB40" i="37"/>
  <c r="S25" i="37"/>
  <c r="W27" i="37"/>
  <c r="AC29" i="37"/>
  <c r="U29" i="37"/>
  <c r="S32" i="37"/>
  <c r="AB31" i="37"/>
  <c r="W30" i="37"/>
  <c r="S36" i="37"/>
  <c r="U32" i="37"/>
  <c r="W38" i="37"/>
  <c r="S30" i="37"/>
  <c r="S37" i="37"/>
  <c r="J17" i="37"/>
  <c r="W17" i="37" s="1"/>
  <c r="F17" i="37"/>
  <c r="AA17" i="37" s="1"/>
  <c r="AB17" i="37"/>
  <c r="F75" i="37"/>
  <c r="F19" i="37"/>
  <c r="F23" i="37"/>
  <c r="S23" i="37" s="1"/>
  <c r="U23" i="37"/>
  <c r="U15" i="37"/>
  <c r="H10" i="37"/>
  <c r="AB10" i="37" s="1"/>
  <c r="F63" i="37"/>
  <c r="F11" i="37"/>
  <c r="S11" i="37" s="1"/>
  <c r="S27" i="34"/>
  <c r="W25" i="34"/>
  <c r="AB8" i="34"/>
  <c r="AA33" i="34"/>
  <c r="U44" i="34"/>
  <c r="U43" i="34"/>
  <c r="W41" i="34"/>
  <c r="AC42" i="34"/>
  <c r="AB35" i="34"/>
  <c r="U39" i="34"/>
  <c r="S43" i="34"/>
  <c r="AA45" i="34"/>
  <c r="AA25" i="34"/>
  <c r="S17" i="34"/>
  <c r="S23" i="34"/>
  <c r="U15" i="34"/>
  <c r="H10" i="34"/>
  <c r="AB10" i="34" s="1"/>
  <c r="F11" i="34"/>
  <c r="S11" i="34" s="1"/>
  <c r="F70" i="34"/>
  <c r="G70" i="34" s="1"/>
  <c r="W42" i="33"/>
  <c r="S32" i="33"/>
  <c r="AA29" i="33"/>
  <c r="AB29" i="33"/>
  <c r="W38" i="33"/>
  <c r="H41" i="33"/>
  <c r="U42" i="33"/>
  <c r="F36" i="33"/>
  <c r="AA36" i="33" s="1"/>
  <c r="G111" i="33"/>
  <c r="J35" i="33"/>
  <c r="S37" i="33"/>
  <c r="AA37" i="33"/>
  <c r="S39" i="33"/>
  <c r="J32" i="33"/>
  <c r="S46" i="33"/>
  <c r="W43" i="33"/>
  <c r="F91" i="33"/>
  <c r="H27" i="33"/>
  <c r="U27" i="33" s="1"/>
  <c r="H25" i="33"/>
  <c r="F25" i="33"/>
  <c r="J23" i="33"/>
  <c r="F85" i="33"/>
  <c r="H23" i="33"/>
  <c r="F19" i="33"/>
  <c r="S19" i="33" s="1"/>
  <c r="W19" i="33"/>
  <c r="J17" i="33"/>
  <c r="F79" i="33"/>
  <c r="J10" i="33"/>
  <c r="W10" i="33" s="1"/>
  <c r="H10" i="33"/>
  <c r="U10" i="33" s="1"/>
  <c r="AC11" i="33"/>
  <c r="W43" i="21"/>
  <c r="W36" i="21"/>
  <c r="W41" i="21"/>
  <c r="AB39" i="21"/>
  <c r="AA43" i="21"/>
  <c r="S39" i="21"/>
  <c r="AA38" i="21"/>
  <c r="AA36" i="21"/>
  <c r="AC40" i="21"/>
  <c r="J15" i="21"/>
  <c r="W15" i="21" s="1"/>
  <c r="F23" i="21"/>
  <c r="S23" i="21"/>
  <c r="E85" i="21"/>
  <c r="AA14" i="21"/>
  <c r="D120" i="9"/>
  <c r="D121" i="9" s="1"/>
  <c r="D7" i="52" s="1"/>
  <c r="C18" i="9"/>
  <c r="D18" i="9" s="1"/>
  <c r="F34" i="67"/>
  <c r="F62" i="67" s="1"/>
  <c r="M20" i="67"/>
  <c r="F34" i="15"/>
  <c r="F62" i="15" s="1"/>
  <c r="G13" i="3"/>
  <c r="G35" i="6" s="1"/>
  <c r="BL17" i="3"/>
  <c r="AZ17" i="3"/>
  <c r="BL13" i="3"/>
  <c r="J56" i="9"/>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L20" i="6"/>
  <c r="B6" i="1"/>
  <c r="E6" i="1" s="1"/>
  <c r="K11" i="1"/>
  <c r="M11" i="1" s="1"/>
  <c r="O11" i="1" s="1"/>
  <c r="B9" i="1"/>
  <c r="E9" i="1" s="1"/>
  <c r="K7" i="1"/>
  <c r="M7" i="1" s="1"/>
  <c r="O7" i="1" s="1"/>
  <c r="P7" i="1" s="1"/>
  <c r="G1" i="15"/>
  <c r="G1" i="69"/>
  <c r="G1" i="67"/>
  <c r="W23" i="40"/>
  <c r="U32" i="40"/>
  <c r="AB31" i="40"/>
  <c r="S37" i="40"/>
  <c r="AB28" i="40"/>
  <c r="W28" i="40"/>
  <c r="W27" i="40"/>
  <c r="S36" i="40"/>
  <c r="W37" i="40"/>
  <c r="S33" i="40"/>
  <c r="AA15" i="40"/>
  <c r="U11" i="40"/>
  <c r="S31" i="40"/>
  <c r="U15" i="40"/>
  <c r="AB17" i="40"/>
  <c r="S8" i="40"/>
  <c r="AA39" i="39"/>
  <c r="U42" i="39"/>
  <c r="U13" i="39"/>
  <c r="AB13" i="39"/>
  <c r="AA13" i="39"/>
  <c r="S13" i="39"/>
  <c r="S14" i="39"/>
  <c r="AA14" i="39"/>
  <c r="U43" i="39"/>
  <c r="AB43" i="39"/>
  <c r="AB11" i="39"/>
  <c r="U11" i="39"/>
  <c r="AA27" i="39"/>
  <c r="S27" i="39"/>
  <c r="W17" i="39"/>
  <c r="AC17" i="39"/>
  <c r="AA45" i="39"/>
  <c r="AB39" i="39"/>
  <c r="W34" i="39"/>
  <c r="U38" i="39"/>
  <c r="S8" i="39"/>
  <c r="S20" i="36"/>
  <c r="AC25" i="36"/>
  <c r="W29" i="36"/>
  <c r="AC20" i="36"/>
  <c r="AB28" i="36"/>
  <c r="AA13" i="36"/>
  <c r="W9" i="36"/>
  <c r="W22" i="36"/>
  <c r="W23" i="36"/>
  <c r="S9" i="36"/>
  <c r="AB20" i="35"/>
  <c r="AC25" i="35"/>
  <c r="U25" i="35"/>
  <c r="S24" i="35"/>
  <c r="U24" i="35"/>
  <c r="AA16" i="35"/>
  <c r="AA35" i="37"/>
  <c r="S27" i="37"/>
  <c r="S28" i="37"/>
  <c r="W32" i="37"/>
  <c r="S40" i="37"/>
  <c r="U38" i="37"/>
  <c r="AC34" i="37"/>
  <c r="AB35" i="37"/>
  <c r="AA31" i="37"/>
  <c r="U19" i="37"/>
  <c r="AA29" i="37"/>
  <c r="U8" i="37"/>
  <c r="AA40" i="34"/>
  <c r="W19" i="34"/>
  <c r="AB33" i="34"/>
  <c r="AA30" i="34"/>
  <c r="AB45" i="34"/>
  <c r="U25" i="34"/>
  <c r="AB36" i="34"/>
  <c r="W33" i="34"/>
  <c r="AC14" i="34"/>
  <c r="AC32" i="34"/>
  <c r="AC29" i="34"/>
  <c r="W29" i="34"/>
  <c r="S32" i="34"/>
  <c r="AA32"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AB34" i="33"/>
  <c r="S30" i="33"/>
  <c r="AA30" i="33"/>
  <c r="AC30" i="33"/>
  <c r="W30" i="33"/>
  <c r="S31" i="33"/>
  <c r="AA31" i="33"/>
  <c r="W13" i="33"/>
  <c r="AC13" i="33"/>
  <c r="S11" i="33"/>
  <c r="U37" i="33"/>
  <c r="AC28" i="33"/>
  <c r="S28" i="33"/>
  <c r="W8" i="33"/>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J17" i="21"/>
  <c r="AC17" i="21" s="1"/>
  <c r="AC19" i="21"/>
  <c r="W39" i="21"/>
  <c r="W30" i="21"/>
  <c r="S46" i="21"/>
  <c r="H45" i="21"/>
  <c r="U45" i="21" s="1"/>
  <c r="F29" i="21"/>
  <c r="AA29" i="21" s="1"/>
  <c r="F13" i="21"/>
  <c r="AA13" i="21" s="1"/>
  <c r="AC38" i="21"/>
  <c r="H32" i="21"/>
  <c r="AB32" i="21" s="1"/>
  <c r="H9" i="21"/>
  <c r="J9" i="21"/>
  <c r="W9" i="21" s="1"/>
  <c r="J32" i="21"/>
  <c r="W32" i="21" s="1"/>
  <c r="F32" i="21"/>
  <c r="AA32" i="21" s="1"/>
  <c r="AA31" i="21"/>
  <c r="U17" i="21"/>
  <c r="W29" i="21"/>
  <c r="S19" i="21"/>
  <c r="S9" i="21"/>
  <c r="AA9" i="21"/>
  <c r="K141" i="21"/>
  <c r="K144" i="21"/>
  <c r="K143" i="21"/>
  <c r="AB25" i="21"/>
  <c r="AB44" i="21"/>
  <c r="AA30" i="21"/>
  <c r="W13" i="21"/>
  <c r="W42" i="21"/>
  <c r="AC45" i="21"/>
  <c r="F10" i="21"/>
  <c r="AA10" i="21" s="1"/>
  <c r="K145" i="21"/>
  <c r="W25" i="21"/>
  <c r="W31" i="21"/>
  <c r="S27" i="21"/>
  <c r="S17" i="21"/>
  <c r="AA15" i="21"/>
  <c r="AC26" i="21"/>
  <c r="AB29" i="21"/>
  <c r="S28" i="21"/>
  <c r="W12" i="21"/>
  <c r="AB36" i="21"/>
  <c r="W30" i="40"/>
  <c r="C19" i="39"/>
  <c r="C15" i="40"/>
  <c r="C17" i="40"/>
  <c r="C23" i="40"/>
  <c r="C21" i="40"/>
  <c r="U30" i="40"/>
  <c r="B56" i="43"/>
  <c r="B67" i="43"/>
  <c r="B51" i="43"/>
  <c r="B54" i="43"/>
  <c r="B58" i="43"/>
  <c r="B62" i="43"/>
  <c r="B65" i="43"/>
  <c r="B69" i="43"/>
  <c r="E4" i="4"/>
  <c r="B5" i="62" s="1"/>
  <c r="B73" i="72" s="1"/>
  <c r="C4" i="4"/>
  <c r="F30" i="68"/>
  <c r="F48" i="68" s="1"/>
  <c r="AA39" i="40"/>
  <c r="S39" i="40"/>
  <c r="S12" i="33"/>
  <c r="AA12" i="33"/>
  <c r="J32" i="39"/>
  <c r="H32" i="39"/>
  <c r="AB32" i="39" s="1"/>
  <c r="AA32" i="39"/>
  <c r="S32" i="39"/>
  <c r="AB21" i="39"/>
  <c r="U21" i="39"/>
  <c r="AA21" i="39"/>
  <c r="S21" i="39"/>
  <c r="AC17" i="37"/>
  <c r="S17" i="37"/>
  <c r="J19" i="37"/>
  <c r="G75" i="37"/>
  <c r="S19" i="37"/>
  <c r="AA19" i="37"/>
  <c r="AA23" i="37"/>
  <c r="J23" i="37"/>
  <c r="AC23" i="37" s="1"/>
  <c r="J10" i="37"/>
  <c r="W10" i="37" s="1"/>
  <c r="G63" i="37"/>
  <c r="H63" i="37" s="1"/>
  <c r="I63" i="37" s="1"/>
  <c r="J63" i="37" s="1"/>
  <c r="K63" i="37" s="1"/>
  <c r="L63" i="37" s="1"/>
  <c r="M63" i="37" s="1"/>
  <c r="H11" i="37"/>
  <c r="AB11" i="37" s="1"/>
  <c r="H11" i="34"/>
  <c r="U11" i="34" s="1"/>
  <c r="J10" i="34"/>
  <c r="AC10" i="34" s="1"/>
  <c r="AB41" i="33"/>
  <c r="U41" i="33"/>
  <c r="W35" i="33"/>
  <c r="AC35" i="33"/>
  <c r="H111" i="33"/>
  <c r="I111" i="33" s="1"/>
  <c r="J111" i="33" s="1"/>
  <c r="K111" i="33" s="1"/>
  <c r="L111" i="33" s="1"/>
  <c r="M111" i="33" s="1"/>
  <c r="J36" i="33"/>
  <c r="W36" i="33" s="1"/>
  <c r="H36" i="33"/>
  <c r="U36" i="33" s="1"/>
  <c r="AC32" i="33"/>
  <c r="W32" i="33"/>
  <c r="G91" i="33"/>
  <c r="H91" i="33" s="1"/>
  <c r="I91" i="33" s="1"/>
  <c r="J91" i="33" s="1"/>
  <c r="K91" i="33" s="1"/>
  <c r="L91" i="33" s="1"/>
  <c r="M91" i="33" s="1"/>
  <c r="J27" i="33"/>
  <c r="AC27" i="33" s="1"/>
  <c r="S25" i="33"/>
  <c r="AA25" i="33"/>
  <c r="J25" i="33"/>
  <c r="W25" i="33" s="1"/>
  <c r="F23" i="33"/>
  <c r="S23" i="33" s="1"/>
  <c r="G85" i="33"/>
  <c r="AC23" i="33"/>
  <c r="W23" i="33"/>
  <c r="AA19" i="33"/>
  <c r="H19" i="33"/>
  <c r="AB19" i="33" s="1"/>
  <c r="G79" i="33"/>
  <c r="H17" i="33"/>
  <c r="U17" i="33" s="1"/>
  <c r="F17" i="33"/>
  <c r="S17" i="33" s="1"/>
  <c r="S37" i="21"/>
  <c r="AA23" i="21"/>
  <c r="J23" i="21"/>
  <c r="AC23" i="21" s="1"/>
  <c r="F85" i="21"/>
  <c r="G85" i="21" s="1"/>
  <c r="H23" i="21"/>
  <c r="S13" i="21"/>
  <c r="D6" i="52"/>
  <c r="AP7" i="1"/>
  <c r="AB45" i="21"/>
  <c r="AB9" i="21"/>
  <c r="U9" i="21"/>
  <c r="AC9" i="21"/>
  <c r="U32" i="39"/>
  <c r="AC32" i="39"/>
  <c r="W32" i="39"/>
  <c r="W23" i="37"/>
  <c r="J11" i="37"/>
  <c r="AC11" i="37" s="1"/>
  <c r="H70" i="34"/>
  <c r="I70" i="34" s="1"/>
  <c r="J70" i="34" s="1"/>
  <c r="K70" i="34" s="1"/>
  <c r="L70" i="34" s="1"/>
  <c r="M70" i="34" s="1"/>
  <c r="J11" i="34"/>
  <c r="W11" i="34" s="1"/>
  <c r="AC25" i="33"/>
  <c r="U19" i="33"/>
  <c r="AB17" i="33"/>
  <c r="U23" i="21"/>
  <c r="AB23" i="21"/>
  <c r="W23" i="21"/>
  <c r="H109" i="9"/>
  <c r="AD3" i="71"/>
  <c r="J1" i="73"/>
  <c r="H69" i="43"/>
  <c r="C24" i="12"/>
  <c r="C22" i="71"/>
  <c r="C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8" i="67"/>
  <c r="E12" i="76"/>
  <c r="L48" i="67"/>
  <c r="F16" i="67"/>
  <c r="F9" i="67"/>
  <c r="M6" i="15"/>
  <c r="B9" i="76"/>
  <c r="AO13" i="1"/>
  <c r="F38" i="67"/>
  <c r="F42" i="67"/>
  <c r="F3" i="73"/>
  <c r="F7" i="15"/>
  <c r="M8" i="67"/>
  <c r="F5" i="73"/>
  <c r="E13" i="76"/>
  <c r="F6" i="67"/>
  <c r="M26" i="67"/>
  <c r="D7" i="73"/>
  <c r="B13" i="76"/>
  <c r="F6" i="73"/>
  <c r="F7" i="67"/>
  <c r="F36" i="67"/>
  <c r="F37" i="67"/>
  <c r="E7" i="76"/>
  <c r="F7" i="73"/>
  <c r="M22" i="67"/>
  <c r="M24" i="67"/>
  <c r="M23" i="67"/>
  <c r="E2" i="68"/>
  <c r="B7" i="76"/>
  <c r="F26" i="67"/>
  <c r="E10" i="76"/>
  <c r="L47" i="67"/>
  <c r="F4" i="73"/>
  <c r="E8" i="76"/>
  <c r="C76" i="67"/>
  <c r="F16" i="15"/>
  <c r="M29" i="67"/>
  <c r="J15" i="67"/>
  <c r="M26" i="15"/>
  <c r="B10" i="76"/>
  <c r="M6" i="67"/>
  <c r="F20" i="31"/>
  <c r="B8" i="76"/>
  <c r="B12" i="76"/>
  <c r="E2" i="69"/>
  <c r="M28" i="67"/>
  <c r="M29" i="15"/>
  <c r="M9" i="67"/>
  <c r="F43" i="67"/>
  <c r="F40" i="67"/>
  <c r="B11" i="76"/>
  <c r="F38" i="15"/>
  <c r="E11" i="76"/>
  <c r="M9" i="15"/>
  <c r="E9" i="76"/>
  <c r="M28" i="15"/>
  <c r="F13" i="67"/>
  <c r="H50" i="43" l="1"/>
  <c r="G50" i="43" s="1"/>
  <c r="H67" i="43"/>
  <c r="M54" i="43"/>
  <c r="AA32" i="36"/>
  <c r="S32" i="36"/>
  <c r="U27" i="37"/>
  <c r="AB27" i="37"/>
  <c r="AC39" i="37"/>
  <c r="W39" i="37"/>
  <c r="W27" i="21"/>
  <c r="AC27" i="21"/>
  <c r="W9" i="35"/>
  <c r="AC9" i="35"/>
  <c r="AC31" i="40"/>
  <c r="W31" i="40"/>
  <c r="W17" i="21"/>
  <c r="S29" i="21"/>
  <c r="AZ357" i="3"/>
  <c r="AZ513" i="3"/>
  <c r="AZ577" i="3"/>
  <c r="AZ581" i="3"/>
  <c r="G586" i="3"/>
  <c r="AC25" i="37"/>
  <c r="H25" i="37"/>
  <c r="AC15" i="37"/>
  <c r="AZ387" i="3"/>
  <c r="AZ382" i="3"/>
  <c r="AZ356" i="3"/>
  <c r="AZ329" i="3"/>
  <c r="AZ321" i="3"/>
  <c r="AZ378" i="3"/>
  <c r="AZ362" i="3"/>
  <c r="AZ360" i="3"/>
  <c r="AC13" i="40"/>
  <c r="AB28" i="37"/>
  <c r="U43" i="33"/>
  <c r="AB27" i="34"/>
  <c r="AZ525" i="3"/>
  <c r="AZ567" i="3"/>
  <c r="AZ579" i="3"/>
  <c r="AZ576" i="3"/>
  <c r="AZ556" i="3"/>
  <c r="AZ574" i="3"/>
  <c r="AC28" i="21"/>
  <c r="AB26" i="33"/>
  <c r="S33" i="35"/>
  <c r="G585" i="3"/>
  <c r="B73" i="43"/>
  <c r="B76" i="43"/>
  <c r="B75" i="43"/>
  <c r="BL573" i="3"/>
  <c r="G578" i="3"/>
  <c r="G562" i="3"/>
  <c r="G556" i="3"/>
  <c r="BL555" i="3"/>
  <c r="G552" i="3"/>
  <c r="G549" i="3"/>
  <c r="BL499" i="3"/>
  <c r="BL16" i="3"/>
  <c r="AZ16" i="3" s="1"/>
  <c r="BL425" i="3"/>
  <c r="BA427" i="3"/>
  <c r="AZ427" i="3" s="1"/>
  <c r="BA428" i="3"/>
  <c r="AZ428" i="3" s="1"/>
  <c r="G429" i="3"/>
  <c r="BA429" i="3"/>
  <c r="G430" i="3"/>
  <c r="BL432" i="3"/>
  <c r="BA434" i="3"/>
  <c r="BL434" i="3"/>
  <c r="G436" i="3"/>
  <c r="BA436" i="3"/>
  <c r="AZ436" i="3" s="1"/>
  <c r="G437" i="3"/>
  <c r="BA438" i="3"/>
  <c r="BL438" i="3"/>
  <c r="G441" i="3"/>
  <c r="BL441" i="3"/>
  <c r="AZ441" i="3" s="1"/>
  <c r="BA442" i="3"/>
  <c r="BL445" i="3"/>
  <c r="BA446" i="3"/>
  <c r="BL446" i="3"/>
  <c r="G447" i="3"/>
  <c r="BL447" i="3"/>
  <c r="BA448" i="3"/>
  <c r="G449" i="3"/>
  <c r="BA450" i="3"/>
  <c r="BL450" i="3"/>
  <c r="BL452" i="3"/>
  <c r="G454" i="3"/>
  <c r="BA456" i="3"/>
  <c r="AZ456" i="3" s="1"/>
  <c r="BL457" i="3"/>
  <c r="BL459" i="3"/>
  <c r="G463" i="3"/>
  <c r="BA463" i="3"/>
  <c r="AZ463" i="3" s="1"/>
  <c r="BA467" i="3"/>
  <c r="AZ467" i="3" s="1"/>
  <c r="BL467" i="3"/>
  <c r="BA468" i="3"/>
  <c r="G469" i="3"/>
  <c r="G470" i="3"/>
  <c r="G472" i="3"/>
  <c r="BL472" i="3"/>
  <c r="G475" i="3"/>
  <c r="BL475" i="3"/>
  <c r="BL476" i="3"/>
  <c r="BL478" i="3"/>
  <c r="BA479" i="3"/>
  <c r="AZ479" i="3" s="1"/>
  <c r="G480" i="3"/>
  <c r="BA480" i="3"/>
  <c r="G481" i="3"/>
  <c r="BL483" i="3"/>
  <c r="BL484" i="3"/>
  <c r="BA487" i="3"/>
  <c r="BL487" i="3"/>
  <c r="BL488" i="3"/>
  <c r="BA489" i="3"/>
  <c r="AZ489" i="3" s="1"/>
  <c r="BL490" i="3"/>
  <c r="AZ490" i="3" s="1"/>
  <c r="BA491" i="3"/>
  <c r="AZ491" i="3" s="1"/>
  <c r="BL492" i="3"/>
  <c r="BA307" i="3"/>
  <c r="AZ307" i="3" s="1"/>
  <c r="BL312" i="3"/>
  <c r="AZ312" i="3" s="1"/>
  <c r="BA315" i="3"/>
  <c r="AZ315" i="3" s="1"/>
  <c r="BA316" i="3"/>
  <c r="BL317" i="3"/>
  <c r="AZ317" i="3" s="1"/>
  <c r="BA323" i="3"/>
  <c r="AZ323" i="3" s="1"/>
  <c r="BL328" i="3"/>
  <c r="AZ328" i="3" s="1"/>
  <c r="BA331" i="3"/>
  <c r="AZ331" i="3" s="1"/>
  <c r="BA332" i="3"/>
  <c r="BL333" i="3"/>
  <c r="AZ333" i="3" s="1"/>
  <c r="BA339" i="3"/>
  <c r="AZ339" i="3" s="1"/>
  <c r="G345" i="3"/>
  <c r="G347" i="3"/>
  <c r="BA349" i="3"/>
  <c r="AZ349" i="3" s="1"/>
  <c r="BL350" i="3"/>
  <c r="BA352" i="3"/>
  <c r="AZ352" i="3" s="1"/>
  <c r="BL353" i="3"/>
  <c r="AZ353" i="3" s="1"/>
  <c r="BA358" i="3"/>
  <c r="AZ358" i="3" s="1"/>
  <c r="BL363" i="3"/>
  <c r="AZ363" i="3" s="1"/>
  <c r="BL367" i="3"/>
  <c r="BA385" i="3"/>
  <c r="AZ385" i="3" s="1"/>
  <c r="BA386" i="3"/>
  <c r="BL386" i="3"/>
  <c r="G387" i="3"/>
  <c r="BA388" i="3"/>
  <c r="AZ388" i="3" s="1"/>
  <c r="BA392" i="3"/>
  <c r="AZ392" i="3" s="1"/>
  <c r="G395" i="3"/>
  <c r="BA208" i="3"/>
  <c r="BL208" i="3"/>
  <c r="G209" i="3"/>
  <c r="BL209" i="3"/>
  <c r="AZ209" i="3" s="1"/>
  <c r="BA210" i="3"/>
  <c r="BL210" i="3"/>
  <c r="G211" i="3"/>
  <c r="BA213" i="3"/>
  <c r="AZ213" i="3" s="1"/>
  <c r="BL213" i="3"/>
  <c r="G214" i="3"/>
  <c r="BA215" i="3"/>
  <c r="BL215" i="3"/>
  <c r="G216" i="3"/>
  <c r="BL219" i="3"/>
  <c r="BL224" i="3"/>
  <c r="BL565" i="3"/>
  <c r="BA564" i="3"/>
  <c r="BA563" i="3"/>
  <c r="BL550" i="3"/>
  <c r="BL547" i="3"/>
  <c r="BA547" i="3"/>
  <c r="BL546" i="3"/>
  <c r="BA546" i="3"/>
  <c r="BA544" i="3"/>
  <c r="BA542" i="3"/>
  <c r="BL541" i="3"/>
  <c r="BA539" i="3"/>
  <c r="AZ539" i="3" s="1"/>
  <c r="BL537" i="3"/>
  <c r="BL536" i="3"/>
  <c r="BA536" i="3"/>
  <c r="AZ536" i="3" s="1"/>
  <c r="BL535" i="3"/>
  <c r="BL534" i="3"/>
  <c r="BA533" i="3"/>
  <c r="BA531" i="3"/>
  <c r="BH5" i="3"/>
  <c r="BL529" i="3"/>
  <c r="BL528" i="3"/>
  <c r="BT5" i="3"/>
  <c r="BL526" i="3"/>
  <c r="BJ5" i="3"/>
  <c r="BA526" i="3"/>
  <c r="AZ526" i="3" s="1"/>
  <c r="E5" i="6"/>
  <c r="F6" i="1"/>
  <c r="A15" i="62"/>
  <c r="B61" i="72" s="1"/>
  <c r="A24" i="51"/>
  <c r="B18" i="72" s="1"/>
  <c r="BL398" i="3"/>
  <c r="AZ398" i="3" s="1"/>
  <c r="G400" i="3"/>
  <c r="BL400" i="3"/>
  <c r="BL401" i="3"/>
  <c r="AZ401" i="3" s="1"/>
  <c r="BA403" i="3"/>
  <c r="BL403" i="3"/>
  <c r="BA404" i="3"/>
  <c r="AZ404" i="3" s="1"/>
  <c r="G405" i="3"/>
  <c r="BA405" i="3"/>
  <c r="AZ405" i="3" s="1"/>
  <c r="G406" i="3"/>
  <c r="G407" i="3"/>
  <c r="BL407" i="3"/>
  <c r="BL408" i="3"/>
  <c r="AZ408" i="3" s="1"/>
  <c r="G410" i="3"/>
  <c r="BL410" i="3"/>
  <c r="AZ410" i="3" s="1"/>
  <c r="BA411" i="3"/>
  <c r="G412" i="3"/>
  <c r="G413" i="3"/>
  <c r="BL413" i="3"/>
  <c r="AZ413" i="3" s="1"/>
  <c r="BA414" i="3"/>
  <c r="G415" i="3"/>
  <c r="BA415" i="3"/>
  <c r="G416" i="3"/>
  <c r="BA417" i="3"/>
  <c r="AZ417" i="3" s="1"/>
  <c r="G418" i="3"/>
  <c r="G419" i="3"/>
  <c r="G420" i="3"/>
  <c r="BL420" i="3"/>
  <c r="AZ420" i="3" s="1"/>
  <c r="BA421" i="3"/>
  <c r="G422" i="3"/>
  <c r="G423" i="3"/>
  <c r="G424" i="3"/>
  <c r="BL424" i="3"/>
  <c r="AZ425" i="3"/>
  <c r="AZ447" i="3"/>
  <c r="AZ452" i="3"/>
  <c r="BA454" i="3"/>
  <c r="BL454" i="3"/>
  <c r="AZ459" i="3"/>
  <c r="AZ462" i="3"/>
  <c r="BA466" i="3"/>
  <c r="AZ466" i="3" s="1"/>
  <c r="BA469" i="3"/>
  <c r="BL469" i="3"/>
  <c r="BL480" i="3"/>
  <c r="BA485" i="3"/>
  <c r="AZ485" i="3" s="1"/>
  <c r="AZ488" i="3"/>
  <c r="AZ492" i="3"/>
  <c r="BA303" i="3"/>
  <c r="AZ303" i="3" s="1"/>
  <c r="BL308" i="3"/>
  <c r="AZ308" i="3" s="1"/>
  <c r="BA319" i="3"/>
  <c r="AZ319" i="3" s="1"/>
  <c r="BL324" i="3"/>
  <c r="AZ324" i="3" s="1"/>
  <c r="BA335" i="3"/>
  <c r="AZ335" i="3" s="1"/>
  <c r="BL340" i="3"/>
  <c r="AZ340" i="3" s="1"/>
  <c r="BL359" i="3"/>
  <c r="AZ359" i="3" s="1"/>
  <c r="BL381" i="3"/>
  <c r="AZ381" i="3" s="1"/>
  <c r="BL383" i="3"/>
  <c r="AZ383" i="3" s="1"/>
  <c r="BL395" i="3"/>
  <c r="BL211" i="3"/>
  <c r="BA212" i="3"/>
  <c r="AZ212" i="3" s="1"/>
  <c r="BA214" i="3"/>
  <c r="AZ214" i="3" s="1"/>
  <c r="BL216" i="3"/>
  <c r="BA217" i="3"/>
  <c r="AZ217" i="3" s="1"/>
  <c r="BA220" i="3"/>
  <c r="AZ220" i="3" s="1"/>
  <c r="BL222" i="3"/>
  <c r="BA225" i="3"/>
  <c r="AZ225" i="3" s="1"/>
  <c r="BL227" i="3"/>
  <c r="AZ230" i="3"/>
  <c r="BA231" i="3"/>
  <c r="AZ231" i="3" s="1"/>
  <c r="BA233" i="3"/>
  <c r="AZ233" i="3" s="1"/>
  <c r="BA235" i="3"/>
  <c r="AZ235" i="3" s="1"/>
  <c r="BL237" i="3"/>
  <c r="BA245" i="3"/>
  <c r="AZ245" i="3" s="1"/>
  <c r="BA255" i="3"/>
  <c r="AZ255" i="3" s="1"/>
  <c r="BA257" i="3"/>
  <c r="AZ257" i="3" s="1"/>
  <c r="BL259" i="3"/>
  <c r="BA265" i="3"/>
  <c r="AZ265" i="3" s="1"/>
  <c r="BL267" i="3"/>
  <c r="BL269" i="3"/>
  <c r="BA270" i="3"/>
  <c r="AZ270" i="3" s="1"/>
  <c r="BL272" i="3"/>
  <c r="BL278" i="3"/>
  <c r="BL280" i="3"/>
  <c r="BL288" i="3"/>
  <c r="BL143" i="3"/>
  <c r="AZ143" i="3" s="1"/>
  <c r="BA145" i="3"/>
  <c r="G146" i="3"/>
  <c r="G148" i="3"/>
  <c r="BA149" i="3"/>
  <c r="AZ149" i="3" s="1"/>
  <c r="G150" i="3"/>
  <c r="G151" i="3"/>
  <c r="G152" i="3"/>
  <c r="BA156" i="3"/>
  <c r="AZ156" i="3" s="1"/>
  <c r="BA157" i="3"/>
  <c r="BL158" i="3"/>
  <c r="AZ158" i="3" s="1"/>
  <c r="BA160" i="3"/>
  <c r="AZ160" i="3" s="1"/>
  <c r="BL161" i="3"/>
  <c r="AZ161" i="3" s="1"/>
  <c r="BA162" i="3"/>
  <c r="G166" i="3"/>
  <c r="BL167" i="3"/>
  <c r="AZ167" i="3" s="1"/>
  <c r="BA168" i="3"/>
  <c r="AZ168" i="3" s="1"/>
  <c r="BA174" i="3"/>
  <c r="BL174" i="3"/>
  <c r="G175" i="3"/>
  <c r="BA176" i="3"/>
  <c r="AZ176" i="3" s="1"/>
  <c r="G180" i="3"/>
  <c r="BL181" i="3"/>
  <c r="AZ181" i="3" s="1"/>
  <c r="G182" i="3"/>
  <c r="G183" i="3"/>
  <c r="G186" i="3"/>
  <c r="BL186" i="3"/>
  <c r="AZ186" i="3" s="1"/>
  <c r="BL187" i="3"/>
  <c r="AZ187" i="3" s="1"/>
  <c r="BA188" i="3"/>
  <c r="AZ188" i="3" s="1"/>
  <c r="G199" i="3"/>
  <c r="BA201" i="3"/>
  <c r="BL201" i="3"/>
  <c r="AZ22" i="3"/>
  <c r="BA218" i="3"/>
  <c r="AZ218" i="3" s="1"/>
  <c r="G219" i="3"/>
  <c r="BA219" i="3"/>
  <c r="AZ219" i="3" s="1"/>
  <c r="G220" i="3"/>
  <c r="BA222" i="3"/>
  <c r="AZ222" i="3" s="1"/>
  <c r="G223" i="3"/>
  <c r="BA224" i="3"/>
  <c r="AZ224" i="3" s="1"/>
  <c r="G225" i="3"/>
  <c r="BA227" i="3"/>
  <c r="AZ227" i="3" s="1"/>
  <c r="G228" i="3"/>
  <c r="BA228" i="3"/>
  <c r="AZ228" i="3" s="1"/>
  <c r="BL229" i="3"/>
  <c r="AZ229" i="3" s="1"/>
  <c r="BL230" i="3"/>
  <c r="BA232" i="3"/>
  <c r="AZ232" i="3" s="1"/>
  <c r="G233" i="3"/>
  <c r="BA234" i="3"/>
  <c r="AZ234" i="3" s="1"/>
  <c r="G235" i="3"/>
  <c r="BA237" i="3"/>
  <c r="AZ237" i="3" s="1"/>
  <c r="G238" i="3"/>
  <c r="BL239" i="3"/>
  <c r="BA240" i="3"/>
  <c r="AZ240" i="3" s="1"/>
  <c r="BL241" i="3"/>
  <c r="AZ241" i="3" s="1"/>
  <c r="BL242" i="3"/>
  <c r="BL243" i="3"/>
  <c r="AZ243" i="3" s="1"/>
  <c r="BA244" i="3"/>
  <c r="AZ244" i="3" s="1"/>
  <c r="G245" i="3"/>
  <c r="BL247" i="3"/>
  <c r="BA248" i="3"/>
  <c r="AZ248" i="3" s="1"/>
  <c r="BL249" i="3"/>
  <c r="AZ249" i="3" s="1"/>
  <c r="BA250" i="3"/>
  <c r="AZ250" i="3" s="1"/>
  <c r="BL251" i="3"/>
  <c r="AZ251" i="3" s="1"/>
  <c r="BL252" i="3"/>
  <c r="BL253" i="3"/>
  <c r="AZ253" i="3" s="1"/>
  <c r="BL254" i="3"/>
  <c r="AZ254" i="3" s="1"/>
  <c r="BA256" i="3"/>
  <c r="AZ256" i="3" s="1"/>
  <c r="G257" i="3"/>
  <c r="BA259" i="3"/>
  <c r="G260" i="3"/>
  <c r="BA260" i="3"/>
  <c r="AZ260" i="3" s="1"/>
  <c r="BL261" i="3"/>
  <c r="AZ261" i="3" s="1"/>
  <c r="BL262" i="3"/>
  <c r="BL263" i="3"/>
  <c r="AZ263" i="3" s="1"/>
  <c r="BA264" i="3"/>
  <c r="G265" i="3"/>
  <c r="BA266" i="3"/>
  <c r="AZ266" i="3" s="1"/>
  <c r="G267" i="3"/>
  <c r="BA267" i="3"/>
  <c r="G268" i="3"/>
  <c r="BA269" i="3"/>
  <c r="AZ269" i="3" s="1"/>
  <c r="G270" i="3"/>
  <c r="BA271" i="3"/>
  <c r="AZ271" i="3" s="1"/>
  <c r="G272" i="3"/>
  <c r="BA272" i="3"/>
  <c r="G273" i="3"/>
  <c r="BL274" i="3"/>
  <c r="BA275" i="3"/>
  <c r="AZ275" i="3" s="1"/>
  <c r="BL276" i="3"/>
  <c r="BA277" i="3"/>
  <c r="G278" i="3"/>
  <c r="BA278" i="3"/>
  <c r="G279" i="3"/>
  <c r="BA280" i="3"/>
  <c r="AZ280" i="3" s="1"/>
  <c r="G281" i="3"/>
  <c r="BL282" i="3"/>
  <c r="BA283" i="3"/>
  <c r="AZ283" i="3" s="1"/>
  <c r="BL284" i="3"/>
  <c r="BA285" i="3"/>
  <c r="G286" i="3"/>
  <c r="BL286" i="3"/>
  <c r="AZ286" i="3" s="1"/>
  <c r="BA287" i="3"/>
  <c r="AZ287" i="3" s="1"/>
  <c r="BA291" i="3"/>
  <c r="AZ291" i="3" s="1"/>
  <c r="G292" i="3"/>
  <c r="BL292" i="3"/>
  <c r="BL296" i="3"/>
  <c r="AZ296" i="3" s="1"/>
  <c r="BL297" i="3"/>
  <c r="AZ297" i="3" s="1"/>
  <c r="BA298" i="3"/>
  <c r="AZ298" i="3" s="1"/>
  <c r="G299" i="3"/>
  <c r="BL299" i="3"/>
  <c r="AZ299" i="3" s="1"/>
  <c r="BL301" i="3"/>
  <c r="BL113" i="3"/>
  <c r="AZ113" i="3" s="1"/>
  <c r="BL115" i="3"/>
  <c r="AZ115" i="3" s="1"/>
  <c r="G118" i="3"/>
  <c r="BL118" i="3"/>
  <c r="BA120" i="3"/>
  <c r="AZ120" i="3" s="1"/>
  <c r="BL121" i="3"/>
  <c r="BA122" i="3"/>
  <c r="G123" i="3"/>
  <c r="BA125" i="3"/>
  <c r="G126" i="3"/>
  <c r="BL127" i="3"/>
  <c r="AZ127" i="3" s="1"/>
  <c r="G128" i="3"/>
  <c r="BA129" i="3"/>
  <c r="BL130" i="3"/>
  <c r="AZ130" i="3" s="1"/>
  <c r="BA132" i="3"/>
  <c r="AZ132" i="3" s="1"/>
  <c r="BL134" i="3"/>
  <c r="G135" i="3"/>
  <c r="BL135" i="3"/>
  <c r="AZ135" i="3" s="1"/>
  <c r="BA136" i="3"/>
  <c r="AZ136" i="3" s="1"/>
  <c r="BA137" i="3"/>
  <c r="AZ137" i="3" s="1"/>
  <c r="G138" i="3"/>
  <c r="G140" i="3"/>
  <c r="BL154" i="3"/>
  <c r="AZ154" i="3" s="1"/>
  <c r="G171" i="3"/>
  <c r="BL190" i="3"/>
  <c r="AZ190" i="3" s="1"/>
  <c r="BA192" i="3"/>
  <c r="AZ192" i="3" s="1"/>
  <c r="BL193" i="3"/>
  <c r="BL194" i="3"/>
  <c r="G195" i="3"/>
  <c r="BA196" i="3"/>
  <c r="AZ196" i="3" s="1"/>
  <c r="G198" i="3"/>
  <c r="BA37" i="3"/>
  <c r="AZ37" i="3" s="1"/>
  <c r="BL39" i="3"/>
  <c r="BA40" i="3"/>
  <c r="AZ40" i="3" s="1"/>
  <c r="BA42" i="3"/>
  <c r="AZ42" i="3" s="1"/>
  <c r="BL44" i="3"/>
  <c r="BA50" i="3"/>
  <c r="AZ50" i="3" s="1"/>
  <c r="BL52" i="3"/>
  <c r="BA58" i="3"/>
  <c r="AZ58" i="3" s="1"/>
  <c r="BL61" i="3"/>
  <c r="BA64" i="3"/>
  <c r="AZ64" i="3" s="1"/>
  <c r="BA67" i="3"/>
  <c r="AZ67" i="3" s="1"/>
  <c r="BA74" i="3"/>
  <c r="AZ74" i="3" s="1"/>
  <c r="BL88" i="3"/>
  <c r="BA94" i="3"/>
  <c r="AZ94" i="3" s="1"/>
  <c r="BL100" i="3"/>
  <c r="B27" i="71"/>
  <c r="B26" i="71" s="1"/>
  <c r="S28" i="71"/>
  <c r="D46" i="71"/>
  <c r="C47" i="71"/>
  <c r="D47" i="71" s="1"/>
  <c r="G202" i="3"/>
  <c r="G203" i="3"/>
  <c r="BA205" i="3"/>
  <c r="G206" i="3"/>
  <c r="BL206" i="3"/>
  <c r="AZ206" i="3" s="1"/>
  <c r="G207" i="3"/>
  <c r="BA207" i="3"/>
  <c r="AZ207" i="3" s="1"/>
  <c r="G19" i="3"/>
  <c r="G20" i="3"/>
  <c r="BL22" i="3"/>
  <c r="BA23" i="3"/>
  <c r="AZ23" i="3" s="1"/>
  <c r="BL23" i="3"/>
  <c r="BA28" i="3"/>
  <c r="AZ28" i="3" s="1"/>
  <c r="BL28" i="3"/>
  <c r="BL31" i="3"/>
  <c r="BA32" i="3"/>
  <c r="AZ32" i="3" s="1"/>
  <c r="BA34" i="3"/>
  <c r="AZ34" i="3" s="1"/>
  <c r="BL34" i="3"/>
  <c r="BL35" i="3"/>
  <c r="AZ35" i="3" s="1"/>
  <c r="BA36" i="3"/>
  <c r="G37" i="3"/>
  <c r="BA41" i="3"/>
  <c r="AZ41" i="3" s="1"/>
  <c r="G42" i="3"/>
  <c r="BA43" i="3"/>
  <c r="AZ43" i="3" s="1"/>
  <c r="G44" i="3"/>
  <c r="BA44" i="3"/>
  <c r="G45" i="3"/>
  <c r="BL46" i="3"/>
  <c r="BA47" i="3"/>
  <c r="AZ47" i="3" s="1"/>
  <c r="BL48" i="3"/>
  <c r="BA49" i="3"/>
  <c r="AZ49" i="3" s="1"/>
  <c r="G50" i="3"/>
  <c r="BA51" i="3"/>
  <c r="AZ51" i="3" s="1"/>
  <c r="G52" i="3"/>
  <c r="BA52" i="3"/>
  <c r="AZ52" i="3" s="1"/>
  <c r="G53" i="3"/>
  <c r="BL54" i="3"/>
  <c r="BA55" i="3"/>
  <c r="AZ55" i="3" s="1"/>
  <c r="BL56" i="3"/>
  <c r="BA57" i="3"/>
  <c r="AZ57" i="3" s="1"/>
  <c r="G58" i="3"/>
  <c r="BA59" i="3"/>
  <c r="AZ59" i="3" s="1"/>
  <c r="G60" i="3"/>
  <c r="BA60" i="3"/>
  <c r="AZ60" i="3" s="1"/>
  <c r="BA61" i="3"/>
  <c r="AZ61" i="3" s="1"/>
  <c r="G62" i="3"/>
  <c r="BA62" i="3"/>
  <c r="AZ62" i="3" s="1"/>
  <c r="BL63" i="3"/>
  <c r="AZ63" i="3" s="1"/>
  <c r="G67" i="3"/>
  <c r="BA69" i="3"/>
  <c r="AZ69" i="3" s="1"/>
  <c r="BA77" i="3"/>
  <c r="AZ77" i="3" s="1"/>
  <c r="BL90" i="3"/>
  <c r="BA97" i="3"/>
  <c r="AZ97" i="3" s="1"/>
  <c r="T40" i="71"/>
  <c r="D40" i="71"/>
  <c r="BL70" i="3"/>
  <c r="BA72" i="3"/>
  <c r="AZ72" i="3" s="1"/>
  <c r="G74" i="3"/>
  <c r="BA75" i="3"/>
  <c r="BA76" i="3"/>
  <c r="AZ76" i="3" s="1"/>
  <c r="G77" i="3"/>
  <c r="BA78" i="3"/>
  <c r="BL79" i="3"/>
  <c r="AZ79" i="3" s="1"/>
  <c r="BL80" i="3"/>
  <c r="AZ80" i="3" s="1"/>
  <c r="BA81" i="3"/>
  <c r="AZ81" i="3" s="1"/>
  <c r="BL82" i="3"/>
  <c r="AZ82" i="3" s="1"/>
  <c r="BA84" i="3"/>
  <c r="AZ84" i="3" s="1"/>
  <c r="BL85" i="3"/>
  <c r="AZ85" i="3" s="1"/>
  <c r="BA87" i="3"/>
  <c r="AZ87" i="3" s="1"/>
  <c r="BA88" i="3"/>
  <c r="G89" i="3"/>
  <c r="BL92" i="3"/>
  <c r="BA93" i="3"/>
  <c r="AZ93" i="3" s="1"/>
  <c r="G94" i="3"/>
  <c r="BA95" i="3"/>
  <c r="G96" i="3"/>
  <c r="BA96" i="3"/>
  <c r="AZ96" i="3" s="1"/>
  <c r="G97" i="3"/>
  <c r="BA98" i="3"/>
  <c r="G99" i="3"/>
  <c r="BA99" i="3"/>
  <c r="AZ99" i="3" s="1"/>
  <c r="G100" i="3"/>
  <c r="BA100" i="3"/>
  <c r="AZ100" i="3" s="1"/>
  <c r="G101" i="3"/>
  <c r="BA102" i="3"/>
  <c r="AZ102" i="3" s="1"/>
  <c r="BL103" i="3"/>
  <c r="G105" i="3"/>
  <c r="G107" i="3"/>
  <c r="G108" i="3"/>
  <c r="BA108" i="3"/>
  <c r="G109" i="3"/>
  <c r="G110" i="3"/>
  <c r="BA111" i="3"/>
  <c r="AZ111" i="3" s="1"/>
  <c r="BL112" i="3"/>
  <c r="AZ112" i="3" s="1"/>
  <c r="D58" i="83"/>
  <c r="E58" i="83" s="1"/>
  <c r="F58" i="83" s="1"/>
  <c r="G58" i="83" s="1"/>
  <c r="H58" i="83" s="1"/>
  <c r="I58" i="83" s="1"/>
  <c r="J58" i="83" s="1"/>
  <c r="K58" i="83" s="1"/>
  <c r="L58" i="83" s="1"/>
  <c r="M58" i="83" s="1"/>
  <c r="N58" i="83" s="1"/>
  <c r="O58" i="83" s="1"/>
  <c r="P58" i="83" s="1"/>
  <c r="Q58" i="83" s="1"/>
  <c r="R58" i="83" s="1"/>
  <c r="S58" i="83" s="1"/>
  <c r="T58" i="83" s="1"/>
  <c r="U58" i="83" s="1"/>
  <c r="V58" i="83" s="1"/>
  <c r="W58" i="83" s="1"/>
  <c r="X58" i="83" s="1"/>
  <c r="Y58" i="83" s="1"/>
  <c r="Z58" i="83" s="1"/>
  <c r="AA58" i="83" s="1"/>
  <c r="AB58" i="83" s="1"/>
  <c r="F7" i="83"/>
  <c r="X18" i="71"/>
  <c r="Y37" i="71"/>
  <c r="Z37" i="71" s="1"/>
  <c r="E23" i="71"/>
  <c r="E22" i="71" s="1"/>
  <c r="E21" i="71" s="1"/>
  <c r="E20" i="71" s="1"/>
  <c r="E19" i="71" s="1"/>
  <c r="E18" i="71" s="1"/>
  <c r="E17" i="71" s="1"/>
  <c r="E16" i="71" s="1"/>
  <c r="C21" i="68"/>
  <c r="C40" i="69"/>
  <c r="S21" i="34"/>
  <c r="B68" i="43"/>
  <c r="B77" i="43"/>
  <c r="B88" i="43"/>
  <c r="AA18" i="35"/>
  <c r="D83" i="71"/>
  <c r="AA14" i="71"/>
  <c r="B31" i="71"/>
  <c r="B32" i="71" s="1"/>
  <c r="S32" i="71" s="1"/>
  <c r="X25" i="71"/>
  <c r="AB34" i="71"/>
  <c r="Y35" i="71"/>
  <c r="Z35" i="71" s="1"/>
  <c r="Y36" i="71"/>
  <c r="Z36" i="71" s="1"/>
  <c r="AB36" i="71"/>
  <c r="F38" i="71"/>
  <c r="F39" i="71" s="1"/>
  <c r="F40" i="71" s="1"/>
  <c r="V40" i="71" s="1"/>
  <c r="F43" i="71"/>
  <c r="F44" i="71" s="1"/>
  <c r="V44" i="71" s="1"/>
  <c r="B51" i="71"/>
  <c r="B52" i="71" s="1"/>
  <c r="S52" i="71" s="1"/>
  <c r="C63" i="71"/>
  <c r="B71" i="71"/>
  <c r="B70" i="71" s="1"/>
  <c r="AA13" i="71"/>
  <c r="J57" i="9"/>
  <c r="J59" i="9" s="1"/>
  <c r="J61" i="9" s="1"/>
  <c r="AB27" i="33"/>
  <c r="S27" i="33"/>
  <c r="W27" i="33"/>
  <c r="F15" i="33"/>
  <c r="J15" i="33"/>
  <c r="AC15" i="33" s="1"/>
  <c r="U15" i="33"/>
  <c r="AB36" i="33"/>
  <c r="F52" i="9"/>
  <c r="F32" i="15"/>
  <c r="F60" i="15" s="1"/>
  <c r="F54" i="9"/>
  <c r="F28" i="15"/>
  <c r="C28" i="15" s="1"/>
  <c r="F32" i="67"/>
  <c r="F60" i="67" s="1"/>
  <c r="M18" i="15"/>
  <c r="M18" i="67"/>
  <c r="F30" i="11"/>
  <c r="C48" i="11" s="1"/>
  <c r="D68" i="9"/>
  <c r="F30" i="69"/>
  <c r="F48" i="69" s="1"/>
  <c r="F31" i="12"/>
  <c r="F28" i="67"/>
  <c r="C28" i="67" s="1"/>
  <c r="D22" i="15"/>
  <c r="D23" i="15"/>
  <c r="BA13" i="3"/>
  <c r="B13" i="53"/>
  <c r="B29" i="72" s="1"/>
  <c r="AZ546" i="3"/>
  <c r="G532" i="3"/>
  <c r="AC5" i="3"/>
  <c r="BG5" i="3"/>
  <c r="BA527" i="3"/>
  <c r="AZ527" i="3" s="1"/>
  <c r="BL540" i="3"/>
  <c r="BA540" i="3"/>
  <c r="AZ540" i="3" s="1"/>
  <c r="BL532" i="3"/>
  <c r="BA532" i="3"/>
  <c r="BL531" i="3"/>
  <c r="AZ531" i="3" s="1"/>
  <c r="BK5" i="3"/>
  <c r="BA528" i="3"/>
  <c r="AZ528" i="3" s="1"/>
  <c r="BC5" i="3"/>
  <c r="BL527" i="3"/>
  <c r="V20" i="71"/>
  <c r="C20" i="71"/>
  <c r="D21" i="71"/>
  <c r="AA23" i="33"/>
  <c r="S32" i="21"/>
  <c r="S17" i="39"/>
  <c r="AC39" i="34"/>
  <c r="W39" i="34"/>
  <c r="AC21" i="40"/>
  <c r="S27" i="40"/>
  <c r="AA27" i="40"/>
  <c r="AB41" i="39"/>
  <c r="U41" i="39"/>
  <c r="AB21" i="40"/>
  <c r="U21" i="40"/>
  <c r="S22" i="36"/>
  <c r="AA22" i="36"/>
  <c r="AA13" i="40"/>
  <c r="S13" i="40"/>
  <c r="S31" i="34"/>
  <c r="AA31" i="34"/>
  <c r="S29" i="34"/>
  <c r="AA29" i="34"/>
  <c r="U40" i="34"/>
  <c r="AB40" i="34"/>
  <c r="BA585" i="3"/>
  <c r="AZ585" i="3" s="1"/>
  <c r="J12" i="37"/>
  <c r="H12" i="37"/>
  <c r="AB12" i="37" s="1"/>
  <c r="F12" i="37"/>
  <c r="S12" i="37" s="1"/>
  <c r="AC26" i="37"/>
  <c r="W26" i="37"/>
  <c r="W35" i="37"/>
  <c r="AC35" i="37"/>
  <c r="BA573" i="3"/>
  <c r="AZ573" i="3" s="1"/>
  <c r="BL572" i="3"/>
  <c r="AZ572" i="3" s="1"/>
  <c r="BL571" i="3"/>
  <c r="BA571" i="3"/>
  <c r="BL570" i="3"/>
  <c r="BA570" i="3"/>
  <c r="AZ570" i="3" s="1"/>
  <c r="BL563" i="3"/>
  <c r="BL538" i="3"/>
  <c r="BA538" i="3"/>
  <c r="BA537" i="3"/>
  <c r="AZ537" i="3" s="1"/>
  <c r="BA535" i="3"/>
  <c r="AZ535" i="3" s="1"/>
  <c r="BL533" i="3"/>
  <c r="AZ533" i="3" s="1"/>
  <c r="BL530" i="3"/>
  <c r="BA530" i="3"/>
  <c r="BF5" i="3"/>
  <c r="E15" i="71"/>
  <c r="E14" i="71" s="1"/>
  <c r="E13" i="71" s="1"/>
  <c r="E12" i="71" s="1"/>
  <c r="V16" i="71"/>
  <c r="D16" i="53"/>
  <c r="B34" i="72" s="1"/>
  <c r="U32" i="21"/>
  <c r="AA23" i="39"/>
  <c r="S23" i="39"/>
  <c r="AA30" i="40"/>
  <c r="S30" i="40"/>
  <c r="AC19" i="40"/>
  <c r="W19" i="40"/>
  <c r="AC25" i="39"/>
  <c r="W25" i="39"/>
  <c r="U41" i="34"/>
  <c r="AB41" i="34"/>
  <c r="BQ5" i="3"/>
  <c r="W41" i="39"/>
  <c r="AC41" i="39"/>
  <c r="AC36" i="37"/>
  <c r="W36" i="37"/>
  <c r="W45" i="34"/>
  <c r="AC45" i="34"/>
  <c r="AB36" i="37"/>
  <c r="U36" i="37"/>
  <c r="AB32" i="36"/>
  <c r="U32" i="36"/>
  <c r="AB27" i="21"/>
  <c r="U27" i="21"/>
  <c r="U30" i="21"/>
  <c r="AB30" i="21"/>
  <c r="W14" i="21"/>
  <c r="AC14" i="21"/>
  <c r="AA41" i="33"/>
  <c r="S41" i="33"/>
  <c r="BL587" i="3"/>
  <c r="BA587" i="3"/>
  <c r="BA586" i="3"/>
  <c r="F28" i="34"/>
  <c r="J28" i="34"/>
  <c r="H28" i="34"/>
  <c r="AC24" i="36"/>
  <c r="W24" i="36"/>
  <c r="W19" i="37"/>
  <c r="AC19" i="37"/>
  <c r="AA35" i="33"/>
  <c r="S35" i="33"/>
  <c r="U13" i="40"/>
  <c r="AB13" i="40"/>
  <c r="S38" i="37"/>
  <c r="AA38" i="37"/>
  <c r="BA565" i="3"/>
  <c r="AZ565" i="3" s="1"/>
  <c r="BL564" i="3"/>
  <c r="AZ564" i="3" s="1"/>
  <c r="AZ563" i="3"/>
  <c r="BL562" i="3"/>
  <c r="BA562" i="3"/>
  <c r="BA548" i="3"/>
  <c r="AZ548" i="3" s="1"/>
  <c r="BL545" i="3"/>
  <c r="BA545" i="3"/>
  <c r="BL544" i="3"/>
  <c r="AZ544" i="3" s="1"/>
  <c r="BL543" i="3"/>
  <c r="BA543" i="3"/>
  <c r="BL542" i="3"/>
  <c r="AZ542" i="3" s="1"/>
  <c r="BA541" i="3"/>
  <c r="AZ541" i="3" s="1"/>
  <c r="BA534" i="3"/>
  <c r="AZ534" i="3" s="1"/>
  <c r="H5" i="3"/>
  <c r="G530" i="3"/>
  <c r="BA529" i="3"/>
  <c r="AZ529" i="3" s="1"/>
  <c r="BB5" i="3"/>
  <c r="U15" i="21"/>
  <c r="AB15" i="21"/>
  <c r="AB23" i="33"/>
  <c r="U23" i="33"/>
  <c r="U25" i="33"/>
  <c r="AB25" i="33"/>
  <c r="S43" i="33"/>
  <c r="AA17" i="33"/>
  <c r="S36" i="33"/>
  <c r="W17" i="33"/>
  <c r="AC17" i="33"/>
  <c r="AA34" i="33"/>
  <c r="S34" i="33"/>
  <c r="AB19" i="34"/>
  <c r="U19" i="34"/>
  <c r="W35" i="40"/>
  <c r="AC35" i="40"/>
  <c r="AC47" i="34"/>
  <c r="W47" i="34"/>
  <c r="U37" i="37"/>
  <c r="AB37" i="37"/>
  <c r="AB13" i="36"/>
  <c r="U13" i="36"/>
  <c r="W46" i="34"/>
  <c r="AC46" i="34"/>
  <c r="U30" i="34"/>
  <c r="AB30" i="34"/>
  <c r="AB45" i="33"/>
  <c r="U45" i="33"/>
  <c r="W34" i="21"/>
  <c r="AC34" i="21"/>
  <c r="AB28" i="35"/>
  <c r="U28" i="35"/>
  <c r="H39" i="40"/>
  <c r="J39" i="40"/>
  <c r="BO5" i="3"/>
  <c r="BI5" i="3"/>
  <c r="AZ342" i="3"/>
  <c r="AA44" i="34"/>
  <c r="S44" i="34"/>
  <c r="AA23" i="40"/>
  <c r="S23" i="40"/>
  <c r="AC27" i="39"/>
  <c r="W27" i="39"/>
  <c r="S35" i="34"/>
  <c r="AA35" i="34"/>
  <c r="AB23" i="36"/>
  <c r="U23" i="36"/>
  <c r="H13" i="37"/>
  <c r="J13" i="37"/>
  <c r="F13" i="37"/>
  <c r="J12" i="39"/>
  <c r="F12" i="39"/>
  <c r="H12" i="39"/>
  <c r="AC23" i="39"/>
  <c r="W23" i="39"/>
  <c r="AA34" i="39"/>
  <c r="S34" i="39"/>
  <c r="AA40" i="33"/>
  <c r="S40" i="33"/>
  <c r="H44" i="39"/>
  <c r="F44" i="39"/>
  <c r="J44" i="39"/>
  <c r="J14" i="40"/>
  <c r="F14" i="40"/>
  <c r="BS5" i="3"/>
  <c r="BR5" i="3"/>
  <c r="G28" i="6" s="1"/>
  <c r="U20" i="36"/>
  <c r="AB20" i="36"/>
  <c r="BN5" i="3"/>
  <c r="G29" i="6" s="1"/>
  <c r="E29" i="6" s="1"/>
  <c r="K15" i="1" s="1"/>
  <c r="AA42" i="33"/>
  <c r="S42" i="33"/>
  <c r="AB25" i="36"/>
  <c r="U25" i="36"/>
  <c r="AC13" i="35"/>
  <c r="W13" i="35"/>
  <c r="U8" i="40"/>
  <c r="W34" i="40"/>
  <c r="U24" i="36"/>
  <c r="U22" i="36"/>
  <c r="AZ371" i="3"/>
  <c r="S25" i="21"/>
  <c r="AA25" i="21"/>
  <c r="AZ552" i="3"/>
  <c r="H14" i="40"/>
  <c r="AA35" i="35"/>
  <c r="S35" i="35"/>
  <c r="AB46" i="33"/>
  <c r="U46" i="33"/>
  <c r="AA14" i="33"/>
  <c r="S14" i="33"/>
  <c r="AC44" i="34"/>
  <c r="W44" i="34"/>
  <c r="AB29" i="35"/>
  <c r="U29" i="35"/>
  <c r="AA40" i="21"/>
  <c r="S40" i="21"/>
  <c r="W12" i="34"/>
  <c r="AC12" i="34"/>
  <c r="H14" i="33"/>
  <c r="J14" i="33"/>
  <c r="F44" i="33"/>
  <c r="H44" i="33"/>
  <c r="J44" i="33"/>
  <c r="H13" i="34"/>
  <c r="F13" i="34"/>
  <c r="J13" i="34"/>
  <c r="H31" i="34"/>
  <c r="J31" i="34"/>
  <c r="F47" i="34"/>
  <c r="H47" i="34"/>
  <c r="AZ379" i="3"/>
  <c r="AZ372" i="3"/>
  <c r="U11" i="33"/>
  <c r="AZ560" i="3"/>
  <c r="AA11" i="36"/>
  <c r="S11" i="36"/>
  <c r="AB46" i="34"/>
  <c r="U46" i="34"/>
  <c r="AA45" i="33"/>
  <c r="S45" i="33"/>
  <c r="W11" i="40"/>
  <c r="AB17" i="39"/>
  <c r="U17" i="39"/>
  <c r="AB12" i="21"/>
  <c r="U12" i="21"/>
  <c r="S12" i="21"/>
  <c r="AA12" i="21"/>
  <c r="J44" i="21"/>
  <c r="F44" i="21"/>
  <c r="AA42" i="21"/>
  <c r="S42" i="21"/>
  <c r="AC34" i="35"/>
  <c r="J35" i="35"/>
  <c r="H35" i="35"/>
  <c r="S27" i="35"/>
  <c r="AA27" i="35"/>
  <c r="AB9" i="36"/>
  <c r="U9" i="36"/>
  <c r="H11" i="36"/>
  <c r="U11" i="36" s="1"/>
  <c r="J11" i="36"/>
  <c r="AC11" i="36" s="1"/>
  <c r="H33" i="36"/>
  <c r="F33" i="36"/>
  <c r="AA40" i="39"/>
  <c r="S40" i="39"/>
  <c r="J33" i="40"/>
  <c r="BD5" i="3"/>
  <c r="BP5" i="3"/>
  <c r="W31" i="33"/>
  <c r="AC31" i="33"/>
  <c r="BL586" i="3"/>
  <c r="AC8" i="34"/>
  <c r="W8" i="34"/>
  <c r="F12" i="34"/>
  <c r="H12" i="34"/>
  <c r="W11" i="35"/>
  <c r="AC11" i="35"/>
  <c r="H36" i="35"/>
  <c r="J36" i="35"/>
  <c r="AC40" i="39"/>
  <c r="W40" i="39"/>
  <c r="BL561" i="3"/>
  <c r="AZ561" i="3" s="1"/>
  <c r="BL560" i="3"/>
  <c r="BL559" i="3"/>
  <c r="AZ559" i="3" s="1"/>
  <c r="BA558" i="3"/>
  <c r="AZ558" i="3" s="1"/>
  <c r="BL557" i="3"/>
  <c r="AZ557" i="3" s="1"/>
  <c r="BA555" i="3"/>
  <c r="AZ555" i="3" s="1"/>
  <c r="BA554" i="3"/>
  <c r="AZ554" i="3" s="1"/>
  <c r="BL553" i="3"/>
  <c r="BA553" i="3"/>
  <c r="BL549" i="3"/>
  <c r="AZ549" i="3" s="1"/>
  <c r="BL524" i="3"/>
  <c r="BA524" i="3"/>
  <c r="BL522" i="3"/>
  <c r="AZ522" i="3" s="1"/>
  <c r="BL521" i="3"/>
  <c r="BA521" i="3"/>
  <c r="AZ521" i="3" s="1"/>
  <c r="BA520" i="3"/>
  <c r="AZ520" i="3" s="1"/>
  <c r="BA519" i="3"/>
  <c r="AZ519" i="3" s="1"/>
  <c r="BL518" i="3"/>
  <c r="BA518" i="3"/>
  <c r="AZ518" i="3" s="1"/>
  <c r="BL517" i="3"/>
  <c r="BA517" i="3"/>
  <c r="BL515" i="3"/>
  <c r="AZ515" i="3" s="1"/>
  <c r="BA514" i="3"/>
  <c r="AZ514" i="3" s="1"/>
  <c r="BA511" i="3"/>
  <c r="AZ511" i="3" s="1"/>
  <c r="BA510" i="3"/>
  <c r="AZ510" i="3" s="1"/>
  <c r="BA509" i="3"/>
  <c r="AZ509" i="3" s="1"/>
  <c r="BL508" i="3"/>
  <c r="AZ508" i="3" s="1"/>
  <c r="BA507" i="3"/>
  <c r="AZ507" i="3" s="1"/>
  <c r="BL506" i="3"/>
  <c r="AZ506" i="3" s="1"/>
  <c r="BL505" i="3"/>
  <c r="AZ505" i="3" s="1"/>
  <c r="BL504" i="3"/>
  <c r="BA504" i="3"/>
  <c r="BL503" i="3"/>
  <c r="AZ503" i="3" s="1"/>
  <c r="BL502" i="3"/>
  <c r="AZ502" i="3" s="1"/>
  <c r="BA501" i="3"/>
  <c r="AZ501" i="3" s="1"/>
  <c r="BL500" i="3"/>
  <c r="AZ500" i="3" s="1"/>
  <c r="BA499" i="3"/>
  <c r="AZ499" i="3" s="1"/>
  <c r="BA498" i="3"/>
  <c r="AZ498" i="3" s="1"/>
  <c r="BL495" i="3"/>
  <c r="AZ495" i="3" s="1"/>
  <c r="BM5" i="3"/>
  <c r="F29" i="6" s="1"/>
  <c r="BA493" i="3"/>
  <c r="AZ493" i="3" s="1"/>
  <c r="AB34" i="34"/>
  <c r="U34" i="34"/>
  <c r="AB34" i="35"/>
  <c r="U34" i="35"/>
  <c r="AC27" i="35"/>
  <c r="W27" i="35"/>
  <c r="U8" i="39"/>
  <c r="AB8" i="39"/>
  <c r="AA9" i="40"/>
  <c r="S9" i="40"/>
  <c r="F36" i="39"/>
  <c r="J36" i="39"/>
  <c r="BA551" i="3"/>
  <c r="AZ551" i="3" s="1"/>
  <c r="BA550" i="3"/>
  <c r="AZ550" i="3" s="1"/>
  <c r="B101" i="43"/>
  <c r="C25" i="39"/>
  <c r="H9" i="33"/>
  <c r="J9" i="33"/>
  <c r="F34" i="36"/>
  <c r="H34" i="36"/>
  <c r="AB31" i="36"/>
  <c r="U31" i="36"/>
  <c r="AZ403" i="3"/>
  <c r="BA409" i="3"/>
  <c r="AZ409" i="3" s="1"/>
  <c r="BA412" i="3"/>
  <c r="AZ412" i="3" s="1"/>
  <c r="BA416" i="3"/>
  <c r="AZ416" i="3" s="1"/>
  <c r="BA422" i="3"/>
  <c r="BA430" i="3"/>
  <c r="AZ430" i="3" s="1"/>
  <c r="BA433" i="3"/>
  <c r="AZ433" i="3" s="1"/>
  <c r="AZ434" i="3"/>
  <c r="AZ438" i="3"/>
  <c r="BL439" i="3"/>
  <c r="AZ439" i="3" s="1"/>
  <c r="BL442" i="3"/>
  <c r="AZ442" i="3" s="1"/>
  <c r="AZ454" i="3"/>
  <c r="AZ469" i="3"/>
  <c r="BL15" i="3"/>
  <c r="AZ411" i="3"/>
  <c r="AZ414" i="3"/>
  <c r="AZ415" i="3"/>
  <c r="AZ421" i="3"/>
  <c r="AZ424" i="3"/>
  <c r="AZ429" i="3"/>
  <c r="AZ432" i="3"/>
  <c r="AZ443" i="3"/>
  <c r="AZ451" i="3"/>
  <c r="AZ470" i="3"/>
  <c r="F23" i="35"/>
  <c r="AB12" i="35"/>
  <c r="J31" i="39"/>
  <c r="S38" i="40"/>
  <c r="H12" i="33"/>
  <c r="J23" i="35"/>
  <c r="F26" i="37"/>
  <c r="H38" i="40"/>
  <c r="G570" i="3"/>
  <c r="BA399" i="3"/>
  <c r="AZ399" i="3" s="1"/>
  <c r="AZ400" i="3"/>
  <c r="AZ402" i="3"/>
  <c r="AZ407" i="3"/>
  <c r="BA418" i="3"/>
  <c r="AZ418" i="3" s="1"/>
  <c r="AZ419" i="3"/>
  <c r="BL422" i="3"/>
  <c r="BL426" i="3"/>
  <c r="AZ426" i="3" s="1"/>
  <c r="AZ445" i="3"/>
  <c r="AZ448" i="3"/>
  <c r="AZ450" i="3"/>
  <c r="BL455" i="3"/>
  <c r="AZ455" i="3" s="1"/>
  <c r="BL453" i="3"/>
  <c r="AZ453" i="3" s="1"/>
  <c r="G458" i="3"/>
  <c r="BL460" i="3"/>
  <c r="AZ460" i="3" s="1"/>
  <c r="G462" i="3"/>
  <c r="BA465" i="3"/>
  <c r="AZ465" i="3" s="1"/>
  <c r="BA472" i="3"/>
  <c r="AZ472" i="3" s="1"/>
  <c r="BL474" i="3"/>
  <c r="AZ477" i="3"/>
  <c r="AZ483" i="3"/>
  <c r="AZ484" i="3"/>
  <c r="AZ486" i="3"/>
  <c r="AZ316" i="3"/>
  <c r="G351" i="3"/>
  <c r="BA395" i="3"/>
  <c r="AZ395" i="3" s="1"/>
  <c r="G212" i="3"/>
  <c r="G217" i="3"/>
  <c r="AZ239" i="3"/>
  <c r="AZ242" i="3"/>
  <c r="AZ247" i="3"/>
  <c r="AZ252" i="3"/>
  <c r="AZ258" i="3"/>
  <c r="AZ274" i="3"/>
  <c r="AZ276" i="3"/>
  <c r="AZ282" i="3"/>
  <c r="AZ284" i="3"/>
  <c r="AZ474" i="3"/>
  <c r="AZ264" i="3"/>
  <c r="AZ267" i="3"/>
  <c r="AZ272" i="3"/>
  <c r="AZ277" i="3"/>
  <c r="AZ278" i="3"/>
  <c r="AZ285" i="3"/>
  <c r="G451" i="3"/>
  <c r="BA457" i="3"/>
  <c r="AZ457" i="3" s="1"/>
  <c r="BA461" i="3"/>
  <c r="AZ461" i="3" s="1"/>
  <c r="BL468" i="3"/>
  <c r="AZ468" i="3" s="1"/>
  <c r="BL471" i="3"/>
  <c r="AZ471" i="3" s="1"/>
  <c r="G473" i="3"/>
  <c r="BA475" i="3"/>
  <c r="AZ475" i="3" s="1"/>
  <c r="AZ476" i="3"/>
  <c r="AZ478" i="3"/>
  <c r="AZ332" i="3"/>
  <c r="BL346" i="3"/>
  <c r="AZ346" i="3" s="1"/>
  <c r="BA350" i="3"/>
  <c r="AZ350" i="3" s="1"/>
  <c r="BA367" i="3"/>
  <c r="AZ367" i="3" s="1"/>
  <c r="G396" i="3"/>
  <c r="BL397" i="3"/>
  <c r="AZ397" i="3" s="1"/>
  <c r="BA211" i="3"/>
  <c r="AZ211" i="3" s="1"/>
  <c r="BA216" i="3"/>
  <c r="AZ216" i="3" s="1"/>
  <c r="AZ262" i="3"/>
  <c r="BL290" i="3"/>
  <c r="AZ290" i="3" s="1"/>
  <c r="AZ292" i="3"/>
  <c r="AZ301" i="3"/>
  <c r="AZ118" i="3"/>
  <c r="AZ121" i="3"/>
  <c r="AZ30" i="3"/>
  <c r="AZ98" i="3"/>
  <c r="Y17" i="71"/>
  <c r="Z17" i="71" s="1"/>
  <c r="Y12" i="71"/>
  <c r="Z12" i="71" s="1"/>
  <c r="BL294" i="3"/>
  <c r="AZ294" i="3" s="1"/>
  <c r="BL302" i="3"/>
  <c r="AZ302" i="3" s="1"/>
  <c r="BL114" i="3"/>
  <c r="AZ114" i="3" s="1"/>
  <c r="BA116" i="3"/>
  <c r="AZ116" i="3" s="1"/>
  <c r="AZ122" i="3"/>
  <c r="BL125" i="3"/>
  <c r="AZ125" i="3" s="1"/>
  <c r="BL129" i="3"/>
  <c r="AZ129" i="3" s="1"/>
  <c r="G130" i="3"/>
  <c r="BA134" i="3"/>
  <c r="AZ134" i="3" s="1"/>
  <c r="AZ141" i="3"/>
  <c r="BL145" i="3"/>
  <c r="AZ145" i="3" s="1"/>
  <c r="BA150" i="3"/>
  <c r="AZ150" i="3" s="1"/>
  <c r="BA153" i="3"/>
  <c r="AZ153" i="3" s="1"/>
  <c r="BL157" i="3"/>
  <c r="AZ157" i="3" s="1"/>
  <c r="G158" i="3"/>
  <c r="BL162" i="3"/>
  <c r="AZ162" i="3" s="1"/>
  <c r="G163" i="3"/>
  <c r="BA164" i="3"/>
  <c r="AZ164" i="3" s="1"/>
  <c r="BA170" i="3"/>
  <c r="AZ170" i="3" s="1"/>
  <c r="AZ193" i="3"/>
  <c r="AZ201" i="3"/>
  <c r="BL205" i="3"/>
  <c r="AZ205" i="3" s="1"/>
  <c r="T80" i="71"/>
  <c r="D80" i="71"/>
  <c r="C79" i="71"/>
  <c r="BA288" i="3"/>
  <c r="AZ288" i="3" s="1"/>
  <c r="BA293" i="3"/>
  <c r="AZ293" i="3" s="1"/>
  <c r="BL295" i="3"/>
  <c r="AZ295" i="3" s="1"/>
  <c r="BA126" i="3"/>
  <c r="AZ126" i="3" s="1"/>
  <c r="BA142" i="3"/>
  <c r="AZ142" i="3" s="1"/>
  <c r="BL166" i="3"/>
  <c r="AZ166" i="3" s="1"/>
  <c r="AZ169" i="3"/>
  <c r="BL175" i="3"/>
  <c r="AZ175" i="3" s="1"/>
  <c r="BA177" i="3"/>
  <c r="AZ177" i="3" s="1"/>
  <c r="BL183" i="3"/>
  <c r="AZ183" i="3" s="1"/>
  <c r="G184" i="3"/>
  <c r="BA189" i="3"/>
  <c r="AZ189" i="3" s="1"/>
  <c r="BA194" i="3"/>
  <c r="AZ194" i="3" s="1"/>
  <c r="BA200" i="3"/>
  <c r="AZ200" i="3" s="1"/>
  <c r="BL203" i="3"/>
  <c r="AZ203" i="3" s="1"/>
  <c r="G204" i="3"/>
  <c r="BL18" i="3"/>
  <c r="AZ18" i="3" s="1"/>
  <c r="BL26" i="3"/>
  <c r="G27" i="3"/>
  <c r="BL33" i="3"/>
  <c r="AZ33" i="3" s="1"/>
  <c r="G40" i="3"/>
  <c r="AZ103" i="3"/>
  <c r="AB21" i="34"/>
  <c r="U21" i="34"/>
  <c r="C32" i="71"/>
  <c r="D31" i="71"/>
  <c r="BA19" i="3"/>
  <c r="AZ19" i="3" s="1"/>
  <c r="G22" i="3"/>
  <c r="G25" i="3"/>
  <c r="BA26" i="3"/>
  <c r="AZ26" i="3" s="1"/>
  <c r="BA27" i="3"/>
  <c r="AZ27" i="3" s="1"/>
  <c r="G30" i="3"/>
  <c r="BA31" i="3"/>
  <c r="AZ31" i="3" s="1"/>
  <c r="BA39" i="3"/>
  <c r="AZ39" i="3" s="1"/>
  <c r="AZ46" i="3"/>
  <c r="AZ48" i="3"/>
  <c r="AZ54" i="3"/>
  <c r="AZ56" i="3"/>
  <c r="AZ70" i="3"/>
  <c r="AZ92" i="3"/>
  <c r="BA21" i="3"/>
  <c r="AZ21" i="3" s="1"/>
  <c r="BA24" i="3"/>
  <c r="AZ24" i="3" s="1"/>
  <c r="BA29" i="3"/>
  <c r="AZ29" i="3" s="1"/>
  <c r="G35" i="3"/>
  <c r="BL36" i="3"/>
  <c r="AZ36" i="3" s="1"/>
  <c r="AA21" i="21"/>
  <c r="S21" i="21"/>
  <c r="Y33" i="71"/>
  <c r="Z33" i="71" s="1"/>
  <c r="C34" i="71"/>
  <c r="Y28" i="71"/>
  <c r="Z28" i="71" s="1"/>
  <c r="Y32" i="71"/>
  <c r="Z32" i="71" s="1"/>
  <c r="Y22" i="71"/>
  <c r="Z22" i="71" s="1"/>
  <c r="Y29" i="71"/>
  <c r="Z29" i="71" s="1"/>
  <c r="Y26" i="71"/>
  <c r="Z26" i="71" s="1"/>
  <c r="AB35" i="71"/>
  <c r="AB26" i="71"/>
  <c r="AB21" i="71"/>
  <c r="AB25" i="40"/>
  <c r="U25" i="40"/>
  <c r="AA25" i="40"/>
  <c r="S25" i="40"/>
  <c r="X38" i="71"/>
  <c r="F79" i="71"/>
  <c r="F78" i="71" s="1"/>
  <c r="Y18" i="71"/>
  <c r="Z18" i="71" s="1"/>
  <c r="AB18" i="71"/>
  <c r="BA66" i="3"/>
  <c r="AZ66" i="3" s="1"/>
  <c r="BA71" i="3"/>
  <c r="AZ71" i="3" s="1"/>
  <c r="BL75" i="3"/>
  <c r="AZ75" i="3" s="1"/>
  <c r="BL78" i="3"/>
  <c r="AZ78" i="3" s="1"/>
  <c r="BA83" i="3"/>
  <c r="AZ83" i="3" s="1"/>
  <c r="BL95" i="3"/>
  <c r="AZ95" i="3" s="1"/>
  <c r="BL98" i="3"/>
  <c r="BL108" i="3"/>
  <c r="AZ108" i="3" s="1"/>
  <c r="P66" i="71"/>
  <c r="D27" i="71"/>
  <c r="C26" i="71"/>
  <c r="D26" i="71" s="1"/>
  <c r="AA31" i="71"/>
  <c r="AA27" i="71"/>
  <c r="X31" i="71"/>
  <c r="S68" i="71"/>
  <c r="B67" i="71"/>
  <c r="F66" i="71"/>
  <c r="Q67" i="71"/>
  <c r="T76" i="71"/>
  <c r="D76" i="71"/>
  <c r="Y23" i="71"/>
  <c r="Z23" i="71" s="1"/>
  <c r="G64" i="3"/>
  <c r="BL68" i="3"/>
  <c r="AZ68" i="3" s="1"/>
  <c r="BL73" i="3"/>
  <c r="AZ73" i="3" s="1"/>
  <c r="G82" i="3"/>
  <c r="G86" i="3"/>
  <c r="BA90" i="3"/>
  <c r="AZ90" i="3" s="1"/>
  <c r="BL101" i="3"/>
  <c r="AZ101" i="3" s="1"/>
  <c r="BL104" i="3"/>
  <c r="AZ104" i="3" s="1"/>
  <c r="BA106" i="3"/>
  <c r="AZ106" i="3" s="1"/>
  <c r="BA107" i="3"/>
  <c r="AZ107" i="3" s="1"/>
  <c r="BL109" i="3"/>
  <c r="AZ109" i="3" s="1"/>
  <c r="F3" i="35"/>
  <c r="AB18" i="35"/>
  <c r="U18" i="35"/>
  <c r="S18" i="36"/>
  <c r="D75" i="71"/>
  <c r="C74" i="71"/>
  <c r="D74" i="71" s="1"/>
  <c r="F36" i="71"/>
  <c r="V36" i="71" s="1"/>
  <c r="AA9" i="71"/>
  <c r="C55" i="71"/>
  <c r="D54" i="71"/>
  <c r="AA11" i="71"/>
  <c r="AB18" i="36"/>
  <c r="O65" i="71"/>
  <c r="AA25" i="71"/>
  <c r="X28" i="71"/>
  <c r="AB33" i="71"/>
  <c r="X29" i="71"/>
  <c r="X30" i="71"/>
  <c r="AB31" i="71"/>
  <c r="AB30" i="71"/>
  <c r="E34" i="71"/>
  <c r="E35" i="71" s="1"/>
  <c r="E36" i="71" s="1"/>
  <c r="U36" i="71" s="1"/>
  <c r="AA33" i="71"/>
  <c r="X33" i="71"/>
  <c r="X34" i="71"/>
  <c r="X36" i="71"/>
  <c r="X32" i="71"/>
  <c r="Y38" i="71"/>
  <c r="Z38" i="71" s="1"/>
  <c r="X9" i="71"/>
  <c r="AB10" i="71"/>
  <c r="B47" i="71"/>
  <c r="B48" i="71" s="1"/>
  <c r="S48" i="71" s="1"/>
  <c r="F75" i="71"/>
  <c r="F74" i="71" s="1"/>
  <c r="Y25" i="71"/>
  <c r="Z25" i="71" s="1"/>
  <c r="Y27" i="71"/>
  <c r="Z27" i="71" s="1"/>
  <c r="Y21" i="71"/>
  <c r="Z21" i="71" s="1"/>
  <c r="AB14" i="71"/>
  <c r="AA17" i="71"/>
  <c r="AA28" i="71"/>
  <c r="AA3" i="71"/>
  <c r="AB28" i="71"/>
  <c r="E71" i="71"/>
  <c r="E70" i="71" s="1"/>
  <c r="AA30" i="71"/>
  <c r="AB29" i="71"/>
  <c r="Y30" i="71"/>
  <c r="Z30" i="71" s="1"/>
  <c r="B38" i="71"/>
  <c r="B39" i="71" s="1"/>
  <c r="B40" i="71" s="1"/>
  <c r="S40" i="71" s="1"/>
  <c r="X37" i="71"/>
  <c r="Y39" i="71"/>
  <c r="Z39" i="71" s="1"/>
  <c r="Y9" i="71"/>
  <c r="Z9" i="71" s="1"/>
  <c r="Y10" i="71"/>
  <c r="Z10" i="71" s="1"/>
  <c r="AA24" i="71"/>
  <c r="AA18" i="71"/>
  <c r="X17" i="71"/>
  <c r="X15" i="71"/>
  <c r="X14" i="71"/>
  <c r="X10" i="71"/>
  <c r="X12" i="71"/>
  <c r="X13" i="71"/>
  <c r="AB17" i="71"/>
  <c r="AB27" i="71"/>
  <c r="X26" i="71"/>
  <c r="X27" i="71"/>
  <c r="Y31" i="71"/>
  <c r="Z31" i="71" s="1"/>
  <c r="AA34" i="71"/>
  <c r="AA36" i="71"/>
  <c r="C43" i="71"/>
  <c r="D42" i="71"/>
  <c r="AB24" i="71"/>
  <c r="X24" i="71"/>
  <c r="AA22" i="71"/>
  <c r="AB23" i="71"/>
  <c r="X21" i="71"/>
  <c r="Y11" i="71"/>
  <c r="Z11" i="71" s="1"/>
  <c r="AB11" i="71"/>
  <c r="X11" i="71"/>
  <c r="Y24" i="71"/>
  <c r="Z24" i="71" s="1"/>
  <c r="AA21" i="71"/>
  <c r="Y13" i="71"/>
  <c r="Z13" i="71" s="1"/>
  <c r="K56" i="9"/>
  <c r="AA23" i="71"/>
  <c r="X22" i="71"/>
  <c r="AA15" i="71"/>
  <c r="AB13" i="71"/>
  <c r="AA12" i="71"/>
  <c r="Y14" i="71"/>
  <c r="Z14" i="71" s="1"/>
  <c r="AB9" i="71"/>
  <c r="N56" i="9"/>
  <c r="AB15" i="71"/>
  <c r="AB12" i="71"/>
  <c r="AA10"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C24" i="43"/>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M7" i="15"/>
  <c r="F50" i="15"/>
  <c r="F66" i="67"/>
  <c r="F66" i="15"/>
  <c r="Q71" i="67"/>
  <c r="C27" i="67"/>
  <c r="F71" i="67"/>
  <c r="N59" i="67"/>
  <c r="L59" i="67"/>
  <c r="L58" i="67"/>
  <c r="M59" i="67"/>
  <c r="B13" i="70"/>
  <c r="M7" i="67"/>
  <c r="J6" i="67" s="1"/>
  <c r="F50" i="67"/>
  <c r="F68" i="67"/>
  <c r="F64" i="67"/>
  <c r="D9" i="69"/>
  <c r="C36" i="69"/>
  <c r="C36" i="68"/>
  <c r="D9" i="68"/>
  <c r="L47" i="15"/>
  <c r="M8" i="15"/>
  <c r="D4" i="73"/>
  <c r="D5" i="73"/>
  <c r="F13" i="15"/>
  <c r="J15" i="15"/>
  <c r="M23" i="15"/>
  <c r="C16" i="67"/>
  <c r="F26" i="15"/>
  <c r="F9" i="15"/>
  <c r="M24" i="15"/>
  <c r="F6" i="15"/>
  <c r="L48" i="15"/>
  <c r="C16" i="15"/>
  <c r="C76" i="15"/>
  <c r="F43" i="15"/>
  <c r="F40" i="15"/>
  <c r="F8" i="15"/>
  <c r="M22" i="15"/>
  <c r="F36" i="15"/>
  <c r="D6" i="73"/>
  <c r="F37" i="15"/>
  <c r="D3" i="73"/>
  <c r="F42" i="15"/>
  <c r="M57" i="43" l="1"/>
  <c r="N57" i="43" s="1"/>
  <c r="K57" i="43"/>
  <c r="J57" i="43" s="1"/>
  <c r="D57" i="43" s="1"/>
  <c r="K52" i="43"/>
  <c r="M52" i="43"/>
  <c r="N52" i="43" s="1"/>
  <c r="M55" i="43"/>
  <c r="N55" i="43" s="1"/>
  <c r="K55" i="43"/>
  <c r="M56" i="43"/>
  <c r="N56" i="43" s="1"/>
  <c r="K56" i="43"/>
  <c r="J56" i="43" s="1"/>
  <c r="D56" i="43" s="1"/>
  <c r="K58" i="43"/>
  <c r="M58" i="43"/>
  <c r="N58" i="43" s="1"/>
  <c r="M53" i="43"/>
  <c r="N53" i="43" s="1"/>
  <c r="K53" i="43"/>
  <c r="K51" i="43"/>
  <c r="M51" i="43"/>
  <c r="N51" i="43" s="1"/>
  <c r="N54" i="43"/>
  <c r="D54" i="43"/>
  <c r="K50" i="43"/>
  <c r="J50" i="43" s="1"/>
  <c r="D50" i="43" s="1"/>
  <c r="M50" i="43"/>
  <c r="N50" i="43" s="1"/>
  <c r="J53" i="15"/>
  <c r="L56" i="15" s="1"/>
  <c r="I54" i="15"/>
  <c r="J57" i="15"/>
  <c r="J55" i="15" s="1"/>
  <c r="J58" i="15" s="1"/>
  <c r="Q50" i="15" s="1"/>
  <c r="BL5" i="3"/>
  <c r="AZ562" i="3"/>
  <c r="C64" i="71"/>
  <c r="D63" i="71"/>
  <c r="J7" i="83"/>
  <c r="H7" i="83"/>
  <c r="AZ88" i="3"/>
  <c r="AZ44" i="3"/>
  <c r="AZ259" i="3"/>
  <c r="AZ174" i="3"/>
  <c r="G6" i="1"/>
  <c r="G16" i="1" s="1"/>
  <c r="F10" i="39" s="1"/>
  <c r="AZ547" i="3"/>
  <c r="AZ215" i="3"/>
  <c r="AZ210" i="3"/>
  <c r="AZ208" i="3"/>
  <c r="AZ386" i="3"/>
  <c r="AZ487" i="3"/>
  <c r="AZ480" i="3"/>
  <c r="AZ446" i="3"/>
  <c r="U25" i="37"/>
  <c r="AB25" i="37"/>
  <c r="S7" i="83"/>
  <c r="AA7" i="83"/>
  <c r="W15" i="33"/>
  <c r="S15" i="33"/>
  <c r="AA15" i="33"/>
  <c r="C30" i="11"/>
  <c r="C48" i="69"/>
  <c r="P6" i="1"/>
  <c r="C13" i="12" s="1"/>
  <c r="E59" i="40"/>
  <c r="G30" i="6"/>
  <c r="G31" i="6" s="1"/>
  <c r="N370" i="46"/>
  <c r="H26" i="43"/>
  <c r="E26" i="43"/>
  <c r="G26" i="43"/>
  <c r="F26" i="43"/>
  <c r="D26" i="43" s="1"/>
  <c r="C25" i="43" s="1"/>
  <c r="F7" i="36"/>
  <c r="AA7" i="36" s="1"/>
  <c r="R36" i="36" s="1"/>
  <c r="H7" i="36"/>
  <c r="U7" i="36" s="1"/>
  <c r="J7" i="36"/>
  <c r="C6" i="15"/>
  <c r="F31" i="15"/>
  <c r="F51" i="15"/>
  <c r="C49" i="15" s="1"/>
  <c r="K1" i="73"/>
  <c r="C27" i="15"/>
  <c r="Q71" i="15"/>
  <c r="F64" i="15"/>
  <c r="N59" i="15"/>
  <c r="M59" i="15"/>
  <c r="L58" i="15"/>
  <c r="Q60" i="15" s="1"/>
  <c r="L59" i="15"/>
  <c r="Q74" i="15" s="1"/>
  <c r="F68" i="15"/>
  <c r="F65" i="15"/>
  <c r="F71" i="15"/>
  <c r="J7" i="37"/>
  <c r="W7" i="37" s="1"/>
  <c r="N94" i="46"/>
  <c r="C56" i="71"/>
  <c r="D55" i="71"/>
  <c r="D32" i="71"/>
  <c r="T32" i="71"/>
  <c r="U38" i="40"/>
  <c r="AB38" i="40"/>
  <c r="AZ422" i="3"/>
  <c r="S34" i="36"/>
  <c r="AA34" i="36"/>
  <c r="AC36" i="39"/>
  <c r="W36" i="39"/>
  <c r="AZ517" i="3"/>
  <c r="AZ553" i="3"/>
  <c r="AB36" i="35"/>
  <c r="U36" i="35"/>
  <c r="S12" i="34"/>
  <c r="AA12" i="34"/>
  <c r="W44" i="21"/>
  <c r="AC44" i="21"/>
  <c r="U31" i="34"/>
  <c r="AB31" i="34"/>
  <c r="AC44" i="33"/>
  <c r="W44" i="33"/>
  <c r="U14" i="33"/>
  <c r="AB14" i="33"/>
  <c r="AA14" i="40"/>
  <c r="S14" i="40"/>
  <c r="AB44" i="39"/>
  <c r="U44" i="39"/>
  <c r="S12" i="39"/>
  <c r="AA12" i="39"/>
  <c r="AB13" i="37"/>
  <c r="U13" i="37"/>
  <c r="AZ545" i="3"/>
  <c r="AB28" i="34"/>
  <c r="U28" i="34"/>
  <c r="AZ587" i="3"/>
  <c r="AZ530" i="3"/>
  <c r="C44" i="71"/>
  <c r="D43" i="71"/>
  <c r="AA26" i="37"/>
  <c r="S26" i="37"/>
  <c r="AC31" i="39"/>
  <c r="W31" i="39"/>
  <c r="AC9" i="33"/>
  <c r="W9" i="33"/>
  <c r="S36" i="39"/>
  <c r="AA36" i="39"/>
  <c r="AZ504" i="3"/>
  <c r="AZ524" i="3"/>
  <c r="U47" i="34"/>
  <c r="AB47" i="34"/>
  <c r="W13" i="34"/>
  <c r="AC13" i="34"/>
  <c r="AB44" i="33"/>
  <c r="U44" i="33"/>
  <c r="W14" i="40"/>
  <c r="AC14" i="40"/>
  <c r="AC12" i="39"/>
  <c r="W12" i="39"/>
  <c r="AZ543" i="3"/>
  <c r="W28" i="34"/>
  <c r="AC28" i="34"/>
  <c r="AZ15" i="3"/>
  <c r="AZ538" i="3"/>
  <c r="AZ571" i="3"/>
  <c r="AZ532" i="3"/>
  <c r="B15" i="71"/>
  <c r="B14" i="71" s="1"/>
  <c r="B13" i="71" s="1"/>
  <c r="B12" i="71" s="1"/>
  <c r="S16" i="71"/>
  <c r="Q65" i="71"/>
  <c r="Q66" i="71"/>
  <c r="AC23" i="35"/>
  <c r="W23" i="35"/>
  <c r="AB9" i="33"/>
  <c r="U9" i="33"/>
  <c r="AA33" i="36"/>
  <c r="S33" i="36"/>
  <c r="AB35" i="35"/>
  <c r="U35" i="35"/>
  <c r="AA47" i="34"/>
  <c r="S47" i="34"/>
  <c r="AA13" i="34"/>
  <c r="S13" i="34"/>
  <c r="AA44" i="33"/>
  <c r="S44" i="33"/>
  <c r="W44" i="39"/>
  <c r="AC44" i="39"/>
  <c r="S13" i="37"/>
  <c r="AA13" i="37"/>
  <c r="AC39" i="40"/>
  <c r="W39" i="40"/>
  <c r="AA28" i="34"/>
  <c r="S28" i="34"/>
  <c r="F28" i="6"/>
  <c r="E11" i="71"/>
  <c r="E10" i="71" s="1"/>
  <c r="E9" i="71" s="1"/>
  <c r="E8" i="71" s="1"/>
  <c r="E7" i="71" s="1"/>
  <c r="E6" i="71" s="1"/>
  <c r="E5" i="71" s="1"/>
  <c r="V12" i="71"/>
  <c r="C19" i="71"/>
  <c r="D20" i="71"/>
  <c r="U20" i="71" s="1"/>
  <c r="T20" i="71"/>
  <c r="G5" i="3"/>
  <c r="B3" i="3" s="1"/>
  <c r="E184" i="3" s="1"/>
  <c r="J6" i="15"/>
  <c r="J18" i="15" s="1"/>
  <c r="N67" i="71"/>
  <c r="B66" i="71"/>
  <c r="C35" i="71"/>
  <c r="D34" i="71"/>
  <c r="D79" i="71"/>
  <c r="C78" i="71"/>
  <c r="D78" i="71" s="1"/>
  <c r="U12" i="33"/>
  <c r="AB12" i="33"/>
  <c r="S23" i="35"/>
  <c r="AA23" i="35"/>
  <c r="AB34" i="36"/>
  <c r="U34" i="36"/>
  <c r="AC36" i="35"/>
  <c r="W36" i="35"/>
  <c r="U12" i="34"/>
  <c r="AB12" i="34"/>
  <c r="W33" i="40"/>
  <c r="AC33" i="40"/>
  <c r="AB33" i="36"/>
  <c r="U33" i="36"/>
  <c r="AC35" i="35"/>
  <c r="W35" i="35"/>
  <c r="AA44" i="21"/>
  <c r="S44" i="21"/>
  <c r="W31" i="34"/>
  <c r="AC31" i="34"/>
  <c r="AB13" i="34"/>
  <c r="U13" i="34"/>
  <c r="W14" i="33"/>
  <c r="AC14" i="33"/>
  <c r="AB14" i="40"/>
  <c r="U14" i="40"/>
  <c r="BA5" i="3"/>
  <c r="E27" i="6" s="1"/>
  <c r="AA44" i="39"/>
  <c r="S44" i="39"/>
  <c r="U12" i="39"/>
  <c r="AB12" i="39"/>
  <c r="W13" i="37"/>
  <c r="AC13" i="37"/>
  <c r="U39" i="40"/>
  <c r="AB39" i="40"/>
  <c r="AZ586" i="3"/>
  <c r="W12" i="37"/>
  <c r="AC12" i="37"/>
  <c r="E61" i="43"/>
  <c r="B59" i="43" s="1"/>
  <c r="B116" i="43"/>
  <c r="Z7" i="43"/>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D5" i="43"/>
  <c r="J10" i="40"/>
  <c r="AC10" i="40" s="1"/>
  <c r="H10" i="39"/>
  <c r="U10" i="39" s="1"/>
  <c r="F10" i="40"/>
  <c r="S10" i="40" s="1"/>
  <c r="J10" i="39"/>
  <c r="W10" i="39" s="1"/>
  <c r="H10" i="40"/>
  <c r="AB10" i="40" s="1"/>
  <c r="C7" i="43"/>
  <c r="C5" i="43" s="1"/>
  <c r="D10" i="52"/>
  <c r="D125" i="9"/>
  <c r="D11" i="52" s="1"/>
  <c r="B7" i="74"/>
  <c r="C7" i="74" s="1"/>
  <c r="E69" i="39"/>
  <c r="F59" i="67"/>
  <c r="H7" i="37"/>
  <c r="AB7" i="37" s="1"/>
  <c r="T42" i="37" s="1"/>
  <c r="G42" i="37" s="1"/>
  <c r="S10" i="39"/>
  <c r="AA10" i="39"/>
  <c r="H7" i="33"/>
  <c r="J7" i="33"/>
  <c r="D65" i="40"/>
  <c r="E63" i="40"/>
  <c r="F48" i="35"/>
  <c r="S7" i="36"/>
  <c r="AC7" i="37"/>
  <c r="AB7" i="36"/>
  <c r="T36" i="36" s="1"/>
  <c r="G36" i="36" s="1"/>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F1" i="15"/>
  <c r="J18" i="67"/>
  <c r="F1" i="67"/>
  <c r="Q52" i="67"/>
  <c r="Q61" i="67"/>
  <c r="Q74" i="67"/>
  <c r="AE11" i="1"/>
  <c r="AE9" i="1"/>
  <c r="AE7" i="1"/>
  <c r="AE8" i="1"/>
  <c r="AE12" i="1"/>
  <c r="AE10" i="1"/>
  <c r="F27" i="68"/>
  <c r="G1" i="73"/>
  <c r="AE6" i="1"/>
  <c r="F41" i="67"/>
  <c r="J53" i="43" l="1"/>
  <c r="D53" i="43"/>
  <c r="J55" i="43"/>
  <c r="D55" i="43"/>
  <c r="D51" i="43"/>
  <c r="J51" i="43"/>
  <c r="J58" i="43"/>
  <c r="D58" i="43"/>
  <c r="J52" i="43"/>
  <c r="D52" i="43"/>
  <c r="Q52" i="15"/>
  <c r="AZ5" i="3"/>
  <c r="E3" i="6" s="1"/>
  <c r="W7" i="83"/>
  <c r="AC7" i="83"/>
  <c r="D64" i="71"/>
  <c r="T64" i="71"/>
  <c r="U7" i="83"/>
  <c r="AB7" i="83"/>
  <c r="C32" i="15"/>
  <c r="I42" i="15"/>
  <c r="Q61" i="15"/>
  <c r="E163" i="3"/>
  <c r="E40" i="3"/>
  <c r="E462" i="3"/>
  <c r="E86" i="3"/>
  <c r="E25" i="3"/>
  <c r="E212" i="3"/>
  <c r="E473" i="3"/>
  <c r="E22" i="3"/>
  <c r="Q73" i="15"/>
  <c r="J5" i="15"/>
  <c r="J24" i="15" s="1"/>
  <c r="F59" i="15"/>
  <c r="B40" i="1"/>
  <c r="L36" i="43" s="1"/>
  <c r="N36" i="43" s="1"/>
  <c r="AY6" i="3"/>
  <c r="AY83" i="3" s="1"/>
  <c r="E28" i="6"/>
  <c r="K26" i="6" s="1"/>
  <c r="M26" i="6" s="1"/>
  <c r="I26" i="6" s="1"/>
  <c r="S26" i="6" s="1"/>
  <c r="F30" i="6"/>
  <c r="F31" i="6" s="1"/>
  <c r="V42" i="37"/>
  <c r="I42" i="37" s="1"/>
  <c r="C18" i="71"/>
  <c r="D19" i="71"/>
  <c r="E82" i="3"/>
  <c r="E451" i="3"/>
  <c r="E35" i="3"/>
  <c r="T44" i="71"/>
  <c r="D44" i="71"/>
  <c r="E65" i="39"/>
  <c r="T49" i="34"/>
  <c r="G49" i="34" s="1"/>
  <c r="G53" i="34" s="1"/>
  <c r="H53" i="34" s="1"/>
  <c r="C36" i="71"/>
  <c r="D35" i="71"/>
  <c r="E510" i="3"/>
  <c r="E536" i="3"/>
  <c r="E148" i="3"/>
  <c r="E199" i="3"/>
  <c r="E286" i="3"/>
  <c r="E499" i="3"/>
  <c r="R6" i="3"/>
  <c r="E502" i="3"/>
  <c r="E442" i="3"/>
  <c r="E466"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6" i="3"/>
  <c r="E103" i="3"/>
  <c r="E160" i="3"/>
  <c r="E142" i="3"/>
  <c r="E200" i="3"/>
  <c r="E267" i="3"/>
  <c r="E249" i="3"/>
  <c r="E300" i="3"/>
  <c r="E371" i="3"/>
  <c r="E310" i="3"/>
  <c r="E492" i="3"/>
  <c r="E23" i="3"/>
  <c r="E84" i="3"/>
  <c r="E67" i="3"/>
  <c r="E33" i="3"/>
  <c r="E144" i="3"/>
  <c r="E233" i="3"/>
  <c r="E355" i="3"/>
  <c r="E381" i="3"/>
  <c r="E68" i="3"/>
  <c r="E63" i="3"/>
  <c r="E81" i="3"/>
  <c r="E118" i="3"/>
  <c r="E264" i="3"/>
  <c r="E283" i="3"/>
  <c r="E309" i="3"/>
  <c r="E21" i="3"/>
  <c r="E205" i="3"/>
  <c r="E296" i="3"/>
  <c r="E140" i="3"/>
  <c r="E197" i="3"/>
  <c r="E173" i="3"/>
  <c r="E369" i="3"/>
  <c r="E525" i="3"/>
  <c r="E534" i="3"/>
  <c r="E405" i="3"/>
  <c r="E456" i="3"/>
  <c r="E469" i="3"/>
  <c r="E512" i="3"/>
  <c r="E408" i="3"/>
  <c r="E360" i="3"/>
  <c r="E556"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42" i="3"/>
  <c r="E34" i="3"/>
  <c r="E49" i="3"/>
  <c r="E206" i="3"/>
  <c r="E232" i="3"/>
  <c r="E251" i="3"/>
  <c r="E370" i="3"/>
  <c r="AF6" i="3"/>
  <c r="E102" i="3"/>
  <c r="E80" i="3"/>
  <c r="E113" i="3"/>
  <c r="E287" i="3"/>
  <c r="E326" i="3"/>
  <c r="E83" i="3"/>
  <c r="E329" i="3"/>
  <c r="E188" i="3"/>
  <c r="E116" i="3"/>
  <c r="E393" i="3"/>
  <c r="E564" i="3"/>
  <c r="E427" i="3"/>
  <c r="E507" i="3"/>
  <c r="E440" i="3"/>
  <c r="E376" i="3"/>
  <c r="J6" i="3"/>
  <c r="E419" i="3"/>
  <c r="E401" i="3"/>
  <c r="E108" i="3"/>
  <c r="E119" i="3"/>
  <c r="E242" i="3"/>
  <c r="E276" i="3"/>
  <c r="E333" i="3"/>
  <c r="L6" i="3"/>
  <c r="E43" i="3"/>
  <c r="E455" i="3"/>
  <c r="E38" i="3"/>
  <c r="E170" i="3"/>
  <c r="E194" i="3"/>
  <c r="E219" i="3"/>
  <c r="E339" i="3"/>
  <c r="E392" i="3"/>
  <c r="E52" i="3"/>
  <c r="E112" i="3"/>
  <c r="E147" i="3"/>
  <c r="E340" i="3"/>
  <c r="E50" i="3"/>
  <c r="E62" i="3"/>
  <c r="E218" i="3"/>
  <c r="E365" i="3"/>
  <c r="E101" i="3"/>
  <c r="E244" i="3"/>
  <c r="E167" i="3"/>
  <c r="E312" i="3"/>
  <c r="E542" i="3"/>
  <c r="E421" i="3"/>
  <c r="E487" i="3"/>
  <c r="E416" i="3"/>
  <c r="E374" i="3"/>
  <c r="E500" i="3"/>
  <c r="E413" i="3"/>
  <c r="E520" i="3"/>
  <c r="E39" i="3"/>
  <c r="E57" i="3"/>
  <c r="E187" i="3"/>
  <c r="E240" i="3"/>
  <c r="E259" i="3"/>
  <c r="E378" i="3"/>
  <c r="E504" i="3"/>
  <c r="E446" i="3"/>
  <c r="E98" i="3"/>
  <c r="E138" i="3"/>
  <c r="E209" i="3"/>
  <c r="E307" i="3"/>
  <c r="E66" i="3"/>
  <c r="E48" i="3"/>
  <c r="E127" i="3"/>
  <c r="Y6" i="3"/>
  <c r="E19" i="3"/>
  <c r="E323" i="3"/>
  <c r="E165" i="3"/>
  <c r="E149" i="3"/>
  <c r="E141" i="3"/>
  <c r="AD6" i="3"/>
  <c r="E552" i="3"/>
  <c r="E464" i="3"/>
  <c r="E398" i="3"/>
  <c r="E459" i="3"/>
  <c r="E582" i="3"/>
  <c r="E460" i="3"/>
  <c r="E436" i="3"/>
  <c r="E90" i="3"/>
  <c r="E131" i="3"/>
  <c r="E155" i="3"/>
  <c r="E297" i="3"/>
  <c r="E348" i="3"/>
  <c r="E375" i="3"/>
  <c r="E58" i="3"/>
  <c r="E488" i="3"/>
  <c r="E521" i="3"/>
  <c r="E47" i="3"/>
  <c r="E65" i="3"/>
  <c r="E195" i="3"/>
  <c r="E248" i="3"/>
  <c r="E266" i="3"/>
  <c r="E386" i="3"/>
  <c r="E584" i="3"/>
  <c r="E24" i="3"/>
  <c r="E87" i="3"/>
  <c r="E250" i="3"/>
  <c r="E341" i="3"/>
  <c r="E51" i="3"/>
  <c r="E154" i="3"/>
  <c r="E222" i="3"/>
  <c r="E16" i="3"/>
  <c r="E223" i="3"/>
  <c r="E105" i="3"/>
  <c r="E493" i="3"/>
  <c r="E486" i="3"/>
  <c r="E422" i="3"/>
  <c r="E490" i="3"/>
  <c r="AH6" i="3"/>
  <c r="E498" i="3"/>
  <c r="E483" i="3"/>
  <c r="E463" i="3"/>
  <c r="E178" i="3"/>
  <c r="E202" i="3"/>
  <c r="E226" i="3"/>
  <c r="E346" i="3"/>
  <c r="E372" i="3"/>
  <c r="E60" i="3"/>
  <c r="E15" i="3"/>
  <c r="E79" i="3"/>
  <c r="E100" i="3"/>
  <c r="E137" i="3"/>
  <c r="E234" i="3"/>
  <c r="E299" i="3"/>
  <c r="E325" i="3"/>
  <c r="AQ6" i="3"/>
  <c r="E36" i="3"/>
  <c r="E123" i="3"/>
  <c r="E289" i="3"/>
  <c r="E364" i="3"/>
  <c r="E20" i="3"/>
  <c r="E176" i="3"/>
  <c r="E265" i="3"/>
  <c r="E524" i="3"/>
  <c r="E110" i="3"/>
  <c r="E354" i="3"/>
  <c r="E284" i="3"/>
  <c r="E179" i="3"/>
  <c r="E566" i="3"/>
  <c r="E373" i="3"/>
  <c r="E53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237" i="3"/>
  <c r="E221" i="3"/>
  <c r="E159" i="3"/>
  <c r="E402" i="3"/>
  <c r="E280" i="3"/>
  <c r="E543" i="3"/>
  <c r="T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304" i="3"/>
  <c r="E565" i="3"/>
  <c r="E213" i="3"/>
  <c r="E17" i="3"/>
  <c r="E302" i="3"/>
  <c r="E254" i="3"/>
  <c r="E303" i="3"/>
  <c r="AN6" i="3"/>
  <c r="E353" i="3"/>
  <c r="AA6" i="3"/>
  <c r="E540" i="3"/>
  <c r="E13" i="3"/>
  <c r="E541" i="3"/>
  <c r="E575" i="3"/>
  <c r="E497"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83" i="3"/>
  <c r="E308" i="3"/>
  <c r="E522" i="3"/>
  <c r="E5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58" i="3"/>
  <c r="E64" i="3"/>
  <c r="T56" i="71"/>
  <c r="D56" i="71"/>
  <c r="E27" i="3"/>
  <c r="N66" i="71"/>
  <c r="N65"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K24" i="6"/>
  <c r="K19" i="6"/>
  <c r="S6" i="1"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D3" i="33"/>
  <c r="C33" i="33" s="1"/>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41" i="15"/>
  <c r="M27" i="67"/>
  <c r="M27" i="15"/>
  <c r="E50" i="43" l="1"/>
  <c r="B48" i="43" s="1"/>
  <c r="C28" i="43" s="1"/>
  <c r="T15" i="43" s="1"/>
  <c r="V15" i="43" s="1"/>
  <c r="T11" i="43"/>
  <c r="V11" i="43" s="1"/>
  <c r="T14" i="43"/>
  <c r="V14" i="43" s="1"/>
  <c r="T4" i="43"/>
  <c r="V4" i="43" s="1"/>
  <c r="T5" i="43"/>
  <c r="V5" i="43" s="1"/>
  <c r="C40" i="43"/>
  <c r="E40" i="43" s="1"/>
  <c r="C41" i="43"/>
  <c r="C39" i="43"/>
  <c r="E39" i="43" s="1"/>
  <c r="C38" i="43"/>
  <c r="T13" i="43"/>
  <c r="V13" i="43" s="1"/>
  <c r="T9" i="43"/>
  <c r="V9" i="43" s="1"/>
  <c r="T16" i="43"/>
  <c r="V16" i="43" s="1"/>
  <c r="T12" i="43"/>
  <c r="V12" i="43" s="1"/>
  <c r="T8" i="43"/>
  <c r="V8" i="43" s="1"/>
  <c r="T3" i="43"/>
  <c r="V3" i="43" s="1"/>
  <c r="T6" i="43"/>
  <c r="V6" i="43" s="1"/>
  <c r="C33" i="43"/>
  <c r="C37" i="43"/>
  <c r="E37" i="43" s="1"/>
  <c r="C42" i="43"/>
  <c r="E42" i="43" s="1"/>
  <c r="M9" i="83"/>
  <c r="D3" i="83" s="1"/>
  <c r="C33" i="83"/>
  <c r="E6" i="6"/>
  <c r="D14" i="12"/>
  <c r="D3" i="34"/>
  <c r="L18" i="9"/>
  <c r="D3" i="21"/>
  <c r="D37" i="11"/>
  <c r="M18" i="9"/>
  <c r="B118" i="9" s="1"/>
  <c r="B1" i="74" s="1"/>
  <c r="D19" i="11"/>
  <c r="C19" i="11" s="1"/>
  <c r="C17" i="4"/>
  <c r="B4" i="52" s="1"/>
  <c r="B43" i="72" s="1"/>
  <c r="D3" i="37"/>
  <c r="J33" i="33"/>
  <c r="F33" i="33"/>
  <c r="H33" i="33"/>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50" i="3"/>
  <c r="AY147" i="3"/>
  <c r="AY31" i="3"/>
  <c r="AY191" i="3"/>
  <c r="AY49" i="3"/>
  <c r="AY112" i="3"/>
  <c r="AY577" i="3"/>
  <c r="AY556" i="3"/>
  <c r="AY508"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87" i="3"/>
  <c r="AY75" i="3"/>
  <c r="AY90" i="3"/>
  <c r="AY18"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50" i="3"/>
  <c r="AY103" i="3"/>
  <c r="AY335" i="3"/>
  <c r="AY371" i="3"/>
  <c r="AY225" i="3"/>
  <c r="AY268" i="3"/>
  <c r="AY297" i="3"/>
  <c r="AY58" i="3"/>
  <c r="AY276" i="3"/>
  <c r="AY131" i="3"/>
  <c r="AY188" i="3"/>
  <c r="AY59" i="3"/>
  <c r="AY115" i="3"/>
  <c r="AY155" i="3"/>
  <c r="AY176" i="3"/>
  <c r="AY23" i="3"/>
  <c r="AY66" i="3"/>
  <c r="L37" i="43"/>
  <c r="M37" i="43" s="1"/>
  <c r="H6" i="3"/>
  <c r="D116" i="43"/>
  <c r="AC6" i="3"/>
  <c r="F24" i="67"/>
  <c r="C24" i="67" s="1"/>
  <c r="F24" i="15"/>
  <c r="C24" i="15" s="1"/>
  <c r="P36" i="43"/>
  <c r="F22" i="69"/>
  <c r="F41" i="69" s="1"/>
  <c r="F22" i="11"/>
  <c r="C24" i="11" s="1"/>
  <c r="M36" i="43"/>
  <c r="O36" i="43"/>
  <c r="F22" i="68"/>
  <c r="F25" i="12"/>
  <c r="C26" i="12" s="1"/>
  <c r="D25" i="12" s="1"/>
  <c r="Q36" i="43"/>
  <c r="C17" i="71"/>
  <c r="D18" i="71"/>
  <c r="T36" i="71"/>
  <c r="D36" i="71"/>
  <c r="K14" i="1"/>
  <c r="E30" i="6"/>
  <c r="E31" i="6" s="1"/>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H67" i="39"/>
  <c r="G69" i="39"/>
  <c r="E41" i="43"/>
  <c r="G41" i="43"/>
  <c r="I41" i="43" s="1"/>
  <c r="G38" i="43"/>
  <c r="I38" i="43" s="1"/>
  <c r="E38" i="43"/>
  <c r="G40" i="43"/>
  <c r="I40" i="43" s="1"/>
  <c r="E54" i="34"/>
  <c r="F54" i="34" s="1"/>
  <c r="E53" i="34"/>
  <c r="F53" i="34"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7" i="15"/>
  <c r="C17" i="67"/>
  <c r="C14" i="67"/>
  <c r="G42" i="43" l="1"/>
  <c r="I42" i="43" s="1"/>
  <c r="G39" i="43"/>
  <c r="I39" i="43" s="1"/>
  <c r="G37" i="43"/>
  <c r="I37" i="43" s="1"/>
  <c r="T2" i="43"/>
  <c r="V2" i="43" s="1"/>
  <c r="T10" i="43"/>
  <c r="V10" i="43" s="1"/>
  <c r="T7" i="43"/>
  <c r="V7" i="43" s="1"/>
  <c r="AB33" i="33"/>
  <c r="T48" i="33" s="1"/>
  <c r="G48" i="33" s="1"/>
  <c r="U33" i="33"/>
  <c r="W33" i="33"/>
  <c r="AC33" i="33"/>
  <c r="V48" i="33" s="1"/>
  <c r="I48" i="33" s="1"/>
  <c r="I52" i="33" s="1"/>
  <c r="J52" i="33" s="1"/>
  <c r="J33" i="83"/>
  <c r="F33" i="83"/>
  <c r="H33" i="83"/>
  <c r="AA33" i="33"/>
  <c r="R48" i="33" s="1"/>
  <c r="S33" i="33"/>
  <c r="P37" i="43"/>
  <c r="O37" i="43"/>
  <c r="Q37" i="43"/>
  <c r="H24" i="6"/>
  <c r="H21" i="6"/>
  <c r="F41" i="68"/>
  <c r="C44" i="68"/>
  <c r="D41" i="68" s="1"/>
  <c r="D30" i="6"/>
  <c r="C23" i="11"/>
  <c r="H25" i="6"/>
  <c r="R25" i="6" s="1"/>
  <c r="R12" i="1" s="1"/>
  <c r="E6" i="3"/>
  <c r="C44" i="11"/>
  <c r="D41" i="11" s="1"/>
  <c r="C26" i="11"/>
  <c r="D22" i="11" s="1"/>
  <c r="C25" i="11"/>
  <c r="C26" i="69"/>
  <c r="D22" i="69" s="1"/>
  <c r="C44" i="69"/>
  <c r="D41" i="69" s="1"/>
  <c r="C26" i="68"/>
  <c r="D22" i="68" s="1"/>
  <c r="K16" i="1"/>
  <c r="M14" i="1"/>
  <c r="C16" i="71"/>
  <c r="D17"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R23" i="6"/>
  <c r="R10" i="1" s="1"/>
  <c r="D27" i="6"/>
  <c r="D31" i="6" s="1"/>
  <c r="D8" i="74"/>
  <c r="D7" i="74"/>
  <c r="R21" i="6"/>
  <c r="R8" i="1" s="1"/>
  <c r="C10" i="69"/>
  <c r="C8" i="69" s="1"/>
  <c r="C5" i="69" s="1"/>
  <c r="D19" i="69"/>
  <c r="C4" i="52"/>
  <c r="B45" i="72" s="1"/>
  <c r="A10" i="51"/>
  <c r="B9" i="72" s="1"/>
  <c r="A7" i="51"/>
  <c r="B7" i="72" s="1"/>
  <c r="C10" i="68"/>
  <c r="C8" i="68" s="1"/>
  <c r="D19" i="68"/>
  <c r="H69" i="39"/>
  <c r="I67" i="39"/>
  <c r="G65" i="40"/>
  <c r="H63" i="40"/>
  <c r="C43" i="37"/>
  <c r="C42" i="37"/>
  <c r="I48" i="35"/>
  <c r="H58" i="21"/>
  <c r="E47" i="37"/>
  <c r="F47" i="37" s="1"/>
  <c r="E46" i="37"/>
  <c r="F46" i="37" s="1"/>
  <c r="I47" i="37"/>
  <c r="J47" i="37" s="1"/>
  <c r="C33" i="15"/>
  <c r="C33" i="67"/>
  <c r="J19" i="67"/>
  <c r="E6" i="76"/>
  <c r="C14" i="15"/>
  <c r="B6" i="76"/>
  <c r="B3" i="43" l="1"/>
  <c r="C6" i="68"/>
  <c r="C7" i="68" s="1"/>
  <c r="E48" i="33"/>
  <c r="R49" i="33"/>
  <c r="S33" i="83"/>
  <c r="AA33" i="83"/>
  <c r="R48" i="83" s="1"/>
  <c r="U33" i="83"/>
  <c r="AB33" i="83"/>
  <c r="T48" i="83" s="1"/>
  <c r="G48" i="83" s="1"/>
  <c r="W33" i="83"/>
  <c r="AC33" i="83"/>
  <c r="V48" i="83" s="1"/>
  <c r="I48" i="83" s="1"/>
  <c r="G53" i="33"/>
  <c r="H53" i="33" s="1"/>
  <c r="G52" i="33"/>
  <c r="H52" i="33" s="1"/>
  <c r="C22" i="11"/>
  <c r="C31" i="11" s="1"/>
  <c r="C15" i="71"/>
  <c r="T16" i="71"/>
  <c r="D16" i="71"/>
  <c r="U16" i="71" s="1"/>
  <c r="O14" i="1"/>
  <c r="O16" i="1" s="1"/>
  <c r="M16" i="1"/>
  <c r="C34" i="11" s="1"/>
  <c r="C19" i="67"/>
  <c r="C20" i="67" s="1"/>
  <c r="C26" i="67" s="1"/>
  <c r="T16" i="1"/>
  <c r="C18" i="15"/>
  <c r="C15" i="15"/>
  <c r="C36" i="11"/>
  <c r="C37" i="11"/>
  <c r="C23" i="12"/>
  <c r="C14" i="12"/>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5" i="68" l="1"/>
  <c r="C23" i="68" s="1"/>
  <c r="I52" i="83"/>
  <c r="J52" i="83" s="1"/>
  <c r="I53" i="83"/>
  <c r="J53" i="83" s="1"/>
  <c r="G53" i="83"/>
  <c r="H53" i="83" s="1"/>
  <c r="G52" i="83"/>
  <c r="H52" i="83" s="1"/>
  <c r="E48" i="83"/>
  <c r="R49" i="83"/>
  <c r="C48" i="33"/>
  <c r="C49" i="33"/>
  <c r="I53" i="33"/>
  <c r="J53" i="33" s="1"/>
  <c r="E53" i="33"/>
  <c r="F53" i="33" s="1"/>
  <c r="E52" i="33"/>
  <c r="F52" i="33" s="1"/>
  <c r="P14" i="1"/>
  <c r="P16" i="1" s="1"/>
  <c r="C11" i="12" s="1"/>
  <c r="C15" i="12" s="1"/>
  <c r="N16" i="1"/>
  <c r="L16" i="1"/>
  <c r="C14" i="71"/>
  <c r="D15" i="71"/>
  <c r="C23" i="67"/>
  <c r="C29" i="67" s="1"/>
  <c r="J59" i="67" s="1"/>
  <c r="J60" i="67" s="1"/>
  <c r="Q48" i="67" s="1"/>
  <c r="C19" i="15"/>
  <c r="C20" i="15" s="1"/>
  <c r="C26" i="15"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34" i="68"/>
  <c r="C49" i="83" l="1"/>
  <c r="C48" i="83"/>
  <c r="E53" i="83"/>
  <c r="F53" i="83" s="1"/>
  <c r="E52" i="83"/>
  <c r="F52" i="83" s="1"/>
  <c r="C12" i="12"/>
  <c r="C16" i="12" s="1"/>
  <c r="C21" i="12" s="1"/>
  <c r="C22" i="12" s="1"/>
  <c r="F50" i="68"/>
  <c r="F50" i="69"/>
  <c r="F50" i="11"/>
  <c r="C13" i="71"/>
  <c r="D14" i="71"/>
  <c r="J7" i="35"/>
  <c r="W7" i="35" s="1"/>
  <c r="C35" i="68"/>
  <c r="C38" i="68"/>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F35" i="15"/>
  <c r="F35" i="67"/>
  <c r="M21" i="15"/>
  <c r="M21" i="67"/>
  <c r="M49" i="83" l="1"/>
  <c r="B2" i="83"/>
  <c r="B3" i="83"/>
  <c r="C27" i="12"/>
  <c r="C25" i="12" s="1"/>
  <c r="C30" i="12"/>
  <c r="C28" i="12" s="1"/>
  <c r="AC7" i="35"/>
  <c r="V38" i="35" s="1"/>
  <c r="I38" i="35" s="1"/>
  <c r="C33" i="68"/>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20" i="9" l="1"/>
  <c r="C103" i="9" s="1"/>
  <c r="C102" i="9"/>
  <c r="C21" i="9"/>
  <c r="C32" i="12"/>
  <c r="B2" i="12" s="1"/>
  <c r="B3" i="12" s="1"/>
  <c r="C11" i="71"/>
  <c r="T12" i="71"/>
  <c r="D12" i="71"/>
  <c r="U12" i="71" s="1"/>
  <c r="C39" i="68"/>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6" i="68" l="1"/>
  <c r="C45" i="68" s="1"/>
  <c r="C41" i="68"/>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C49" i="68"/>
  <c r="C51" i="68" s="1"/>
  <c r="C52" i="68" s="1"/>
  <c r="B2" i="68" s="1"/>
  <c r="D10" i="71"/>
  <c r="C9" i="71"/>
  <c r="Q65" i="67"/>
  <c r="B2" i="33"/>
  <c r="B3" i="33" s="1"/>
  <c r="C83" i="67"/>
  <c r="C82" i="67" s="1"/>
  <c r="Q47" i="67"/>
  <c r="Q53" i="67" s="1"/>
  <c r="C46" i="67"/>
  <c r="Q56" i="67"/>
  <c r="C43" i="67"/>
  <c r="C80" i="15"/>
  <c r="C79" i="15" s="1"/>
  <c r="C40" i="15"/>
  <c r="C46" i="15" s="1"/>
  <c r="H7" i="39"/>
  <c r="J7" i="39"/>
  <c r="S7" i="39"/>
  <c r="AA7" i="39"/>
  <c r="R47" i="39" s="1"/>
  <c r="O63" i="40"/>
  <c r="O65" i="40" s="1"/>
  <c r="N65" i="40"/>
  <c r="B3" i="68"/>
  <c r="L51" i="15"/>
  <c r="D2" i="36"/>
  <c r="D2" i="34"/>
  <c r="D2" i="35"/>
  <c r="D2" i="37"/>
  <c r="Q66" i="67" l="1"/>
  <c r="Q75" i="67" s="1"/>
  <c r="Q57" i="67"/>
  <c r="Q62" i="67" s="1"/>
  <c r="C8" i="71"/>
  <c r="D9" i="71"/>
  <c r="C57" i="68"/>
  <c r="C56" i="68"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7" i="1"/>
  <c r="AO9" i="1"/>
  <c r="AO8" i="1"/>
  <c r="AO12" i="1"/>
  <c r="L46" i="15" l="1"/>
  <c r="B2" i="15" s="1"/>
  <c r="D8" i="71"/>
  <c r="C7" i="7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M23" i="9" l="1"/>
  <c r="L23" i="9" s="1"/>
  <c r="M5" i="83" s="1"/>
  <c r="M6" i="83" s="1"/>
  <c r="D22" i="9"/>
  <c r="G19" i="9"/>
  <c r="D102" i="9"/>
  <c r="D21" i="9"/>
  <c r="B3" i="15"/>
  <c r="B6" i="70"/>
  <c r="B2" i="70" s="1"/>
  <c r="B3" i="70"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20" i="9"/>
  <c r="G21" i="9" l="1"/>
  <c r="K32" i="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9" i="9"/>
  <c r="M55" i="9" s="1"/>
  <c r="F118" i="9"/>
  <c r="F119" i="9" s="1"/>
  <c r="F5" i="52" s="1"/>
  <c r="B53" i="72" s="1"/>
  <c r="D118" i="9"/>
  <c r="D119" i="9" s="1"/>
  <c r="D5" i="52" s="1"/>
  <c r="B49" i="72" s="1"/>
  <c r="H118" i="9"/>
  <c r="H119" i="9" s="1"/>
  <c r="H5" i="52" s="1"/>
  <c r="D4" i="52" l="1"/>
  <c r="B47" i="72" s="1"/>
  <c r="G118" i="9"/>
  <c r="G4" i="52" s="1"/>
  <c r="B52" i="72" s="1"/>
  <c r="H4" i="52"/>
  <c r="H101" i="9"/>
  <c r="D45" i="9" s="1"/>
  <c r="C64" i="9" s="1"/>
  <c r="C63" i="9" s="1"/>
  <c r="C67" i="9" s="1"/>
  <c r="C68" i="9" s="1"/>
  <c r="D54" i="9" s="1"/>
  <c r="F4" i="52"/>
  <c r="B51" i="72" s="1"/>
  <c r="I118" i="9"/>
  <c r="C104" i="9"/>
  <c r="H107" i="9" l="1"/>
  <c r="D13" i="53" s="1"/>
  <c r="D5" i="53"/>
  <c r="B20" i="72" s="1"/>
  <c r="C93" i="9"/>
  <c r="C86" i="9" s="1"/>
  <c r="D55" i="9"/>
  <c r="M53" i="9" s="1"/>
  <c r="D52" i="9"/>
  <c r="C85" i="9"/>
  <c r="C72" i="9"/>
  <c r="D53" i="9"/>
  <c r="D48" i="9" s="1"/>
  <c r="M52" i="9" s="1"/>
  <c r="M48" i="9"/>
  <c r="C78" i="9"/>
  <c r="C73" i="9" s="1"/>
  <c r="C105" i="9"/>
  <c r="E118" i="9"/>
  <c r="E4" i="52" s="1"/>
  <c r="B48" i="72" s="1"/>
  <c r="I4" i="52"/>
  <c r="H102" i="9"/>
  <c r="D6" i="53" l="1"/>
  <c r="B22" i="72" s="1"/>
  <c r="C95" i="9"/>
  <c r="C96" i="9" s="1"/>
  <c r="E96" i="9" s="1"/>
  <c r="E97" i="9" s="1"/>
  <c r="D122" i="9"/>
  <c r="D123" i="9" s="1"/>
  <c r="D9" i="52" s="1"/>
  <c r="M49" i="9"/>
  <c r="L63" i="9" s="1"/>
  <c r="M63" i="9" s="1"/>
  <c r="H108" i="9"/>
  <c r="D15" i="53" s="1"/>
  <c r="B31" i="72" s="1"/>
  <c r="C79" i="9"/>
  <c r="C80" i="9" s="1"/>
  <c r="E80" i="9" s="1"/>
  <c r="E81" i="9" s="1"/>
  <c r="B30" i="72"/>
  <c r="D14" i="53"/>
  <c r="B32" i="72" s="1"/>
  <c r="D7" i="53"/>
  <c r="B21" i="72" s="1"/>
  <c r="C5" i="74"/>
  <c r="L68" i="9" l="1"/>
  <c r="M68" i="9" s="1"/>
  <c r="L67" i="9"/>
  <c r="M67" i="9" s="1"/>
  <c r="L66" i="9"/>
  <c r="M66" i="9" s="1"/>
  <c r="D8" i="52"/>
  <c r="C6" i="74"/>
  <c r="C81" i="9"/>
  <c r="L65" i="9"/>
  <c r="M65" i="9" s="1"/>
  <c r="L64" i="9"/>
  <c r="M64" i="9" s="1"/>
  <c r="C97" i="9"/>
  <c r="D58" i="9" s="1"/>
  <c r="D56" i="9" s="1"/>
  <c r="M54" i="9" s="1"/>
  <c r="N57" i="9" s="1"/>
  <c r="P57" i="9" s="1"/>
  <c r="M69" i="9" l="1"/>
  <c r="N69" i="9" s="1"/>
  <c r="N59" i="9"/>
  <c r="N61" i="9" s="1"/>
  <c r="H112" i="9" s="1"/>
  <c r="N58" i="9"/>
  <c r="N60" i="9"/>
  <c r="H111" i="9" l="1"/>
  <c r="D19" i="53" s="1"/>
  <c r="D21" i="53"/>
  <c r="B39" i="72" s="1"/>
  <c r="C8" i="74"/>
  <c r="D126" i="9" l="1"/>
  <c r="D12" i="52" s="1"/>
  <c r="D20" i="53"/>
  <c r="B40" i="72" s="1"/>
  <c r="B38" i="72"/>
  <c r="D127" i="9" l="1"/>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Administrator</author>
  </authors>
  <commentList>
    <comment ref="B12" authorId="0">
      <text>
        <r>
          <rPr>
            <b/>
            <sz val="9"/>
            <rFont val="宋体"/>
            <family val="3"/>
            <charset val="134"/>
          </rPr>
          <t>Administrator:</t>
        </r>
        <r>
          <rPr>
            <sz val="9"/>
            <rFont val="宋体"/>
            <family val="3"/>
            <charset val="134"/>
          </rPr>
          <t xml:space="preserve">
图纸已将1030和1059铺位合并为282.4平方米</t>
        </r>
      </text>
    </comment>
    <comment ref="D36" authorId="0">
      <text>
        <r>
          <rPr>
            <b/>
            <sz val="9"/>
            <rFont val="宋体"/>
            <family val="3"/>
            <charset val="134"/>
          </rPr>
          <t>Administrator:</t>
        </r>
        <r>
          <rPr>
            <sz val="9"/>
            <rFont val="宋体"/>
            <family val="3"/>
            <charset val="134"/>
          </rPr>
          <t xml:space="preserve">
13718766444
</t>
        </r>
      </text>
    </comment>
    <comment ref="D37" authorId="0">
      <text>
        <r>
          <rPr>
            <b/>
            <sz val="9"/>
            <rFont val="宋体"/>
            <family val="3"/>
            <charset val="134"/>
          </rPr>
          <t>Administrator:</t>
        </r>
        <r>
          <rPr>
            <sz val="9"/>
            <rFont val="宋体"/>
            <family val="3"/>
            <charset val="134"/>
          </rPr>
          <t xml:space="preserve">
13718766444
</t>
        </r>
      </text>
    </comment>
    <comment ref="D43" authorId="0">
      <text>
        <r>
          <rPr>
            <b/>
            <sz val="9"/>
            <rFont val="宋体"/>
            <family val="3"/>
            <charset val="134"/>
          </rPr>
          <t>Administrator:</t>
        </r>
        <r>
          <rPr>
            <sz val="9"/>
            <rFont val="宋体"/>
            <family val="3"/>
            <charset val="134"/>
          </rPr>
          <t xml:space="preserve">
13810841318</t>
        </r>
      </text>
    </comment>
    <comment ref="B58" authorId="0">
      <text>
        <r>
          <rPr>
            <b/>
            <sz val="9"/>
            <rFont val="宋体"/>
            <family val="3"/>
            <charset val="134"/>
          </rPr>
          <t>Administrator:</t>
        </r>
        <r>
          <rPr>
            <sz val="9"/>
            <rFont val="宋体"/>
            <family val="3"/>
            <charset val="134"/>
          </rPr>
          <t xml:space="preserve">
对应图纸3001铺位</t>
        </r>
      </text>
    </comment>
    <comment ref="B108" authorId="0">
      <text>
        <r>
          <rPr>
            <b/>
            <sz val="9"/>
            <rFont val="宋体"/>
            <family val="3"/>
            <charset val="134"/>
          </rPr>
          <t>Administrator:</t>
        </r>
        <r>
          <rPr>
            <sz val="9"/>
            <rFont val="宋体"/>
            <family val="3"/>
            <charset val="134"/>
          </rPr>
          <t xml:space="preserve">
外带B1025商户 B1010福人料理</t>
        </r>
      </text>
    </comment>
    <comment ref="D116" authorId="0">
      <text>
        <r>
          <rPr>
            <b/>
            <sz val="9"/>
            <rFont val="宋体"/>
            <family val="3"/>
            <charset val="134"/>
          </rPr>
          <t>Administrator:</t>
        </r>
        <r>
          <rPr>
            <sz val="9"/>
            <rFont val="宋体"/>
            <family val="3"/>
            <charset val="134"/>
          </rPr>
          <t xml:space="preserve">
13901016614</t>
        </r>
      </text>
    </comment>
    <comment ref="F116" authorId="0">
      <text>
        <r>
          <rPr>
            <b/>
            <sz val="9"/>
            <rFont val="宋体"/>
            <family val="3"/>
            <charset val="134"/>
          </rPr>
          <t>Administrator:</t>
        </r>
        <r>
          <rPr>
            <sz val="9"/>
            <rFont val="宋体"/>
            <family val="3"/>
            <charset val="134"/>
          </rPr>
          <t xml:space="preserve">
原合同起止日：2020.6.1-2022.3.31</t>
        </r>
      </text>
    </comment>
    <comment ref="B124" authorId="0">
      <text>
        <r>
          <rPr>
            <b/>
            <sz val="9"/>
            <rFont val="宋体"/>
            <family val="3"/>
            <charset val="134"/>
          </rPr>
          <t xml:space="preserve">Administrator:
</t>
        </r>
        <r>
          <rPr>
            <sz val="9"/>
            <rFont val="宋体"/>
            <family val="3"/>
            <charset val="134"/>
          </rPr>
          <t>对应图纸铺位号B220</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<sst xmlns="http://schemas.openxmlformats.org/spreadsheetml/2006/main" count="9684" uniqueCount="4118">
  <si>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</si>
  <si>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</si>
  <si>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</si>
  <si>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</si>
  <si>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</si>
  <si>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</si>
  <si>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</si>
  <si>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</si>
  <si>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</si>
  <si>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</si>
  <si>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</si>
  <si>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</si>
  <si>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</si>
  <si>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</si>
  <si>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</si>
  <si>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</si>
  <si>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</si>
  <si>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</si>
  <si>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</si>
  <si>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</si>
  <si>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</si>
  <si>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</si>
  <si>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</si>
  <si>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</si>
  <si>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</si>
  <si>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</si>
  <si>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</si>
  <si>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</si>
  <si>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</si>
  <si>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</si>
  <si>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</si>
  <si>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</si>
  <si>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</si>
  <si>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</si>
  <si>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</si>
  <si>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</si>
  <si>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</si>
  <si>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</si>
  <si>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</si>
  <si>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</si>
  <si>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</si>
  <si>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</si>
  <si>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</si>
  <si>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</si>
  <si>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</si>
  <si>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</si>
  <si>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</si>
  <si>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</si>
  <si>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</si>
  <si>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</si>
  <si>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</si>
  <si>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</si>
  <si>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</si>
  <si>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</si>
  <si>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</si>
  <si>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</si>
  <si>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</si>
  <si>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</si>
  <si>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</si>
  <si>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</si>
  <si>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</si>
  <si>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</si>
  <si>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</si>
  <si>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</si>
  <si>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</si>
  <si>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</si>
  <si>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</si>
  <si>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</si>
  <si>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</si>
  <si>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</si>
  <si>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</si>
  <si>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</si>
  <si>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</si>
  <si>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</si>
  <si>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</si>
  <si>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</si>
  <si>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</si>
  <si>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</si>
  <si>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</si>
  <si>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</si>
  <si>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</si>
  <si>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</si>
  <si>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</si>
  <si>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</si>
  <si>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</si>
  <si>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</si>
  <si>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</si>
  <si>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</si>
  <si>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</si>
  <si>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</si>
  <si>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</si>
  <si>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</si>
  <si>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</si>
  <si>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</si>
  <si>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</si>
  <si>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</si>
  <si>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</si>
  <si>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</si>
  <si>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</si>
  <si>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</si>
  <si>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</si>
  <si>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</si>
  <si>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</si>
  <si>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</si>
  <si>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</si>
  <si>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</si>
  <si>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</si>
  <si>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</si>
  <si>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</si>
  <si>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</si>
  <si>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</si>
  <si>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</si>
  <si>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</si>
  <si>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</si>
  <si>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</si>
  <si>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</si>
  <si>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</si>
  <si>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</si>
  <si>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</si>
  <si>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</si>
  <si>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</si>
  <si>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</si>
  <si>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</si>
  <si>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</si>
  <si>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</si>
  <si>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</si>
  <si>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</si>
  <si>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</si>
  <si>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</si>
  <si>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</si>
  <si>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</si>
  <si>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</si>
  <si>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</si>
  <si>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</si>
  <si>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</si>
  <si>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</si>
  <si>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</si>
  <si>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</si>
  <si>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</si>
  <si>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</si>
  <si>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</si>
  <si>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</si>
  <si>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</si>
  <si>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</si>
  <si>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</si>
  <si>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</si>
  <si>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</si>
  <si>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</si>
  <si>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</si>
  <si>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</si>
  <si>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</si>
  <si>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</si>
  <si>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</si>
  <si>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</si>
  <si>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</si>
  <si>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</si>
  <si>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</si>
  <si>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</si>
  <si>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</si>
  <si>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</si>
  <si>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</si>
  <si>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</si>
  <si>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</si>
  <si>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</si>
  <si>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</si>
  <si>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</si>
  <si>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</si>
  <si>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</si>
  <si>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</si>
  <si>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</si>
  <si>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</si>
  <si>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</si>
  <si>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</si>
  <si>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</si>
  <si>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</si>
  <si>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</si>
  <si>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</si>
  <si>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</si>
  <si>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</si>
  <si>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</si>
  <si>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</si>
  <si>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</si>
  <si>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</si>
  <si>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</si>
  <si>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</si>
  <si>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</si>
  <si>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</si>
  <si>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</si>
  <si>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</si>
  <si>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</si>
  <si>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</si>
  <si>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</si>
  <si>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</si>
  <si>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</si>
  <si>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</si>
  <si>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</si>
  <si>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</si>
  <si>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</si>
  <si>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</si>
  <si>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</si>
  <si>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</si>
  <si>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</si>
  <si>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</si>
  <si>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</si>
  <si>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</si>
  <si>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</si>
  <si>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</si>
  <si>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</si>
  <si>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</si>
  <si>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</si>
  <si>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</si>
  <si>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</si>
  <si>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</si>
  <si>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</si>
  <si>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</si>
  <si>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</si>
  <si>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</si>
  <si>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</si>
  <si>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</si>
  <si>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</si>
  <si>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</si>
  <si>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</si>
  <si>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</si>
  <si>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</si>
  <si>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</si>
  <si>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</si>
  <si>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</si>
  <si>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</si>
  <si>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</si>
  <si>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</si>
  <si>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</si>
  <si>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</si>
  <si>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</si>
  <si>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</si>
  <si>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</si>
  <si>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</si>
  <si>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</si>
  <si>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</si>
  <si>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</si>
  <si>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</si>
  <si>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</si>
  <si>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</si>
  <si>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</si>
  <si>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</si>
  <si>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</si>
  <si>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</si>
  <si>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</si>
  <si>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</si>
  <si>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</si>
  <si>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</si>
  <si>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</si>
  <si>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</si>
  <si>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</si>
  <si>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</si>
  <si>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</si>
  <si>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</si>
  <si>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</si>
  <si>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</si>
  <si>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</si>
  <si>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</si>
  <si>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</si>
  <si>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</si>
  <si>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</si>
  <si>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</si>
  <si>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</si>
  <si>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</si>
  <si>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</si>
  <si>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</si>
  <si>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</si>
  <si>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</si>
  <si>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</si>
  <si>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</si>
  <si>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</si>
  <si>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</si>
  <si>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</si>
  <si>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</si>
  <si>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</si>
  <si>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</si>
  <si>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</si>
  <si>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</si>
  <si>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</si>
  <si>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</si>
  <si>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</si>
  <si>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</si>
  <si>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</si>
  <si>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</si>
  <si>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</si>
  <si>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</si>
  <si>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</si>
  <si>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</si>
  <si>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</si>
  <si>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</si>
  <si>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</si>
  <si>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</si>
  <si>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</si>
  <si>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</si>
  <si>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</si>
  <si>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</si>
  <si>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</si>
  <si>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</si>
  <si>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</si>
  <si>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</si>
  <si>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</si>
  <si>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</si>
  <si>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</si>
  <si>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</si>
  <si>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</si>
  <si>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</si>
  <si>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</si>
  <si>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</si>
  <si>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</si>
  <si>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</si>
  <si>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</si>
  <si>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</si>
  <si>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</si>
  <si>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</si>
  <si>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</si>
  <si>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</si>
  <si>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</si>
  <si>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</si>
  <si>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</si>
  <si>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</si>
  <si>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</si>
  <si>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</si>
  <si>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</si>
  <si>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</si>
  <si>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</si>
  <si>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</si>
  <si>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</si>
  <si>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</si>
  <si>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</si>
  <si>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</si>
  <si>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</si>
  <si>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</si>
  <si>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</si>
  <si>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</si>
  <si>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</si>
  <si>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</si>
  <si>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</si>
  <si>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</si>
  <si>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</si>
  <si>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</si>
  <si>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</si>
  <si>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</si>
  <si>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</si>
  <si>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</si>
  <si>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</si>
  <si>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</si>
  <si>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</si>
  <si>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</si>
  <si>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</si>
  <si>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</si>
  <si>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</si>
  <si>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</si>
  <si>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</si>
  <si>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</si>
  <si>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</si>
  <si>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</si>
  <si>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</si>
  <si>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</si>
  <si>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</si>
  <si>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</si>
  <si>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</si>
  <si>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</si>
  <si>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</si>
  <si>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</si>
  <si>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</si>
  <si>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</si>
  <si>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</si>
  <si>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</si>
  <si>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</si>
  <si>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</si>
  <si>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</si>
  <si>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</si>
  <si>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</si>
  <si>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</si>
  <si>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</si>
  <si>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</si>
  <si>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</si>
  <si>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</si>
  <si>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</si>
  <si>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</si>
  <si>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</si>
  <si>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</si>
  <si>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</si>
  <si>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</si>
  <si>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</si>
  <si>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</si>
  <si>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</si>
  <si>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</si>
  <si>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</si>
  <si>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</si>
  <si>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</si>
  <si>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</si>
  <si>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</si>
  <si>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</si>
  <si>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</si>
  <si>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</si>
  <si>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</si>
  <si>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</si>
  <si>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</si>
  <si>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</si>
  <si>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</si>
  <si>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</si>
  <si>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</si>
  <si>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</si>
  <si>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</si>
  <si>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</si>
  <si>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</si>
  <si>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</si>
  <si>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</si>
  <si>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</si>
  <si>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</si>
  <si>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</si>
  <si>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</si>
  <si>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</si>
  <si>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</si>
  <si>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</si>
  <si>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</si>
  <si>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</si>
  <si>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</si>
  <si>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</si>
  <si>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</si>
  <si>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</si>
  <si>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</si>
  <si>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</si>
  <si>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</si>
  <si>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</si>
  <si>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</si>
  <si>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</si>
  <si>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</si>
  <si>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</si>
  <si>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</si>
  <si>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</si>
  <si>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</si>
  <si>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</si>
  <si>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</si>
  <si>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</si>
  <si>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</si>
  <si>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</si>
  <si>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</si>
  <si>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</si>
  <si>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</si>
  <si>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</si>
  <si>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</si>
  <si>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</si>
  <si>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</si>
  <si>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</si>
  <si>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</si>
  <si>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</si>
  <si>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</si>
  <si>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</si>
  <si>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</si>
  <si>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</si>
  <si>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</si>
  <si>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</si>
  <si>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</si>
  <si>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</si>
  <si>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</si>
  <si>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</si>
  <si>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</si>
  <si>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</si>
  <si>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</si>
  <si>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</si>
  <si>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</si>
  <si>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</si>
  <si>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</si>
  <si>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</si>
  <si>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</si>
  <si>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</si>
  <si>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</si>
  <si>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</si>
  <si>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</si>
  <si>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</si>
  <si>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</si>
  <si>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</si>
  <si>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</si>
  <si>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</si>
  <si>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</si>
  <si>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</si>
  <si>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</si>
  <si>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</si>
  <si>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</si>
  <si>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</si>
  <si>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</si>
  <si>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</si>
  <si>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</si>
  <si>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</si>
  <si>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</si>
  <si>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</si>
  <si>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</si>
  <si>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</si>
  <si>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</si>
  <si>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</si>
  <si>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</si>
  <si>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</si>
  <si>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</si>
  <si>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</si>
  <si>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</si>
  <si>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</si>
  <si>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</si>
  <si>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</si>
  <si>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</si>
  <si>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</si>
  <si>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</si>
  <si>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</si>
  <si>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</si>
  <si>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</si>
  <si>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</si>
  <si>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</si>
  <si>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</si>
  <si>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</si>
  <si>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</si>
  <si>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</si>
  <si>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</si>
  <si>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</si>
  <si>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</si>
  <si>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</si>
  <si>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</si>
  <si>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</si>
  <si>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</si>
  <si>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</si>
  <si>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</si>
  <si>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</si>
  <si>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</si>
  <si>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</si>
  <si>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</si>
  <si>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</si>
  <si>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</si>
  <si>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</si>
  <si>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</si>
  <si>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</si>
  <si>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</si>
  <si>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</si>
  <si>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</si>
  <si>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</si>
  <si>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</si>
  <si>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</si>
  <si>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</si>
  <si>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</si>
  <si>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</si>
  <si>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</si>
  <si>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</si>
  <si>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</si>
  <si>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</si>
  <si>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</si>
  <si>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</si>
  <si>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</si>
  <si>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</si>
  <si>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</si>
  <si>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</si>
  <si>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</si>
  <si>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</si>
  <si>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</si>
  <si>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</si>
  <si>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</si>
  <si>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</si>
  <si>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</si>
  <si>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</si>
  <si>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</si>
  <si>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</si>
  <si>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</si>
  <si>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</si>
  <si>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</si>
  <si>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</si>
  <si>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</si>
  <si>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</si>
  <si>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</si>
  <si>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</si>
  <si>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</si>
  <si>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</si>
  <si>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</si>
  <si>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</si>
  <si>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</si>
  <si>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</si>
  <si>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</si>
  <si>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</si>
  <si>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</si>
  <si>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</si>
  <si>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</si>
  <si>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</si>
  <si>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</si>
  <si>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</si>
  <si>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</si>
  <si>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</si>
  <si>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</si>
  <si>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</si>
  <si>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</si>
  <si>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</si>
  <si>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</si>
  <si>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</si>
  <si>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</si>
  <si>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</si>
  <si>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</si>
  <si>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</si>
  <si>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</si>
  <si>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</si>
  <si>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</si>
  <si>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</si>
  <si>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</si>
  <si>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</si>
  <si>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</si>
  <si>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</si>
  <si>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</si>
  <si>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</si>
  <si>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</si>
  <si>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</si>
  <si>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</si>
  <si>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</si>
  <si>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</si>
  <si>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</si>
  <si>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</si>
  <si>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</si>
  <si>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</si>
  <si>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</si>
  <si>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</si>
  <si>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</si>
  <si>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</si>
  <si>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</si>
  <si>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</si>
  <si>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</si>
  <si>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</si>
  <si>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</si>
  <si>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</si>
  <si>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</si>
  <si>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</si>
  <si>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</si>
  <si>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</si>
  <si>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</si>
  <si>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</si>
  <si>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</si>
  <si>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</si>
  <si>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</si>
  <si>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</si>
  <si>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</si>
  <si>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</si>
  <si>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</si>
  <si>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</si>
  <si>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</si>
  <si>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</si>
  <si>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</si>
  <si>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</si>
  <si>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</si>
  <si>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</si>
  <si>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</si>
  <si>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</si>
  <si>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</si>
  <si>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</si>
  <si>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</si>
  <si>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</si>
  <si>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</si>
  <si>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</si>
  <si>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</si>
  <si>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</si>
  <si>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</si>
  <si>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</si>
  <si>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</si>
  <si>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</si>
  <si>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</si>
  <si>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</si>
  <si>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</si>
  <si>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</si>
  <si>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</si>
  <si>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</si>
  <si>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</si>
  <si>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</si>
  <si>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</si>
  <si>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</si>
  <si>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</si>
  <si>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</si>
  <si>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</si>
  <si>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</si>
  <si>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</si>
  <si>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</si>
  <si>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</si>
  <si>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</si>
  <si>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</si>
  <si>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</si>
  <si>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</si>
  <si>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</si>
  <si>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</si>
  <si>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</si>
  <si>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</si>
  <si>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</si>
  <si>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</si>
  <si>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</si>
  <si>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</si>
  <si>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</si>
  <si>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</si>
  <si>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</si>
  <si>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</si>
  <si>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</si>
  <si>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</si>
  <si>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</si>
  <si>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</si>
  <si>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</si>
  <si>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</si>
  <si>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</si>
  <si>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</si>
  <si>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</si>
  <si>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</si>
  <si>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</si>
  <si>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</si>
  <si>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</si>
  <si>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</si>
  <si>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</si>
  <si>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</si>
  <si>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</si>
  <si>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</si>
  <si>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</si>
  <si>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</si>
  <si>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</si>
  <si>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</si>
  <si>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</si>
  <si>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</si>
  <si>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</si>
  <si>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</si>
  <si>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</si>
  <si>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</si>
  <si>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</si>
  <si>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</si>
  <si>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</si>
  <si>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</si>
  <si>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</si>
  <si>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</si>
  <si>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</si>
  <si>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</si>
  <si>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</si>
  <si>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</si>
  <si>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</si>
  <si>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</si>
  <si>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</si>
  <si>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</si>
  <si>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</si>
  <si>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</si>
  <si>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</si>
  <si>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</si>
  <si>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</si>
  <si>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</si>
  <si>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</si>
  <si>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</si>
  <si>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</si>
  <si>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</si>
  <si>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</si>
  <si>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</si>
  <si>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</si>
  <si>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</si>
  <si>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</si>
  <si>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</si>
  <si>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</si>
  <si>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</si>
  <si>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</si>
  <si>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</si>
  <si>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</si>
  <si>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</si>
  <si>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</si>
  <si>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</si>
  <si>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</si>
  <si>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</si>
  <si>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</si>
  <si>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</si>
  <si>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</si>
  <si>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</si>
  <si>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</si>
  <si>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</si>
  <si>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</si>
  <si>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</si>
  <si>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</si>
  <si>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</si>
  <si>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</si>
  <si>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</si>
  <si>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</si>
  <si>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</si>
  <si>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</si>
  <si>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</si>
  <si>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</si>
  <si>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</si>
  <si>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</si>
  <si>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</si>
  <si>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</si>
  <si>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</si>
  <si>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</si>
  <si>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</si>
  <si>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</si>
  <si>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</si>
  <si>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</si>
  <si>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</si>
  <si>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</si>
  <si>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</si>
  <si>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</si>
  <si>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</si>
  <si>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</si>
  <si>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</si>
  <si>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</si>
  <si>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</si>
  <si>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</si>
  <si>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</si>
  <si>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</si>
  <si>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</si>
  <si>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</si>
  <si>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</si>
  <si>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</si>
  <si>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</si>
  <si>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</si>
  <si>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</si>
  <si>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</si>
  <si>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</si>
  <si>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</si>
  <si>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</si>
  <si>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</si>
  <si>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</si>
  <si>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</si>
  <si>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</si>
  <si>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</si>
  <si>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</si>
  <si>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</si>
  <si>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</si>
  <si>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</si>
  <si>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</si>
  <si>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</si>
  <si>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</si>
  <si>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</si>
  <si>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</si>
  <si>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</si>
  <si>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</si>
  <si>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</si>
  <si>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</si>
  <si>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</si>
  <si>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</si>
  <si>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</si>
  <si>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</si>
  <si>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</si>
  <si>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</si>
  <si>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</si>
  <si>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</si>
  <si>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</si>
  <si>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</si>
  <si>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</si>
  <si>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</si>
  <si>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</si>
  <si>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</si>
  <si>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</si>
  <si>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</si>
  <si>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</si>
  <si>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</si>
  <si>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</si>
  <si>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</si>
  <si>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</si>
  <si>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</si>
  <si>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</si>
  <si>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</si>
  <si>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</si>
  <si>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</si>
  <si>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</si>
  <si>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</si>
  <si>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</si>
  <si>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</si>
  <si>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</si>
  <si>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</si>
  <si>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</si>
  <si>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</si>
  <si>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</si>
  <si>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</si>
  <si>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</si>
  <si>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</si>
  <si>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</si>
  <si>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</si>
  <si>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</si>
  <si>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</si>
  <si>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</si>
  <si>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</si>
  <si>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</si>
  <si>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</si>
  <si>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</si>
  <si>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</si>
  <si>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</si>
  <si>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</si>
  <si>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</si>
  <si>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</si>
  <si>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</si>
  <si>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</si>
  <si>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</si>
  <si>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</si>
  <si>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</si>
  <si>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</si>
  <si>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</si>
  <si>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</si>
  <si>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</si>
  <si>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</si>
  <si>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</si>
  <si>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</si>
  <si>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</si>
  <si>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</si>
  <si>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</si>
  <si>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</si>
  <si>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</si>
  <si>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</si>
  <si>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</si>
  <si>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</si>
  <si>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</si>
  <si>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</si>
  <si>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</si>
  <si>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</si>
  <si>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</si>
  <si>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</si>
  <si>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</si>
  <si>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</si>
  <si>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</si>
  <si>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</si>
  <si>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</si>
  <si>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</si>
  <si>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</si>
  <si>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</si>
  <si>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</si>
  <si>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</si>
  <si>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</si>
  <si>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</si>
  <si>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</si>
  <si>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</si>
  <si>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</si>
  <si>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</si>
  <si>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</si>
  <si>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</si>
  <si>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</si>
  <si>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</si>
  <si>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</si>
  <si>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</si>
  <si>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</si>
  <si>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</si>
  <si>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</si>
  <si>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</si>
  <si>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</si>
  <si>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</si>
  <si>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</si>
  <si>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</si>
  <si>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</si>
  <si>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</si>
  <si>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</si>
  <si>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</si>
  <si>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</si>
  <si>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</si>
  <si>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</si>
  <si>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</si>
  <si>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</si>
  <si>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</si>
  <si>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</si>
  <si>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</si>
  <si>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</si>
  <si>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</si>
  <si>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</si>
  <si>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</si>
  <si>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</si>
  <si>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</si>
  <si>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</si>
  <si>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</si>
  <si>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</si>
  <si>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</si>
  <si>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</si>
  <si>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</si>
  <si>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</si>
  <si>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</si>
  <si>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</si>
  <si>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</si>
  <si>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</si>
  <si>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</si>
  <si>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</si>
  <si>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</si>
  <si>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</si>
  <si>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</si>
  <si>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</si>
  <si>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</si>
  <si>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</si>
  <si>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</si>
  <si>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</si>
  <si>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</si>
  <si>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</si>
  <si>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</si>
  <si>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</si>
  <si>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</si>
  <si>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</si>
  <si>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</si>
  <si>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</si>
  <si>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</si>
  <si>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</si>
  <si>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</si>
  <si>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</si>
  <si>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</si>
  <si>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</si>
  <si>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</si>
  <si>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</si>
  <si>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</si>
  <si>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</si>
  <si>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</si>
  <si>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</si>
  <si>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</si>
  <si>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</si>
  <si>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</si>
  <si>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</si>
  <si>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</si>
  <si>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</si>
  <si>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</si>
  <si>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</si>
  <si>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</si>
  <si>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</si>
  <si>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</si>
  <si>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</si>
  <si>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</si>
  <si>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</si>
  <si>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</si>
  <si>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</si>
  <si>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</si>
  <si>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</si>
  <si>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</si>
  <si>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</si>
  <si>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</si>
  <si>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</si>
  <si>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</si>
  <si>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</si>
  <si>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</si>
  <si>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</si>
  <si>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</si>
  <si>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</si>
  <si>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</si>
  <si>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</si>
  <si>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</si>
  <si>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</si>
  <si>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</si>
  <si>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</si>
  <si>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</si>
  <si>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</si>
  <si>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</si>
  <si>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</si>
  <si>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</si>
  <si>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</si>
  <si>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</si>
  <si>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</si>
  <si>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</si>
  <si>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</si>
  <si>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</si>
  <si>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</si>
  <si>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</si>
  <si>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</si>
  <si>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</si>
  <si>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</si>
  <si>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</si>
  <si>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</si>
  <si>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</si>
  <si>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</si>
  <si>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</si>
  <si>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</si>
  <si>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</si>
  <si>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</si>
  <si>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</si>
  <si>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</si>
  <si>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</si>
  <si>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</si>
  <si>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</si>
  <si>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</si>
  <si>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</si>
  <si>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</si>
  <si>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</si>
  <si>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</si>
  <si>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</si>
  <si>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</si>
  <si>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</si>
  <si>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</si>
  <si>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</si>
  <si>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</si>
  <si>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</si>
  <si>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</si>
  <si>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</si>
  <si>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</si>
  <si>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</si>
  <si>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</si>
  <si>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</si>
  <si>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</si>
  <si>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</si>
  <si>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</si>
  <si>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</si>
  <si>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</si>
  <si>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</si>
  <si>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</si>
  <si>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</si>
  <si>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</si>
  <si>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</si>
  <si>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</si>
  <si>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</si>
  <si>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</si>
  <si>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</si>
  <si>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</si>
  <si>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</si>
  <si>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</si>
  <si>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</si>
  <si>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</si>
  <si>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</si>
  <si>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</si>
  <si>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</si>
  <si>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</si>
  <si>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</si>
  <si>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</si>
  <si>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</si>
  <si>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</si>
  <si>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</si>
  <si>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</si>
  <si>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</si>
  <si>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</si>
  <si>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</si>
  <si>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</si>
  <si>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</si>
  <si>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</si>
  <si>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</si>
  <si>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</si>
  <si>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</si>
  <si>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</si>
  <si>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</si>
  <si>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</si>
  <si>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</si>
  <si>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</si>
  <si>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</si>
  <si>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</si>
  <si>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</si>
  <si>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</si>
  <si>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</si>
  <si>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</si>
  <si>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</si>
  <si>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</si>
  <si>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</si>
  <si>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</si>
  <si>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</si>
  <si>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</si>
  <si>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</si>
  <si>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</si>
  <si>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</si>
  <si>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</si>
  <si>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</si>
  <si>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</si>
  <si>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</si>
  <si>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</si>
  <si>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</si>
  <si>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</si>
  <si>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</si>
  <si>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</si>
  <si>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</si>
  <si>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</si>
  <si>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</si>
  <si>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</si>
  <si>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</si>
  <si>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</si>
  <si>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</si>
  <si>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</si>
  <si>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</si>
  <si>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</si>
  <si>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</si>
  <si>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</si>
  <si>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</si>
  <si>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</si>
  <si>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</si>
  <si>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</si>
  <si>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</si>
  <si>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</si>
  <si>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</si>
  <si>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</si>
  <si>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</si>
  <si>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</si>
  <si>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</si>
  <si>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</si>
  <si>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</si>
  <si>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</si>
  <si>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</si>
  <si>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</si>
  <si>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</si>
  <si>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</si>
  <si>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</si>
  <si>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</si>
  <si>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</si>
  <si>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</si>
  <si>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</si>
  <si>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</si>
  <si>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</si>
  <si>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</si>
  <si>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</si>
  <si>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</si>
  <si>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</si>
  <si>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</si>
  <si>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</si>
  <si>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</si>
  <si>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</si>
  <si>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</si>
  <si>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</si>
  <si>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</si>
  <si>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</si>
  <si>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</si>
  <si>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</si>
  <si>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</si>
  <si>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</si>
  <si>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</si>
  <si>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</si>
  <si>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</si>
  <si>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</si>
  <si>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</si>
  <si>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</si>
  <si>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</si>
  <si>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</si>
  <si>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</si>
  <si>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</si>
  <si>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</si>
  <si>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</si>
  <si>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</si>
  <si>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</si>
  <si>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</si>
  <si>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</si>
  <si>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</si>
  <si>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</si>
  <si>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</si>
  <si>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</si>
  <si>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</si>
  <si>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</si>
  <si>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</si>
  <si>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</si>
  <si>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</si>
  <si>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</si>
  <si>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</si>
  <si>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</si>
  <si>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</si>
  <si>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</si>
  <si>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</si>
  <si>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</si>
  <si>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</si>
  <si>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</si>
  <si>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</si>
  <si>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</si>
  <si>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</si>
  <si>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</si>
  <si>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</si>
  <si>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</si>
  <si>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</si>
  <si>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</si>
  <si>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</si>
  <si>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</si>
  <si>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</si>
  <si>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</si>
  <si>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</si>
  <si>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</si>
  <si>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</si>
  <si>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</si>
  <si>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</si>
  <si>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</si>
  <si>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</si>
  <si>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</si>
  <si>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</si>
  <si>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</si>
  <si>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</si>
  <si>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</si>
  <si>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</si>
  <si>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</si>
  <si>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</si>
  <si>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</si>
  <si>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</si>
  <si>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</si>
  <si>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</si>
  <si>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</si>
  <si>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</si>
  <si>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</si>
  <si>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</si>
  <si>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</si>
  <si>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</si>
  <si>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</si>
  <si>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</si>
  <si>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</si>
  <si>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</si>
  <si>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</si>
  <si>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</si>
  <si>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</si>
  <si>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</si>
  <si>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</si>
  <si>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</si>
  <si>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</si>
  <si>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</si>
  <si>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</si>
  <si>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</si>
  <si>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</si>
  <si>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</si>
  <si>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</si>
  <si>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</si>
  <si>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</si>
  <si>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</si>
  <si>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</si>
  <si>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</si>
  <si>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</si>
  <si>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</si>
  <si>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</si>
  <si>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</si>
  <si>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</si>
  <si>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</si>
  <si>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</si>
  <si>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</si>
  <si>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</si>
  <si>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</si>
  <si>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</si>
  <si>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</si>
  <si>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</si>
  <si>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</si>
  <si>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</si>
  <si>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</si>
  <si>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</si>
  <si>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</si>
  <si>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</si>
  <si>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</si>
  <si>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</si>
  <si>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</si>
  <si>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</si>
  <si>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</si>
  <si>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</si>
  <si>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</si>
  <si>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</si>
  <si>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</si>
  <si>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</si>
  <si>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</si>
  <si>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</si>
  <si>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</si>
  <si>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</si>
  <si>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</si>
  <si>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</si>
  <si>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</si>
  <si>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</si>
  <si>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</si>
  <si>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</si>
  <si>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</si>
  <si>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</si>
  <si>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</si>
  <si>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</si>
  <si>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</si>
  <si>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</si>
  <si>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</si>
  <si>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</si>
  <si>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</si>
  <si>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</si>
  <si>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</si>
  <si>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</si>
  <si>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</si>
  <si>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</si>
  <si>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</si>
  <si>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</si>
  <si>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</si>
  <si>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</si>
  <si>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</si>
  <si>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</si>
  <si>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</si>
  <si>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</si>
  <si>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</si>
  <si>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</si>
  <si>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</si>
  <si>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</si>
  <si>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</si>
  <si>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</si>
  <si>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</si>
  <si>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</si>
  <si>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</si>
  <si>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</si>
  <si>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</si>
  <si>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</si>
  <si>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</si>
  <si>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</si>
  <si>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</si>
  <si>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</si>
  <si>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</si>
  <si>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</si>
  <si>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</si>
  <si>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</si>
  <si>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</si>
  <si>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</si>
  <si>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</si>
  <si>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</si>
  <si>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</si>
  <si>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</si>
  <si>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</si>
  <si>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</si>
  <si>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</si>
  <si>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</si>
  <si>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</si>
  <si>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</si>
  <si>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</si>
  <si>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</si>
  <si>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</si>
  <si>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</si>
  <si>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</si>
  <si>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</si>
  <si>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</si>
  <si>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</si>
  <si>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</si>
  <si>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</si>
  <si>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</si>
  <si>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</si>
  <si>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</si>
  <si>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</si>
  <si>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</si>
  <si>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</si>
  <si>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</si>
  <si>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</si>
  <si>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</si>
  <si>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</si>
  <si>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</si>
  <si>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</si>
  <si>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</si>
  <si>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</si>
  <si>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</si>
  <si>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</si>
  <si>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</si>
  <si>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</si>
  <si>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</si>
  <si>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</si>
  <si>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</si>
  <si>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</si>
  <si>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</si>
  <si>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</si>
  <si>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</si>
  <si>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</si>
  <si>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</si>
  <si>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</si>
  <si>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</si>
  <si>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</si>
  <si>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</si>
  <si>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</si>
  <si>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</si>
  <si>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</si>
  <si>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</si>
  <si>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</si>
  <si>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</si>
  <si>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</si>
  <si>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</si>
  <si>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</si>
  <si>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</si>
  <si>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</si>
  <si>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</si>
  <si>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</si>
  <si>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</si>
  <si>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</si>
  <si>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</si>
  <si>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</si>
  <si>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</si>
  <si>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</si>
  <si>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</si>
  <si>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</si>
  <si>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</si>
  <si>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</si>
  <si>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</si>
  <si>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</si>
  <si>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</si>
  <si>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</si>
  <si>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</si>
  <si>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</si>
  <si>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</si>
  <si>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</si>
  <si>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</si>
  <si>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</si>
  <si>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</si>
  <si>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</si>
  <si>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</si>
  <si>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</si>
  <si>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</si>
  <si>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</si>
  <si>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</si>
  <si>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</si>
  <si>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</si>
  <si>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</si>
  <si>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</si>
  <si>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</si>
  <si>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</si>
  <si>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</si>
  <si>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</si>
  <si>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</si>
  <si>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</si>
  <si>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</si>
  <si>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</si>
  <si>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</si>
  <si>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</si>
  <si>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</si>
  <si>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</si>
  <si>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</si>
  <si>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</si>
  <si>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</si>
  <si>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</si>
  <si>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</si>
  <si>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</si>
  <si>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</si>
  <si>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</si>
  <si>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</si>
  <si>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</si>
  <si>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</si>
  <si>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</si>
  <si>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</si>
  <si>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</si>
  <si>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</si>
  <si>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</si>
  <si>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</si>
  <si>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</si>
  <si>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</si>
  <si>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</si>
  <si>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</si>
  <si>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</si>
  <si>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</si>
  <si>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</si>
  <si>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</si>
  <si>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</si>
  <si>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</si>
  <si>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</si>
  <si>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</si>
  <si>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</si>
  <si>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</si>
  <si>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</si>
  <si>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</si>
  <si>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</si>
  <si>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</si>
  <si>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</si>
  <si>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</si>
  <si>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</si>
  <si>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</si>
  <si>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</si>
  <si>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</si>
  <si>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</si>
  <si>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</si>
  <si>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</si>
  <si>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</si>
  <si>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</si>
  <si>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</si>
  <si>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</si>
  <si>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</si>
  <si>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</si>
  <si>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</si>
  <si>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</si>
  <si>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</si>
  <si>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</si>
  <si>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</si>
  <si>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</si>
  <si>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</si>
  <si>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</si>
  <si>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</si>
  <si>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</si>
  <si>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</si>
  <si>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</si>
  <si>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</si>
  <si>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</si>
  <si>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</si>
  <si>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</si>
  <si>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</si>
  <si>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</si>
  <si>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</si>
  <si>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</si>
  <si>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</si>
  <si>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</si>
  <si>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</si>
  <si>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</si>
  <si>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</si>
  <si>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</si>
  <si>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</si>
  <si>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</si>
  <si>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</si>
  <si>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</si>
  <si>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</si>
  <si>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</si>
  <si>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</si>
  <si>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</si>
  <si>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</si>
  <si>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</si>
  <si>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</si>
  <si>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</si>
  <si>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</si>
  <si>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</si>
  <si>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</si>
  <si>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</si>
  <si>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</si>
  <si>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</si>
  <si>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</si>
  <si>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</si>
  <si>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</si>
  <si>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</si>
  <si>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</si>
  <si>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</si>
  <si>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</si>
  <si>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</si>
  <si>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</si>
  <si>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</si>
  <si>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</si>
  <si>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</si>
  <si>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</si>
  <si>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</si>
  <si>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</si>
  <si>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</si>
  <si>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</si>
  <si>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</si>
  <si>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</si>
  <si>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</si>
  <si>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</si>
  <si>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</si>
  <si>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</si>
  <si>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</si>
  <si>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</si>
  <si>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</si>
  <si>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</si>
  <si>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</si>
  <si>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</si>
  <si>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</si>
  <si>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</si>
  <si>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</si>
  <si>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</si>
  <si>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</si>
  <si>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</si>
  <si>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</si>
  <si>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</si>
  <si>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</si>
  <si>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</si>
  <si>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</si>
  <si>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</si>
  <si>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</si>
  <si>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</si>
  <si>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</si>
  <si>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</si>
  <si>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</si>
  <si>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</si>
  <si>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</si>
  <si>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</si>
  <si>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</si>
  <si>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</si>
  <si>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</si>
  <si>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</si>
  <si>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</si>
  <si>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</si>
  <si>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</si>
  <si>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</si>
  <si>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</si>
  <si>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</si>
  <si>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</si>
  <si>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</si>
  <si>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</si>
  <si>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</si>
  <si>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</si>
  <si>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</si>
  <si>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</si>
  <si>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</si>
  <si>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</si>
  <si>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</si>
  <si>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</si>
  <si>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</si>
  <si>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</si>
  <si>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</si>
  <si>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</si>
  <si>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</si>
  <si>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</si>
  <si>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</si>
  <si>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</si>
  <si>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</si>
  <si>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</si>
  <si>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</si>
  <si>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</si>
  <si>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</si>
  <si>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</si>
  <si>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</si>
  <si>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</si>
  <si>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</si>
  <si>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</si>
  <si>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</si>
  <si>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</si>
  <si>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</si>
  <si>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</si>
  <si>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</si>
  <si>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</si>
  <si>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</si>
  <si>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</si>
  <si>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</si>
  <si>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</si>
  <si>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</si>
  <si>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</si>
  <si>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</si>
  <si>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</si>
  <si>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</si>
  <si>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</si>
  <si>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</si>
  <si>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</si>
  <si>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</si>
  <si>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</si>
  <si>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</si>
  <si>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</si>
  <si>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</si>
  <si>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</si>
  <si>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</si>
  <si>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</si>
  <si>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</si>
  <si>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</si>
  <si>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</si>
  <si>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</si>
  <si>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</si>
  <si>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</si>
  <si>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</si>
  <si>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</si>
  <si>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</si>
  <si>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</si>
  <si>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</si>
  <si>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</si>
  <si>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</si>
  <si>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</si>
  <si>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</si>
  <si>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</si>
  <si>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</si>
  <si>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</si>
  <si>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</si>
  <si>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</si>
  <si>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</si>
  <si>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</si>
  <si>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</si>
  <si>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</si>
  <si>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</si>
  <si>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</si>
  <si>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</si>
  <si>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</si>
  <si>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</si>
  <si>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</si>
  <si>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</si>
  <si>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</si>
  <si>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</si>
  <si>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</si>
  <si>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</si>
  <si>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</si>
  <si>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</si>
  <si>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</si>
  <si>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</si>
  <si>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</si>
  <si>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</si>
  <si>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</si>
  <si>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</si>
  <si>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</si>
  <si>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</si>
  <si>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</si>
  <si>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</si>
  <si>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</si>
  <si>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</si>
  <si>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</si>
  <si>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</si>
  <si>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</si>
  <si>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</si>
  <si>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</si>
  <si>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</si>
  <si>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</si>
  <si>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</si>
  <si>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</si>
  <si>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</si>
  <si>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</si>
  <si>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</si>
  <si>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</si>
  <si>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</si>
  <si>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</si>
  <si>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</si>
  <si>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</si>
  <si>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</si>
  <si>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</si>
  <si>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</si>
  <si>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</si>
  <si>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</si>
  <si>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</si>
  <si>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</si>
  <si>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</si>
  <si>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</si>
  <si>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</si>
  <si>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</si>
  <si>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</si>
  <si>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</si>
  <si>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</si>
  <si>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</si>
  <si>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</si>
  <si>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</si>
  <si>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</si>
  <si>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</si>
  <si>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</si>
  <si>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</si>
  <si>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</si>
  <si>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</si>
  <si>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</si>
  <si>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</si>
  <si>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</si>
  <si>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</si>
  <si>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</si>
  <si>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</si>
  <si>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</si>
  <si>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</si>
  <si>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</si>
  <si>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</si>
  <si>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</si>
  <si>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</si>
  <si>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</si>
  <si>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</si>
  <si>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</si>
  <si>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</si>
  <si>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</si>
  <si>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</si>
  <si>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</si>
  <si>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</si>
  <si>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</si>
  <si>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</si>
  <si>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</si>
  <si>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</si>
  <si>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</si>
  <si>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</si>
  <si>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</si>
  <si>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</si>
  <si>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</si>
  <si>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</si>
  <si>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</si>
  <si>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</si>
  <si>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</si>
  <si>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</si>
  <si>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</si>
  <si>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</si>
  <si>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</si>
  <si>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</si>
  <si>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</si>
  <si>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</si>
  <si>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</si>
  <si>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</si>
  <si>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</si>
  <si>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</si>
  <si>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</si>
  <si>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</si>
  <si>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</si>
  <si>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</si>
  <si>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</si>
  <si>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</si>
  <si>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</si>
  <si>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</si>
  <si>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</si>
  <si>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</si>
  <si>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</si>
  <si>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</si>
  <si>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</si>
  <si>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</si>
  <si>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</si>
  <si>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</si>
  <si>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</si>
  <si>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</si>
  <si>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</si>
  <si>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</si>
  <si>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</si>
  <si>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</si>
  <si>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</si>
  <si>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</si>
  <si>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</si>
  <si>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</si>
  <si>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</si>
  <si>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</si>
  <si>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</si>
  <si>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</si>
  <si>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</si>
  <si>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</si>
  <si>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</si>
  <si>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</si>
  <si>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</si>
  <si>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</si>
  <si>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</si>
  <si>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</si>
  <si>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</si>
  <si>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</si>
  <si>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</si>
  <si>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</si>
  <si>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</si>
  <si>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</si>
  <si>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</si>
  <si>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</si>
  <si>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</si>
  <si>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</si>
  <si>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</si>
  <si>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</si>
  <si>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</si>
  <si>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</si>
  <si>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</si>
  <si>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</si>
  <si>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</si>
  <si>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</si>
  <si>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</si>
  <si>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</si>
  <si>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</si>
  <si>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</si>
  <si>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</si>
  <si>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</si>
  <si>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</si>
  <si>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</si>
  <si>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</si>
  <si>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</si>
  <si>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</si>
  <si>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</si>
  <si>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</si>
  <si>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</si>
  <si>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</si>
  <si>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</si>
  <si>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</si>
  <si>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</si>
  <si>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</si>
  <si>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</si>
  <si>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</si>
  <si>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</si>
  <si>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</si>
  <si>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</si>
  <si>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</si>
  <si>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</si>
  <si>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</si>
  <si>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</si>
  <si>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</si>
  <si>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</si>
  <si>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</si>
  <si>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</si>
  <si>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</si>
  <si>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</si>
  <si>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</si>
  <si>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</si>
  <si>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</si>
  <si>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</si>
  <si>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</si>
  <si>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</si>
  <si>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</si>
  <si>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</si>
  <si>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</si>
  <si>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</si>
  <si>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</si>
  <si>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</si>
  <si>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</si>
  <si>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</si>
  <si>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</si>
  <si>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</si>
  <si>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</si>
  <si>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</si>
  <si>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</si>
  <si>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</si>
  <si>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</si>
  <si>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</si>
  <si>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</si>
  <si>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</si>
  <si>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</si>
  <si>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</si>
  <si>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</si>
  <si>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</si>
  <si>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</si>
  <si>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</si>
  <si>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</si>
  <si>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</si>
  <si>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</si>
  <si>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</si>
  <si>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</si>
  <si>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</si>
  <si>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</si>
  <si>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</si>
  <si>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</si>
  <si>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</si>
  <si>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</si>
  <si>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</si>
  <si>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</si>
  <si>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</si>
  <si>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</si>
  <si>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</si>
  <si>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</si>
  <si>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</si>
  <si>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</si>
  <si>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</si>
  <si>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</si>
  <si>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</si>
  <si>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</si>
  <si>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</si>
  <si>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</si>
  <si>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</si>
  <si>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</si>
  <si>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</si>
  <si>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</si>
  <si>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</si>
  <si>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</si>
  <si>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</si>
  <si>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</si>
  <si>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</si>
  <si>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</si>
  <si>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</si>
  <si>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</si>
  <si>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</si>
  <si>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</si>
  <si>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</si>
  <si>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</si>
  <si>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</si>
  <si>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</si>
  <si>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</si>
  <si>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</si>
  <si>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</si>
  <si>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</si>
  <si>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</si>
  <si>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</si>
  <si>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</si>
  <si>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</si>
  <si>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</si>
  <si>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</si>
  <si>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</si>
  <si>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</si>
  <si>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</si>
  <si>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</si>
  <si>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</si>
  <si>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</si>
  <si>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</si>
  <si>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</si>
  <si>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</si>
  <si>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</si>
  <si>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</si>
  <si>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</si>
  <si>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</si>
  <si>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</si>
  <si>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</si>
  <si>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</si>
  <si>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</si>
  <si>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</si>
  <si>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</si>
  <si>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</si>
  <si>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</si>
  <si>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</si>
  <si>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</si>
  <si>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</si>
  <si>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</si>
  <si>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</si>
  <si>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</si>
  <si>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</si>
  <si>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</si>
  <si>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</si>
  <si>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</si>
  <si>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</si>
  <si>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</si>
  <si>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</si>
  <si>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</si>
  <si>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</si>
  <si>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</si>
  <si>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</si>
  <si>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</si>
  <si>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</si>
  <si>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</si>
  <si>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</si>
  <si>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</si>
  <si>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</si>
  <si>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</si>
  <si>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</si>
  <si>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</si>
  <si>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</si>
  <si>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</si>
  <si>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</si>
  <si>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</si>
  <si>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</si>
  <si>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</si>
  <si>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</si>
  <si>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</si>
  <si>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</si>
  <si>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</si>
  <si>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</si>
  <si>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</si>
  <si>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</si>
  <si>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</si>
  <si>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</si>
  <si>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</si>
  <si>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</si>
  <si>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</si>
  <si>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</si>
  <si>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</si>
  <si>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</si>
  <si>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</si>
  <si>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</si>
  <si>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</si>
  <si>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</si>
  <si>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</si>
  <si>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</si>
  <si>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</si>
  <si>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</si>
  <si>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</si>
  <si>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</si>
  <si>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</si>
  <si>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</si>
  <si>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</si>
  <si>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</si>
  <si>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</si>
  <si>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</si>
  <si>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</si>
  <si>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</si>
  <si>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</si>
  <si>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</si>
  <si>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</si>
  <si>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</si>
  <si>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</si>
  <si>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</si>
  <si>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</si>
  <si>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</si>
  <si>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</si>
  <si>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</si>
  <si>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</si>
  <si>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</si>
  <si>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</si>
  <si>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</si>
  <si>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</si>
  <si>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</si>
  <si>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</si>
  <si>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</si>
  <si>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</si>
  <si>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</si>
  <si>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</si>
  <si>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</si>
  <si>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</si>
  <si>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</si>
  <si>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</si>
  <si>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</si>
  <si>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</si>
  <si>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</si>
  <si>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</si>
  <si>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</si>
  <si>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</si>
  <si>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</si>
  <si>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</si>
  <si>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</si>
  <si>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</si>
  <si>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</si>
  <si>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</si>
  <si>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</si>
  <si>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</si>
  <si>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</si>
  <si>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</si>
  <si>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</si>
  <si>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</si>
  <si>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</si>
  <si>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</si>
  <si>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</si>
  <si>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</si>
  <si>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</si>
  <si>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</si>
  <si>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</si>
  <si>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</si>
  <si>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</si>
  <si>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</si>
  <si>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</si>
  <si>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</si>
  <si>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</si>
  <si>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</si>
  <si>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</si>
  <si>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</si>
  <si>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</si>
  <si>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</si>
  <si>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</si>
  <si>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</si>
  <si>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</si>
  <si>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</si>
  <si>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</si>
  <si>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</si>
  <si>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</si>
  <si>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</si>
  <si>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</si>
  <si>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</si>
  <si>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</si>
  <si>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</si>
  <si>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</si>
  <si>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</si>
  <si>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</si>
  <si>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</si>
  <si>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</si>
  <si>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</si>
  <si>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</si>
  <si>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</si>
  <si>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</si>
  <si>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</si>
  <si>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</si>
  <si>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</si>
  <si>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</si>
  <si>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</si>
  <si>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</si>
  <si>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</si>
  <si>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</si>
  <si>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</si>
  <si>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</si>
  <si>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</si>
  <si>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</si>
  <si>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</si>
  <si>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</si>
  <si>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</si>
  <si>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</si>
  <si>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</si>
  <si>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</si>
  <si>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</si>
  <si>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</si>
  <si>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</si>
  <si>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</si>
  <si>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</si>
  <si>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</si>
  <si>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</si>
  <si>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</si>
  <si>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</si>
  <si>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</si>
  <si>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</si>
  <si>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</si>
  <si>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</si>
  <si>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</si>
  <si>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</si>
  <si>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</si>
  <si>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</si>
  <si>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</si>
  <si>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</si>
  <si>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</si>
  <si>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</si>
  <si>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</si>
  <si>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</si>
  <si>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</si>
  <si>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</si>
  <si>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</si>
  <si>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</si>
  <si>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</si>
  <si>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</si>
  <si>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</si>
  <si>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</si>
  <si>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</si>
  <si>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</si>
  <si>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</si>
  <si>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</si>
  <si>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</si>
  <si>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</si>
  <si>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</si>
  <si>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</si>
  <si>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</si>
  <si>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</si>
  <si>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</si>
  <si>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</si>
  <si>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</si>
  <si>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</si>
  <si>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</si>
  <si>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</si>
  <si>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</si>
  <si>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</si>
  <si>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</si>
  <si>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</si>
  <si>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</si>
  <si>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</si>
  <si>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</si>
  <si>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</si>
  <si>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</si>
  <si>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</si>
  <si>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</si>
  <si>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</si>
  <si>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</si>
  <si>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</si>
  <si>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</si>
  <si>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</si>
  <si>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</si>
  <si>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</si>
  <si>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</si>
  <si>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</si>
  <si>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</si>
  <si>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</si>
  <si>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</si>
  <si>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</si>
  <si>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</si>
  <si>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</si>
  <si>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</si>
  <si>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</si>
  <si>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</si>
  <si>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</si>
  <si>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</si>
  <si>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</si>
  <si>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</si>
  <si>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</si>
  <si>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</si>
  <si>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</si>
  <si>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</si>
  <si>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</si>
  <si>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</si>
  <si>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</si>
  <si>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</si>
  <si>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</si>
  <si>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</si>
  <si>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</si>
  <si>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</si>
  <si>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</si>
  <si>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</si>
  <si>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</si>
  <si>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</si>
  <si>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</si>
  <si>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</si>
  <si>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</si>
  <si>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</si>
  <si>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</si>
  <si>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</si>
  <si>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</si>
  <si>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</si>
  <si>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</si>
  <si>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</si>
  <si>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</si>
  <si>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</si>
  <si>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</si>
  <si>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</si>
  <si>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</si>
  <si>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</si>
  <si>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</si>
  <si>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</si>
  <si>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</si>
  <si>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</si>
  <si>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</si>
  <si>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</si>
  <si>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</si>
  <si>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</si>
  <si>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</si>
  <si>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</si>
  <si>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</si>
  <si>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</si>
  <si>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</si>
  <si>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</si>
  <si>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</si>
  <si>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</si>
  <si>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</si>
  <si>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</si>
  <si>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</si>
  <si>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</si>
  <si>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</si>
  <si>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</si>
  <si>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</si>
  <si>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</si>
  <si>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</si>
  <si>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</si>
  <si>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</si>
  <si>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</si>
  <si>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</si>
  <si>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</si>
  <si>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</si>
  <si>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</si>
  <si>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</si>
  <si>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</si>
  <si>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</si>
  <si>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</si>
  <si>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</si>
  <si>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</si>
  <si>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</si>
  <si>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</si>
  <si>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</si>
  <si>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</si>
  <si>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</si>
  <si>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</si>
  <si>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</si>
  <si>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</si>
  <si>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</si>
  <si>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</si>
  <si>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</si>
  <si>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</si>
  <si>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</si>
  <si>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</si>
  <si>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</si>
  <si>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</si>
  <si>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</si>
  <si>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</si>
  <si>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</si>
  <si>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</si>
  <si>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</si>
  <si>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</si>
  <si>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</si>
  <si>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</si>
  <si>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</si>
  <si>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</si>
  <si>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</si>
  <si>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</si>
  <si>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</si>
  <si>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</si>
  <si>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</si>
  <si>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</si>
  <si>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</si>
  <si>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</si>
  <si>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</si>
  <si>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</si>
  <si>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</si>
  <si>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</si>
  <si>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</si>
  <si>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</si>
  <si>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</si>
  <si>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</si>
  <si>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</si>
  <si>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</si>
  <si>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</si>
  <si>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</si>
  <si>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</si>
  <si>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</si>
  <si>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</si>
  <si>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</si>
  <si>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</si>
  <si>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</si>
  <si>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</si>
  <si>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</si>
  <si>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</si>
  <si>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</si>
  <si>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</si>
  <si>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</si>
  <si>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</si>
  <si>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</si>
  <si>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</si>
  <si>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</si>
  <si>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</si>
  <si>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</si>
  <si>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</si>
  <si>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</si>
  <si>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</si>
  <si>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</si>
  <si>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</si>
  <si>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</si>
  <si>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</si>
  <si>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</si>
  <si>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</si>
  <si>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</si>
  <si>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</si>
  <si>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</si>
  <si>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</si>
  <si>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</si>
  <si>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</si>
  <si>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</si>
  <si>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</si>
  <si>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</si>
  <si>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</si>
  <si>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</si>
  <si>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</si>
  <si>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</si>
  <si>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</si>
  <si>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</si>
  <si>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</si>
  <si>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</si>
  <si>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</si>
  <si>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</si>
  <si>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</si>
  <si>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</si>
  <si>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</si>
  <si>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</si>
  <si>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</si>
  <si>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</si>
  <si>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</si>
  <si>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</si>
  <si>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</si>
  <si>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</si>
  <si>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</si>
  <si>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</si>
  <si>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</si>
  <si>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</si>
  <si>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</si>
  <si>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</si>
  <si>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</si>
  <si>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</si>
  <si>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</si>
  <si>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</si>
  <si>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</si>
  <si>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</si>
  <si>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</si>
  <si>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</si>
  <si>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</si>
  <si>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</si>
  <si>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</si>
  <si>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</si>
  <si>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</si>
  <si>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</si>
  <si>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</si>
  <si>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</si>
  <si>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</si>
  <si>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</si>
  <si>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</si>
  <si>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</si>
  <si>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</si>
  <si>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</si>
  <si>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</si>
  <si>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</si>
  <si>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</si>
  <si>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</si>
  <si>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</si>
  <si>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</si>
  <si>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</si>
  <si>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</si>
  <si>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</si>
  <si>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</si>
  <si>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</si>
  <si>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</si>
  <si>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</si>
  <si>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</si>
  <si>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</si>
  <si>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</si>
  <si>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</si>
  <si>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</si>
  <si>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</si>
  <si>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</si>
  <si>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</si>
  <si>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</si>
  <si>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</si>
  <si>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</si>
  <si>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</si>
  <si>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</si>
  <si>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</si>
  <si>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</si>
  <si>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</si>
  <si>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</si>
  <si>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</si>
  <si>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</si>
  <si>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</si>
  <si>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</si>
  <si>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</si>
  <si>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</si>
  <si>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</si>
  <si>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</si>
  <si>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</si>
  <si>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</si>
  <si>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</si>
  <si>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</si>
  <si>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</si>
  <si>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</si>
  <si>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</si>
  <si>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</si>
  <si>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</si>
  <si>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</si>
  <si>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</si>
  <si>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</si>
  <si>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</si>
  <si>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</si>
  <si>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</si>
  <si>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</si>
  <si>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</si>
  <si>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</si>
  <si>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</si>
  <si>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</si>
  <si>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</si>
  <si>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</si>
  <si>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</si>
  <si>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</si>
  <si>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</si>
  <si>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</si>
  <si>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</si>
  <si>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</si>
  <si>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</si>
  <si>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</si>
  <si>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</si>
  <si>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</si>
  <si>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</si>
  <si>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</si>
  <si>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</si>
  <si>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</si>
  <si>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</si>
  <si>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</si>
  <si>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</si>
  <si>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</si>
  <si>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</si>
  <si>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</si>
  <si>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</si>
  <si>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</si>
  <si>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</si>
  <si>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</si>
  <si>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</si>
  <si>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</si>
  <si>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</si>
  <si>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</si>
  <si>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</si>
  <si>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</si>
  <si>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</si>
  <si>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</si>
  <si>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</si>
  <si>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</si>
  <si>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</si>
  <si>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</si>
  <si>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</si>
  <si>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</si>
  <si>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</si>
  <si>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</si>
  <si>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</si>
  <si>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</si>
  <si>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</si>
  <si>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</si>
  <si>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</si>
  <si>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</si>
  <si>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</si>
  <si>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</si>
  <si>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</si>
  <si>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</si>
  <si>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</si>
  <si>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</si>
  <si>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</si>
  <si>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</si>
  <si>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</si>
  <si>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</si>
  <si>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</si>
  <si>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</si>
  <si>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</si>
  <si>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</si>
  <si>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</si>
  <si>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</si>
  <si>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</si>
  <si>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</si>
  <si>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</si>
  <si>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</si>
  <si>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</si>
  <si>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</si>
  <si>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</si>
  <si>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</si>
  <si>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</si>
  <si>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</si>
  <si>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</si>
  <si>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</si>
  <si>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</si>
  <si>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</si>
  <si>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</si>
  <si>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</si>
  <si>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</si>
  <si>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</si>
  <si>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</si>
  <si>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</si>
  <si>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</si>
  <si>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</si>
  <si>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</si>
  <si>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</si>
  <si>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</si>
  <si>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</si>
  <si>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</si>
  <si>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</si>
  <si>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</si>
  <si>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</si>
  <si>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</si>
  <si>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</si>
  <si>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</si>
  <si>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</si>
  <si>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</si>
  <si>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</si>
  <si>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</si>
  <si>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</si>
  <si>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</si>
  <si>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</si>
  <si>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</si>
  <si>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</si>
  <si>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</si>
  <si>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</si>
  <si>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</si>
  <si>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</si>
  <si>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</si>
  <si>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</si>
  <si>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</si>
  <si>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</si>
  <si>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</si>
  <si>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</si>
  <si>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</si>
  <si>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</si>
  <si>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</si>
  <si>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</si>
  <si>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</si>
  <si>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</si>
  <si>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</si>
  <si>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</si>
  <si>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</si>
  <si>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</si>
  <si>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</si>
  <si>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</si>
  <si>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</si>
  <si>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</si>
  <si>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</si>
  <si>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</si>
  <si>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</si>
  <si>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</si>
  <si>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</si>
  <si>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</si>
  <si>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</si>
  <si>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</si>
  <si>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</si>
  <si>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</si>
  <si>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</si>
  <si>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</si>
  <si>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</si>
  <si>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</si>
  <si>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</si>
  <si>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</si>
  <si>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</si>
  <si>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</si>
  <si>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</si>
  <si>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</si>
  <si>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</si>
  <si>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</si>
  <si>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</si>
  <si>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</si>
  <si>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</si>
  <si>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</si>
  <si>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</si>
  <si>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</si>
  <si>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</si>
  <si>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</si>
  <si>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</si>
  <si>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</si>
  <si>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</si>
  <si>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</si>
  <si>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</si>
  <si>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</si>
  <si>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</si>
  <si>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</si>
  <si>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</si>
  <si>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</si>
  <si>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</si>
  <si>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</si>
  <si>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</si>
  <si>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</si>
  <si>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</si>
  <si>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</si>
  <si>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</si>
  <si>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</si>
  <si>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</si>
  <si>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</si>
  <si>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</si>
  <si>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</si>
  <si>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</si>
  <si>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</si>
  <si>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</si>
  <si>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</si>
  <si>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</si>
  <si>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</si>
  <si>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</si>
  <si>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</si>
  <si>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</si>
  <si>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</si>
  <si>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</si>
  <si>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</si>
  <si>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</si>
  <si>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</si>
  <si>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</si>
  <si>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</si>
  <si>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</si>
  <si>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</si>
  <si>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</si>
  <si>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</si>
  <si>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</si>
  <si>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</si>
  <si>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</si>
  <si>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</si>
  <si>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</si>
  <si>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</si>
  <si>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</si>
  <si>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</si>
  <si>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</si>
  <si>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</si>
  <si>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</si>
  <si>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</si>
  <si>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</si>
  <si>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</si>
  <si>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</si>
  <si>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</si>
  <si>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</si>
  <si>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</si>
  <si>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</si>
  <si>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</si>
  <si>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</si>
  <si>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</si>
  <si>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</si>
  <si>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</si>
  <si>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</si>
  <si>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</si>
  <si>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</si>
  <si>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</si>
  <si>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</si>
  <si>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</si>
  <si>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</si>
  <si>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</si>
  <si>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</si>
  <si>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</si>
  <si>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</si>
  <si>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</si>
  <si>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</si>
  <si>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</si>
  <si>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</si>
  <si>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</si>
  <si>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</si>
  <si>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</si>
  <si>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</si>
  <si>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</si>
  <si>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</si>
  <si>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</si>
  <si>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</si>
  <si>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</si>
  <si>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</si>
  <si>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</si>
  <si>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</si>
  <si>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</si>
  <si>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</si>
  <si>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</si>
  <si>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</si>
  <si>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</si>
  <si>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</si>
  <si>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</si>
  <si>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</si>
  <si>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</si>
  <si>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</si>
  <si>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</si>
  <si>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</si>
  <si>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</si>
  <si>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</si>
  <si>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</si>
  <si>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</si>
  <si>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</si>
  <si>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</si>
  <si>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</si>
  <si>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</si>
  <si>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</si>
  <si>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</si>
  <si>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</si>
  <si>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</si>
  <si>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</si>
  <si>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</si>
  <si>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</si>
  <si>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</si>
  <si>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</si>
  <si>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</si>
  <si>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</si>
  <si>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</si>
  <si>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</si>
  <si>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</si>
  <si>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</si>
  <si>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</si>
  <si>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</si>
  <si>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</si>
  <si>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</si>
  <si>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</si>
  <si>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</si>
  <si>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</si>
  <si>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</si>
  <si>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</si>
  <si>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</si>
  <si>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</si>
  <si>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</si>
  <si>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</si>
  <si>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</si>
  <si>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</si>
  <si>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</si>
  <si>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</si>
  <si>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</si>
  <si>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</si>
  <si>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</si>
  <si>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</si>
  <si>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</si>
  <si>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</si>
  <si>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</si>
  <si>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</si>
  <si>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</si>
  <si>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</si>
  <si>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</si>
  <si>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</si>
  <si>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</si>
  <si>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</si>
  <si>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</si>
  <si>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</si>
  <si>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</si>
  <si>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</si>
  <si>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</si>
  <si>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</si>
  <si>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</si>
  <si>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</si>
  <si>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</si>
  <si>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</si>
  <si>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</si>
  <si>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</si>
  <si>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</si>
  <si>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</si>
  <si>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</si>
  <si>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</si>
  <si>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</si>
  <si>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</si>
  <si>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</si>
  <si>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</si>
  <si>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</si>
  <si>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</si>
  <si>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</si>
  <si>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</si>
  <si>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</si>
  <si>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</si>
  <si>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</si>
  <si>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</si>
  <si>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</si>
  <si>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</si>
  <si>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</si>
  <si>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</si>
  <si>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</si>
  <si>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</si>
  <si>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</si>
  <si>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</si>
  <si>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</si>
  <si>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</si>
  <si>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</si>
  <si>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</si>
  <si>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</si>
  <si>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</si>
  <si>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</si>
  <si>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</si>
  <si>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</si>
  <si>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</si>
  <si>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</si>
  <si>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</si>
  <si>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</si>
  <si>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</si>
  <si>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</si>
  <si>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</si>
  <si>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</si>
  <si>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</si>
  <si>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</si>
  <si>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</si>
  <si>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</si>
  <si>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</si>
  <si>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</si>
  <si>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</si>
  <si>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</si>
  <si>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</si>
  <si>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</si>
  <si>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</si>
  <si>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</si>
  <si>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</si>
  <si>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</si>
  <si>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</si>
  <si>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</si>
  <si>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</si>
  <si>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</si>
  <si>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</si>
  <si>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</si>
  <si>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</si>
  <si>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</si>
  <si>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</si>
  <si>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</si>
  <si>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</si>
  <si>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</si>
  <si>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</si>
  <si>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</si>
  <si>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</si>
  <si>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</si>
  <si>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</si>
  <si>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</si>
  <si>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</si>
  <si>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</si>
  <si>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</si>
  <si>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</si>
  <si>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</si>
  <si>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</si>
  <si>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</si>
  <si>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</si>
  <si>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</si>
  <si>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</si>
  <si>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</si>
  <si>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</si>
  <si>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</si>
  <si>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</si>
  <si>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</si>
  <si>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</si>
  <si>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</si>
  <si>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</si>
  <si>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</si>
  <si>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</si>
  <si>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</si>
  <si>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</si>
  <si>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</si>
  <si>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</si>
  <si>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</si>
  <si>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</si>
  <si>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</si>
  <si>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</si>
  <si>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</si>
  <si>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</si>
  <si>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</si>
  <si>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</si>
  <si>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</si>
  <si>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</si>
  <si>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</si>
  <si>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</si>
  <si>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</si>
  <si>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</si>
  <si>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</si>
  <si>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</si>
  <si>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</si>
  <si>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</si>
  <si>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</si>
  <si>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</si>
  <si>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</si>
  <si>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</si>
  <si>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</si>
  <si>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</si>
  <si>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</si>
  <si>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</si>
  <si>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</si>
  <si>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</si>
  <si>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</si>
  <si>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</si>
  <si>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</si>
  <si>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</si>
  <si>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</si>
  <si>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</si>
  <si>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</si>
  <si>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</si>
  <si>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</si>
  <si>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</si>
  <si>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</si>
  <si>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</si>
  <si>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</si>
  <si>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</si>
  <si>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</si>
  <si>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</si>
  <si>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</si>
  <si>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</si>
  <si>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</si>
  <si>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</si>
  <si>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</si>
  <si>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</si>
  <si>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</si>
  <si>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</si>
  <si>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</si>
  <si>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</si>
  <si>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</si>
  <si>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</si>
  <si>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</si>
  <si>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</si>
  <si>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</si>
  <si>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</si>
  <si>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</si>
  <si>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</si>
  <si>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</si>
  <si>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</si>
  <si>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</si>
  <si>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</si>
  <si>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</si>
  <si>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</si>
  <si>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</si>
  <si>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</si>
  <si>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</si>
  <si>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</si>
  <si>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</si>
  <si>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</si>
  <si>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</si>
  <si>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</si>
  <si>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</si>
  <si>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</si>
  <si>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</si>
  <si>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</si>
  <si>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</si>
  <si>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</si>
  <si>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</si>
  <si>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</si>
  <si>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</si>
  <si>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</si>
  <si>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</si>
  <si>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</si>
  <si>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</si>
  <si>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</si>
  <si>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</si>
  <si>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</si>
  <si>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</si>
  <si>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</si>
  <si>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</si>
  <si>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</si>
  <si>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</si>
  <si>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</si>
  <si>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</si>
  <si>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</si>
  <si>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</si>
  <si>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</si>
  <si>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</si>
  <si>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</si>
  <si>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</si>
  <si>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</si>
  <si>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</si>
  <si>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</si>
  <si>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</si>
  <si>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</si>
  <si>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</si>
  <si>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</si>
  <si>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</si>
  <si>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</si>
  <si>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</si>
  <si>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</si>
  <si>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</si>
  <si>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</si>
  <si>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</si>
  <si>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</si>
  <si>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</si>
  <si>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</si>
  <si>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</si>
  <si>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</si>
  <si>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</si>
  <si>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</si>
  <si>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</si>
  <si>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</si>
  <si>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</si>
  <si>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</si>
  <si>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</si>
  <si>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</si>
  <si>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</si>
  <si>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</si>
  <si>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</si>
  <si>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</si>
  <si>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</si>
  <si>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</si>
  <si>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</si>
  <si>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</si>
  <si>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</si>
  <si>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</si>
  <si>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</si>
  <si>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</si>
  <si>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</si>
  <si>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</si>
  <si>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</si>
  <si>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</si>
  <si>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</si>
  <si>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</si>
  <si>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</si>
  <si>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</si>
  <si>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</si>
  <si>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</si>
  <si>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</si>
  <si>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</si>
  <si>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</si>
  <si>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</si>
  <si>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</si>
  <si>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</si>
  <si>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</si>
  <si>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</si>
  <si>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</si>
  <si>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</si>
  <si>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</si>
  <si>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</si>
  <si>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</si>
  <si>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</si>
  <si>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</si>
  <si>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</si>
  <si>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</si>
  <si>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</si>
  <si>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</si>
  <si>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</si>
  <si>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</si>
  <si>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</si>
  <si>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</si>
  <si>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</si>
  <si>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</si>
  <si>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</si>
  <si>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</si>
  <si>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</si>
  <si>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</si>
  <si>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</si>
  <si>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</si>
  <si>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</si>
  <si>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</si>
  <si>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</si>
  <si>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</si>
  <si>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</si>
  <si>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</si>
  <si>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</si>
  <si>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</si>
  <si>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</si>
  <si>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</si>
  <si>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</si>
  <si>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</si>
  <si>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</si>
  <si>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</si>
  <si>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</si>
  <si>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</si>
  <si>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</si>
  <si>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</si>
  <si>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</si>
  <si>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</si>
  <si>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</si>
  <si>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</si>
  <si>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</si>
  <si>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</si>
  <si>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</si>
  <si>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</si>
  <si>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</si>
  <si>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</si>
  <si>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</si>
  <si>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</si>
  <si>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</si>
  <si>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</si>
  <si>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</si>
  <si>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</si>
  <si>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</si>
  <si>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</si>
  <si>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</si>
  <si>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</si>
  <si>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</si>
  <si>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</si>
  <si>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</si>
  <si>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</si>
  <si>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</si>
  <si>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</si>
  <si>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</si>
  <si>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</si>
  <si>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</si>
  <si>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</si>
  <si>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</si>
  <si>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</si>
  <si>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</si>
  <si>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</si>
  <si>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</si>
  <si>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</si>
  <si>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</si>
  <si>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</si>
  <si>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</si>
  <si>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</si>
  <si>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</si>
  <si>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</si>
  <si>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</si>
  <si>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</si>
  <si>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</si>
  <si>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</si>
  <si>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</si>
  <si>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</si>
  <si>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</si>
  <si>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</si>
  <si>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</si>
  <si>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</si>
  <si>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</si>
  <si>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</si>
  <si>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</si>
  <si>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</si>
  <si>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</si>
  <si>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</si>
  <si>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</si>
  <si>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</si>
  <si>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</si>
  <si>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</si>
  <si>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</si>
  <si>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</si>
  <si>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</si>
  <si>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</si>
  <si>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</si>
  <si>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</si>
  <si>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</si>
  <si>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</si>
  <si>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</si>
  <si>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</si>
  <si>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</si>
  <si>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</si>
  <si>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</si>
  <si>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</si>
  <si>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</si>
  <si>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</si>
  <si>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</si>
  <si>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</si>
  <si>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</si>
  <si>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</si>
  <si>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</si>
  <si>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</si>
  <si>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</si>
  <si>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</si>
  <si>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</si>
  <si>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</si>
  <si>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</si>
  <si>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</si>
  <si>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</si>
  <si>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</si>
  <si>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</si>
  <si>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</si>
  <si>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</si>
  <si>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</si>
  <si>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</si>
  <si>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</si>
  <si>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</si>
  <si>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</si>
  <si>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</si>
  <si>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</si>
  <si>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</si>
  <si>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</si>
  <si>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</si>
  <si>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</si>
  <si>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</si>
  <si>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</si>
  <si>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</si>
  <si>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</si>
  <si>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</si>
  <si>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</si>
  <si>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</si>
  <si>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</si>
  <si>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</si>
  <si>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</si>
  <si>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</si>
  <si>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</si>
  <si>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</si>
  <si>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</si>
  <si>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</si>
  <si>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</si>
  <si>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</si>
  <si>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</si>
  <si>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</si>
  <si>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</si>
  <si>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</si>
  <si>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</si>
  <si>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</si>
  <si>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</si>
  <si>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</si>
  <si>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</si>
  <si>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</si>
  <si>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</si>
  <si>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</si>
  <si>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</si>
  <si>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</si>
  <si>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</si>
  <si>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</si>
  <si>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</si>
  <si>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</si>
  <si>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</si>
  <si>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</si>
  <si>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</si>
  <si>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</si>
  <si>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</si>
  <si>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</si>
  <si>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</si>
  <si>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</si>
  <si>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</si>
  <si>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</si>
  <si>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</si>
  <si>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</si>
  <si>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</si>
  <si>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</si>
  <si>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</si>
  <si>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</si>
  <si>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</si>
  <si>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</si>
  <si>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</si>
  <si>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</si>
  <si>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</si>
  <si>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</si>
  <si>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</si>
  <si>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</si>
  <si>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</si>
  <si>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</si>
  <si>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</si>
  <si>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</si>
  <si>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</si>
  <si>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</si>
  <si>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</si>
  <si>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</si>
  <si>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</si>
  <si>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</si>
  <si>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</si>
  <si>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</si>
  <si>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</si>
  <si>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</si>
  <si>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</si>
  <si>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</si>
  <si>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</si>
  <si>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</si>
  <si>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</si>
  <si>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</si>
  <si>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</si>
  <si>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</si>
  <si>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</si>
  <si>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</si>
  <si>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</si>
  <si>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</si>
  <si>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</si>
  <si>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</si>
  <si>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</si>
  <si>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</si>
  <si>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</si>
  <si>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</si>
  <si>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</si>
  <si>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</si>
  <si>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</si>
  <si>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</si>
  <si>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</si>
  <si>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</si>
  <si>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</si>
  <si>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</si>
  <si>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</si>
  <si>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</si>
  <si>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</si>
  <si>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</si>
  <si>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</si>
  <si>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</si>
  <si>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</si>
  <si>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</si>
  <si>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</si>
  <si>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</si>
  <si>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</si>
  <si>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</si>
  <si>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</si>
  <si>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</si>
  <si>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</si>
  <si>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</si>
  <si>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</si>
  <si>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</si>
  <si>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</si>
  <si>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</si>
  <si>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</si>
  <si>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</si>
  <si>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</si>
  <si>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2023-2</t>
  </si>
  <si>
    <t>2023-4</t>
  </si>
  <si>
    <t>2023-3</t>
  </si>
  <si>
    <t>抵押</t>
  </si>
  <si>
    <t>房地产抵押价值</t>
  </si>
  <si>
    <t>北京市</t>
  </si>
  <si>
    <t>企业</t>
  </si>
  <si>
    <t>是</t>
  </si>
  <si>
    <t>地上</t>
  </si>
  <si>
    <t>地下</t>
  </si>
  <si>
    <t>车库—商业</t>
  </si>
  <si>
    <t>商业</t>
    <phoneticPr fontId="7" type="noConversion"/>
  </si>
  <si>
    <t>利息：取LPR加浮动点数</t>
  </si>
  <si>
    <t>地上商业</t>
    <phoneticPr fontId="3" type="noConversion"/>
  </si>
  <si>
    <t>地下商业</t>
    <phoneticPr fontId="3" type="noConversion"/>
  </si>
  <si>
    <t>地下车库</t>
    <phoneticPr fontId="3" type="noConversion"/>
  </si>
  <si>
    <t>成新度</t>
  </si>
  <si>
    <t>收益法</t>
  </si>
  <si>
    <t>押一</t>
  </si>
  <si>
    <t>钢混</t>
  </si>
  <si>
    <t>非生产用房</t>
  </si>
  <si>
    <t>否</t>
  </si>
  <si>
    <t>项目模式</t>
  </si>
  <si>
    <t>售价</t>
  </si>
  <si>
    <t>序号</t>
    <phoneticPr fontId="3" type="noConversion"/>
  </si>
  <si>
    <t>项目</t>
    <phoneticPr fontId="3" type="noConversion"/>
  </si>
  <si>
    <t>城市</t>
    <phoneticPr fontId="3" type="noConversion"/>
  </si>
  <si>
    <t>行政区</t>
    <phoneticPr fontId="3" type="noConversion"/>
  </si>
  <si>
    <t>物业类型</t>
    <phoneticPr fontId="3" type="noConversion"/>
  </si>
  <si>
    <t>计价面积（平方米）</t>
    <phoneticPr fontId="3" type="noConversion"/>
  </si>
  <si>
    <t>季度</t>
    <phoneticPr fontId="3" type="noConversion"/>
  </si>
  <si>
    <t>年份</t>
    <phoneticPr fontId="3" type="noConversion"/>
  </si>
  <si>
    <t>卖方</t>
    <phoneticPr fontId="3" type="noConversion"/>
  </si>
  <si>
    <t>买房</t>
    <phoneticPr fontId="3" type="noConversion"/>
  </si>
  <si>
    <t>总价（百万元）</t>
    <phoneticPr fontId="3" type="noConversion"/>
  </si>
  <si>
    <t>单价（元/平方米）</t>
    <phoneticPr fontId="3" type="noConversion"/>
  </si>
  <si>
    <t>交易方式</t>
    <phoneticPr fontId="3" type="noConversion"/>
  </si>
  <si>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</si>
  <si>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</si>
  <si>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</si>
  <si>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</si>
  <si>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</si>
  <si>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</si>
  <si>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</si>
  <si>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</si>
  <si>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</si>
  <si>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</si>
  <si>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零售</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</si>
  <si>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</si>
  <si>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</si>
  <si>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</si>
  <si>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</si>
  <si>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</si>
  <si>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</si>
  <si>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</si>
  <si>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</si>
  <si>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</si>
  <si>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公寓</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</si>
  <si>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</si>
  <si>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</si>
  <si>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</si>
  <si>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</si>
  <si>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</si>
  <si>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</si>
  <si>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</si>
  <si>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</si>
  <si>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</si>
  <si>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</si>
  <si>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</si>
  <si>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</si>
  <si>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</si>
  <si>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</si>
  <si>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</si>
  <si>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</si>
  <si>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</si>
  <si>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</si>
  <si>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</si>
  <si>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</si>
  <si>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商务园区</t>
    </r>
  </si>
  <si>
    <r>
      <rPr>
        <sz val="8"/>
        <rFont val="宋体"/>
        <family val="3"/>
        <charset val="134"/>
        <scheme val="minor"/>
      </rPr>
      <t>Q3</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</si>
  <si>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</si>
  <si>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</si>
  <si>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三元NEO-CitiGo酒店</t>
    </r>
  </si>
  <si>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</si>
  <si>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</si>
  <si>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</si>
  <si>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</si>
  <si>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</si>
  <si>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</si>
  <si>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</si>
  <si>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</si>
  <si>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</si>
  <si>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</si>
  <si>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</si>
  <si>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中粮</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</si>
  <si>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</si>
  <si>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</si>
  <si>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华润</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</si>
  <si>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</si>
  <si>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</si>
  <si>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</si>
  <si>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</si>
  <si>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</si>
  <si>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</si>
  <si>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</si>
  <si>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</si>
  <si>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</si>
  <si>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</si>
  <si>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</si>
  <si>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</si>
  <si>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</si>
  <si>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</si>
  <si>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</si>
  <si>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</si>
  <si>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</si>
  <si>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</si>
  <si>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</si>
  <si>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</si>
  <si>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</si>
  <si>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</si>
  <si>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</si>
  <si>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</si>
  <si>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</si>
  <si>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</si>
  <si>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</si>
  <si>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</si>
  <si>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</si>
  <si>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</si>
  <si>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</si>
  <si>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</si>
  <si>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</si>
  <si>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</si>
  <si>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</si>
  <si>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</si>
  <si>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</si>
  <si>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</si>
  <si>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</si>
  <si>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</si>
  <si>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私人投资者</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</si>
  <si>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</si>
  <si>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</si>
  <si>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</si>
  <si>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</si>
  <si>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</si>
  <si>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</si>
  <si>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t>正常</t>
  </si>
  <si>
    <t>商业</t>
    <phoneticPr fontId="30" type="noConversion"/>
  </si>
  <si>
    <t>办公</t>
    <phoneticPr fontId="30" type="noConversion"/>
  </si>
  <si>
    <t>办公</t>
    <phoneticPr fontId="30" type="noConversion"/>
  </si>
  <si>
    <t>好</t>
    <phoneticPr fontId="30" type="noConversion"/>
  </si>
  <si>
    <t>较好</t>
    <phoneticPr fontId="30" type="noConversion"/>
  </si>
  <si>
    <t>大</t>
    <phoneticPr fontId="30" type="noConversion"/>
  </si>
  <si>
    <t>一般</t>
    <phoneticPr fontId="30" type="noConversion"/>
  </si>
  <si>
    <t>较大</t>
    <phoneticPr fontId="30" type="noConversion"/>
  </si>
  <si>
    <t>较大</t>
    <phoneticPr fontId="30" type="noConversion"/>
  </si>
  <si>
    <t>一般</t>
    <phoneticPr fontId="30" type="noConversion"/>
  </si>
  <si>
    <t>较小</t>
    <phoneticPr fontId="30" type="noConversion"/>
  </si>
  <si>
    <t>小</t>
    <phoneticPr fontId="30" type="noConversion"/>
  </si>
  <si>
    <t>三点三大厦商铺租约表</t>
  </si>
  <si>
    <t>华顿国际投资有限公司</t>
  </si>
  <si>
    <t>商户基础信息</t>
  </si>
  <si>
    <t>2023年1月1日-2023年3月31日的单价标准
（元/天.平方米）</t>
  </si>
  <si>
    <t>本次计费天数</t>
  </si>
  <si>
    <t>2023年第1季度费用金额</t>
  </si>
  <si>
    <t>楼层</t>
  </si>
  <si>
    <t>商铺编号</t>
  </si>
  <si>
    <t>商户的公司名称</t>
  </si>
  <si>
    <t>商户法人的姓名</t>
  </si>
  <si>
    <t xml:space="preserve"> 合同开始日期 </t>
  </si>
  <si>
    <t xml:space="preserve"> 合同终止日期 </t>
  </si>
  <si>
    <t xml:space="preserve"> 计费面积（平方米） </t>
  </si>
  <si>
    <t>租金</t>
  </si>
  <si>
    <t>推广费</t>
  </si>
  <si>
    <t>物业费</t>
  </si>
  <si>
    <t xml:space="preserve"> 合计 </t>
  </si>
  <si>
    <t>阿维塔新能源汽车科技（上海）有限公司</t>
  </si>
  <si>
    <t>马欣捷</t>
  </si>
  <si>
    <t>北京买来宝服装有限公司</t>
  </si>
  <si>
    <t>陆宇</t>
  </si>
  <si>
    <t>北京星巴克咖啡有限公司</t>
  </si>
  <si>
    <t>蔡德粦</t>
  </si>
  <si>
    <t xml:space="preserve"> -   </t>
  </si>
  <si>
    <t>北京李宁体育用品销售有限公司</t>
  </si>
  <si>
    <t>金翟宣</t>
  </si>
  <si>
    <t>北京乐基商贸有限公司</t>
  </si>
  <si>
    <t>陈韵媞</t>
  </si>
  <si>
    <t>北京戴丽凯斯服装有限公司</t>
  </si>
  <si>
    <t>黄东杰</t>
  </si>
  <si>
    <t>北京圣桃俐铂贸易有限公司</t>
  </si>
  <si>
    <t>黄皓</t>
  </si>
  <si>
    <t>北京名玳商贸有限公司</t>
  </si>
  <si>
    <t>张楠</t>
  </si>
  <si>
    <t>北京宇田日韩商贸有限公司</t>
  </si>
  <si>
    <t>空铺</t>
  </si>
  <si>
    <t>北京大步刘商贸有限公司</t>
  </si>
  <si>
    <t>刘婷婷</t>
  </si>
  <si>
    <t>北京枫丹德兰贸易有限公司</t>
  </si>
  <si>
    <t>张琪</t>
  </si>
  <si>
    <t>焙可锐（北京）餐饮管理有限公司</t>
  </si>
  <si>
    <t>纪翰奇</t>
  </si>
  <si>
    <t>北京敏坤服装服饰有限公司朝阳分公司</t>
  </si>
  <si>
    <t>严敏</t>
  </si>
  <si>
    <t>北京得格吉日纳商贸有限公司三里屯分公司</t>
  </si>
  <si>
    <t>吕鸿德</t>
  </si>
  <si>
    <t>北京圣卓百力贸易有限公司</t>
  </si>
  <si>
    <t>北京吉泰天翔贸易有限公司</t>
  </si>
  <si>
    <t>徐兴万</t>
  </si>
  <si>
    <t>北京意美欧国际贸易有限公司</t>
  </si>
  <si>
    <t>高连军</t>
  </si>
  <si>
    <t>北京骐锶商贸有限公司</t>
  </si>
  <si>
    <t>刘浏</t>
  </si>
  <si>
    <t>戴柯斯（北京）服装服饰有限公司</t>
  </si>
  <si>
    <t>沈一凡</t>
  </si>
  <si>
    <t>北京艾仕咖啡有限公司</t>
  </si>
  <si>
    <t>屈玉仑</t>
  </si>
  <si>
    <t>锦盛华瑞（北京）商贸有限公司</t>
  </si>
  <si>
    <t>刘晓红</t>
  </si>
  <si>
    <t>北京黄界国际服饰有限公司</t>
  </si>
  <si>
    <t>胡晓旭</t>
  </si>
  <si>
    <t>北京铭嘉智诚商贸有限公司</t>
  </si>
  <si>
    <t>孙娜</t>
  </si>
  <si>
    <t>北京山海一品文化传播有限公司北京第四分公司</t>
  </si>
  <si>
    <t>潘劭光</t>
  </si>
  <si>
    <t>北京意菁服饰文化发展有限公司</t>
  </si>
  <si>
    <t>戴意菁</t>
  </si>
  <si>
    <t>刘鲁彬</t>
  </si>
  <si>
    <t>北京英帝原创贸易有限公司</t>
  </si>
  <si>
    <t>王丽</t>
  </si>
  <si>
    <t>北京服刻古思服装有限公司</t>
  </si>
  <si>
    <t>李亚龙</t>
  </si>
  <si>
    <t>北京智诚国际投资有限公司</t>
  </si>
  <si>
    <t>北京三里屯喜鹊商贸有限公司</t>
  </si>
  <si>
    <t>李锐</t>
  </si>
  <si>
    <t>北京索伦莫根服装有限公司</t>
  </si>
  <si>
    <t>卢战禹</t>
  </si>
  <si>
    <t>香水店</t>
  </si>
  <si>
    <t>北京乌菲滋国际珠宝贸易有限责任公司</t>
  </si>
  <si>
    <t>何敏</t>
  </si>
  <si>
    <t>刘更更</t>
  </si>
  <si>
    <t>杭州弗图布斯影像科技有限公司</t>
  </si>
  <si>
    <t>耿一博</t>
  </si>
  <si>
    <t>北京真相国际商贸有限公司</t>
  </si>
  <si>
    <t>陈亚梅</t>
  </si>
  <si>
    <t>北京小小香宠商贸有限公司</t>
  </si>
  <si>
    <t>吴萌萌</t>
  </si>
  <si>
    <t xml:space="preserve">北京凯硕贸易有限责任公司 </t>
  </si>
  <si>
    <t>海鸿达（北京）餐饮管理有限公司</t>
  </si>
  <si>
    <t>梁杨兵</t>
  </si>
  <si>
    <t xml:space="preserve">北京市丽雅玉指美甲连锁有限责任公司 </t>
  </si>
  <si>
    <t>张文涛</t>
  </si>
  <si>
    <t>北京菊子骨筋小颜美容有限公司</t>
  </si>
  <si>
    <t>王贵菊</t>
  </si>
  <si>
    <t>美杜（北京）美容有限公司</t>
  </si>
  <si>
    <t>崔艳慧</t>
  </si>
  <si>
    <t>北京旺角纯尚寄卖行有限公司</t>
  </si>
  <si>
    <t>张贺然</t>
  </si>
  <si>
    <t>北京滔天巨浪商贸有限公司</t>
  </si>
  <si>
    <t>刘向杰</t>
  </si>
  <si>
    <t>北京丝古瑞特服饰贸易有限公司</t>
  </si>
  <si>
    <t>杨晓芬</t>
  </si>
  <si>
    <t>北京静默商贸有限公司</t>
  </si>
  <si>
    <t>王敬秋</t>
  </si>
  <si>
    <t>北京腾迪制俪商贸有限公司</t>
  </si>
  <si>
    <t>刘梦怀</t>
  </si>
  <si>
    <t>合意艺剪（北京）形象设计有限公司</t>
  </si>
  <si>
    <t>李磊</t>
  </si>
  <si>
    <t>北京月光女神商贸有限公司</t>
  </si>
  <si>
    <t>涂小萍</t>
  </si>
  <si>
    <t>北京不颜为衣服饰文化有限公司</t>
  </si>
  <si>
    <t>索琳娜</t>
  </si>
  <si>
    <t>北京月光女神美容有限公司</t>
  </si>
  <si>
    <t>梁微</t>
  </si>
  <si>
    <t>刘继平</t>
  </si>
  <si>
    <t>北京瑞丰享珠宝有限公司</t>
  </si>
  <si>
    <t>朱勇</t>
  </si>
  <si>
    <t>北京鼎盛祥服装服饰有限公司</t>
  </si>
  <si>
    <t>高俊</t>
  </si>
  <si>
    <t>北京子熙商贸有限公司</t>
  </si>
  <si>
    <t>尹子茹</t>
  </si>
  <si>
    <t>北京熙贝儿服装有限公司</t>
  </si>
  <si>
    <t>北京米可可美容有限公司</t>
  </si>
  <si>
    <t>陈清利</t>
  </si>
  <si>
    <t>郭凯</t>
  </si>
  <si>
    <t>北京两个半餐饮管理有限公司</t>
  </si>
  <si>
    <t>王子延</t>
  </si>
  <si>
    <t>北京束爷烧食餐饮管理有限公司</t>
  </si>
  <si>
    <t>杨泽束</t>
  </si>
  <si>
    <t>北京维克多赵餐饮管理有限公司</t>
  </si>
  <si>
    <t>宋天祺</t>
  </si>
  <si>
    <t>北京七面餐饮管理有限公司</t>
  </si>
  <si>
    <t>韩潮</t>
  </si>
  <si>
    <t>北京我爱仁品餐饮管理有限公司</t>
  </si>
  <si>
    <t>梁柏川</t>
  </si>
  <si>
    <t>北京乐紫晨餐饮管理有限公司</t>
  </si>
  <si>
    <t>刘雯怡</t>
  </si>
  <si>
    <t>北京很久以前三点三餐饮有限公司</t>
  </si>
  <si>
    <t>张鹏</t>
  </si>
  <si>
    <t>北京峰山家餐饮管理有限公司</t>
  </si>
  <si>
    <t>王建</t>
  </si>
  <si>
    <t>北京牛王进京餐饮有限公司</t>
  </si>
  <si>
    <t>林辉才</t>
  </si>
  <si>
    <t>肥佬大（北京）餐饮管理有限公司</t>
  </si>
  <si>
    <t>张蕊</t>
  </si>
  <si>
    <t>十十餐饮管理（北京）有限公司</t>
  </si>
  <si>
    <t>沈永波</t>
  </si>
  <si>
    <t>北京正与阳餐饮有限公司</t>
  </si>
  <si>
    <t>郑晶伟</t>
  </si>
  <si>
    <t>北京四眼仔餐饮有限公司</t>
  </si>
  <si>
    <t>蒋林</t>
  </si>
  <si>
    <t xml:space="preserve">北京程心程意餐饮中心 </t>
  </si>
  <si>
    <t>郑成瑶</t>
  </si>
  <si>
    <t>33号雲茶舍</t>
  </si>
  <si>
    <t>怒克（北京）健身有限公司</t>
  </si>
  <si>
    <t>王韬诚</t>
  </si>
  <si>
    <t>律持兴观（北京）体育发展有限公司</t>
  </si>
  <si>
    <t>杨扬</t>
  </si>
  <si>
    <t>北京可芭兰丝企业管理有限公司</t>
  </si>
  <si>
    <t>刘丹</t>
  </si>
  <si>
    <t>B1</t>
  </si>
  <si>
    <t>B1001</t>
  </si>
  <si>
    <t>北京伊惟达网吧有限公司</t>
  </si>
  <si>
    <t>B1002</t>
  </si>
  <si>
    <t>北京承敏贸易有限责任公司</t>
  </si>
  <si>
    <t>王敏</t>
  </si>
  <si>
    <t>B1003</t>
  </si>
  <si>
    <t>北京摩崎稀餐饮管理有限公司</t>
  </si>
  <si>
    <t>郑文洁</t>
  </si>
  <si>
    <t>B1006</t>
  </si>
  <si>
    <t>和美艺生（北京）文化传播有限公司</t>
  </si>
  <si>
    <t>吴迪迪</t>
  </si>
  <si>
    <t>B1007</t>
  </si>
  <si>
    <t>北京美嘉复古文化传播有限公司三里屯分公司</t>
  </si>
  <si>
    <t>刘可</t>
  </si>
  <si>
    <t>B1009</t>
  </si>
  <si>
    <t>上海俪索贸易有限公司</t>
  </si>
  <si>
    <t>张亮</t>
  </si>
  <si>
    <t>B1011</t>
  </si>
  <si>
    <t>北京翼麟寄卖有限公司</t>
  </si>
  <si>
    <t>宋永乐</t>
  </si>
  <si>
    <t>B1012</t>
  </si>
  <si>
    <t>北京舶莱国际贸易有限公司</t>
  </si>
  <si>
    <t>翟昊</t>
  </si>
  <si>
    <t>B1013</t>
  </si>
  <si>
    <t>北京多帕恺客餐饮有限公司</t>
  </si>
  <si>
    <t>郑鹏</t>
  </si>
  <si>
    <t>B1015</t>
  </si>
  <si>
    <t>北京双面盛世企业管理有限公司</t>
  </si>
  <si>
    <t>陈萌</t>
  </si>
  <si>
    <t>B1016</t>
  </si>
  <si>
    <t>北京复古卡洛菀贸易有限公司</t>
  </si>
  <si>
    <t>贾思琪</t>
  </si>
  <si>
    <t>B1017</t>
  </si>
  <si>
    <t>北京尚流服装有限公司</t>
  </si>
  <si>
    <t>马巍</t>
  </si>
  <si>
    <t>B1018</t>
  </si>
  <si>
    <t>北京镝尚贸易有限公司</t>
  </si>
  <si>
    <t>那磊</t>
  </si>
  <si>
    <t>B1019</t>
  </si>
  <si>
    <t>B1020</t>
  </si>
  <si>
    <t>北京杂司谷国际贸易有限公司</t>
  </si>
  <si>
    <t>孙克旗</t>
  </si>
  <si>
    <t>B1021</t>
  </si>
  <si>
    <t>北京盛世彩桥劳务服务有限公司</t>
  </si>
  <si>
    <t>张刚</t>
  </si>
  <si>
    <t>B1022</t>
  </si>
  <si>
    <t>北京拉克斯王文化有限责任公司</t>
  </si>
  <si>
    <t>王超</t>
  </si>
  <si>
    <t>B1023</t>
  </si>
  <si>
    <t>海生金刚（北京）文化发展有限公司</t>
  </si>
  <si>
    <t>王曼</t>
  </si>
  <si>
    <t>B1026</t>
  </si>
  <si>
    <t>北京逸洲餐饮管理有限公司</t>
  </si>
  <si>
    <t>周琳</t>
  </si>
  <si>
    <t>B1027</t>
  </si>
  <si>
    <t>北京舜林餐饮管理有限公司</t>
  </si>
  <si>
    <t>B1028</t>
  </si>
  <si>
    <t>北京壹合玖餐饮管理有限公司</t>
  </si>
  <si>
    <t>B1118</t>
  </si>
  <si>
    <t>北京数十载商贸有限公司</t>
  </si>
  <si>
    <t>周野桥</t>
  </si>
  <si>
    <t>B2</t>
  </si>
  <si>
    <t>B2020</t>
  </si>
  <si>
    <t>吕欣</t>
  </si>
  <si>
    <t>B224</t>
  </si>
  <si>
    <t>北京龙凤兴业服装商贸有限公司</t>
  </si>
  <si>
    <t>姜淑荣</t>
  </si>
  <si>
    <t>B226</t>
  </si>
  <si>
    <t>北京梦想车酷科技有限公司</t>
  </si>
  <si>
    <t>蔡鑫鑫</t>
  </si>
  <si>
    <t>情况3</t>
  </si>
  <si>
    <t>自行开发建设</t>
  </si>
  <si>
    <t>非个人房产</t>
  </si>
  <si>
    <t>总价</t>
  </si>
  <si>
    <t>收益比率</t>
  </si>
  <si>
    <t>出让金+开发费</t>
  </si>
  <si>
    <t>企业提供（在右侧录入）</t>
  </si>
  <si>
    <r>
      <rPr>
        <b/>
        <sz val="10"/>
        <color theme="1"/>
        <rFont val="宋体"/>
        <family val="3"/>
        <charset val="134"/>
      </rPr>
      <t>评估总值</t>
    </r>
    <phoneticPr fontId="8" type="noConversion"/>
  </si>
  <si>
    <t>诺德中心</t>
    <phoneticPr fontId="133" type="noConversion"/>
  </si>
  <si>
    <t>地上面积</t>
  </si>
  <si>
    <t>单价</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</si>
  <si>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</si>
  <si>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</si>
  <si>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</si>
  <si>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</si>
  <si>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</si>
  <si>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</si>
  <si>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</si>
  <si>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</si>
  <si>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</si>
  <si>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</si>
  <si>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</si>
  <si>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</si>
  <si>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</si>
  <si>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</si>
  <si>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</si>
  <si>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</si>
  <si>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</si>
  <si>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</si>
  <si>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</si>
  <si>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</si>
  <si>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</si>
  <si>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</si>
  <si>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</si>
  <si>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</si>
  <si>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</si>
  <si>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</si>
  <si>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</si>
  <si>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</si>
  <si>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</si>
  <si>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</si>
  <si>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</si>
  <si>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</si>
  <si>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</si>
  <si>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</si>
  <si>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</si>
  <si>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</si>
  <si>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</si>
  <si>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</si>
  <si>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</si>
  <si>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</si>
  <si>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</si>
  <si>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</si>
  <si>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</si>
  <si>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</si>
  <si>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</si>
  <si>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</si>
  <si>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</si>
  <si>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</si>
  <si>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</si>
  <si>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</si>
  <si>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</si>
  <si>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</si>
  <si>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</si>
  <si>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</si>
  <si>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</si>
  <si>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</si>
  <si>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</si>
  <si>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</si>
  <si>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</si>
  <si>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</si>
  <si>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</si>
  <si>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</si>
  <si>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</si>
  <si>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</si>
  <si>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</si>
  <si>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</si>
  <si>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</si>
  <si>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</si>
  <si>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</si>
  <si>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</si>
  <si>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</si>
  <si>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</si>
  <si>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</si>
  <si>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</si>
  <si>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</si>
  <si>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</si>
  <si>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</si>
  <si>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</si>
  <si>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</si>
  <si>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</si>
  <si>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</si>
  <si>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</si>
  <si>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</si>
  <si>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</si>
  <si>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</si>
  <si>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</si>
  <si>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</si>
  <si>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</si>
  <si>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</si>
  <si>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</si>
  <si>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</si>
  <si>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</si>
  <si>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</si>
  <si>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</si>
  <si>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</si>
  <si>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</si>
  <si>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</si>
  <si>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</si>
  <si>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</si>
  <si>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</si>
  <si>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</si>
  <si>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</si>
  <si>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</si>
  <si>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</si>
  <si>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</si>
  <si>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</si>
  <si>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</si>
  <si>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</si>
  <si>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</si>
  <si>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</si>
  <si>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</si>
  <si>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</si>
  <si>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</si>
  <si>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</si>
  <si>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</si>
  <si>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</si>
  <si>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</si>
  <si>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</si>
  <si>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</si>
  <si>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</si>
  <si>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</si>
  <si>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</si>
  <si>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</si>
  <si>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</si>
  <si>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</si>
  <si>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</si>
  <si>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</si>
  <si>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</si>
  <si>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</si>
  <si>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</si>
  <si>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</si>
  <si>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</si>
  <si>
    <t>比较法-商业-2021案例</t>
  </si>
  <si>
    <t>比较法-商业-2021案例</t>
    <phoneticPr fontId="16" type="noConversion"/>
  </si>
  <si>
    <t>较好</t>
    <phoneticPr fontId="133" type="noConversion"/>
  </si>
  <si>
    <t>七通</t>
    <phoneticPr fontId="133" type="noConversion"/>
  </si>
  <si>
    <t>支路</t>
    <phoneticPr fontId="133" type="noConversion"/>
  </si>
  <si>
    <t>商业</t>
    <phoneticPr fontId="30" type="noConversion"/>
  </si>
  <si>
    <t>20-30</t>
    <phoneticPr fontId="133" type="noConversion"/>
  </si>
  <si>
    <t>20-30</t>
    <phoneticPr fontId="133" type="noConversion"/>
  </si>
  <si>
    <t>30-40</t>
    <phoneticPr fontId="133" type="noConversion"/>
  </si>
  <si>
    <t>30-40</t>
    <phoneticPr fontId="133" type="noConversion"/>
  </si>
  <si>
    <t>一般</t>
    <phoneticPr fontId="30" type="noConversion"/>
  </si>
  <si>
    <t>好</t>
    <phoneticPr fontId="30" type="noConversion"/>
  </si>
  <si>
    <t>七通</t>
    <phoneticPr fontId="133" type="noConversion"/>
  </si>
  <si>
    <t>主干道</t>
    <phoneticPr fontId="133" type="noConversion"/>
  </si>
  <si>
    <t>次干道</t>
    <phoneticPr fontId="133" type="noConversion"/>
  </si>
  <si>
    <t>较大</t>
    <phoneticPr fontId="30" type="noConversion"/>
  </si>
  <si>
    <t>一般</t>
    <phoneticPr fontId="30" type="noConversion"/>
  </si>
  <si>
    <t>大</t>
    <phoneticPr fontId="30" type="noConversion"/>
  </si>
  <si>
    <t>地上17629.08</t>
    <phoneticPr fontId="133" type="noConversion"/>
  </si>
  <si>
    <t>地下车库8208.12</t>
    <phoneticPr fontId="133" type="noConversion"/>
  </si>
  <si>
    <t>地下办公6577.22</t>
    <phoneticPr fontId="133" type="noConversion"/>
  </si>
  <si>
    <t>设定地下为145928-110996</t>
    <phoneticPr fontId="133" type="noConversion"/>
  </si>
  <si>
    <t>设定地下38000-27765</t>
    <phoneticPr fontId="133" type="noConversion"/>
  </si>
  <si>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phoneticPr fontId="133" type="noConversion"/>
  </si>
  <si>
    <t>网络信息：CD座地上共计43200，成交34.05亿</t>
    <phoneticPr fontId="133" type="noConversion"/>
  </si>
  <si>
    <t>光熙门独栋</t>
    <phoneticPr fontId="133" type="noConversion"/>
  </si>
  <si>
    <t>本次计费天数（各月按自然天数计）</t>
  </si>
  <si>
    <t>按原合同或协议核算的“2023年第1季度应收费金额”</t>
  </si>
  <si>
    <t>2023年第1季度“优惠折扣”费用项目的金额</t>
  </si>
  <si>
    <t>优惠后的实际应收第1季度费用金额</t>
  </si>
  <si>
    <t>实际收取的“属于2023年第1季度承租费用”的金额
（下表已剔除实际收款中的非本季度承租费用）</t>
  </si>
  <si>
    <t>实际收费与减免后金额的差异对比
（应收款减实收款）</t>
  </si>
  <si>
    <t>差异原因分析</t>
  </si>
  <si>
    <t>合同开始日期</t>
  </si>
  <si>
    <t>合同终止日期</t>
  </si>
  <si>
    <t>合同上原收费标准</t>
  </si>
  <si>
    <t>计费面积（平方米）</t>
  </si>
  <si>
    <t>合计</t>
  </si>
  <si>
    <t>计费天数</t>
  </si>
  <si>
    <t>网络费</t>
  </si>
  <si>
    <t>垃圾清运费</t>
  </si>
  <si>
    <t>隔油费</t>
  </si>
  <si>
    <t>灯箱</t>
  </si>
  <si>
    <t>实收租金</t>
  </si>
  <si>
    <t>实收推广费</t>
  </si>
  <si>
    <t>实收物业费</t>
  </si>
  <si>
    <t>实收网费</t>
  </si>
  <si>
    <t>实收垃圾清运费</t>
  </si>
  <si>
    <t>实收隔油费</t>
  </si>
  <si>
    <t>实际收款合计</t>
  </si>
  <si>
    <t>租金的差异</t>
  </si>
  <si>
    <t>推广费的差异</t>
  </si>
  <si>
    <t>物业费的差异</t>
  </si>
  <si>
    <t>网费的差异</t>
  </si>
  <si>
    <t>垃圾清运费的差异</t>
  </si>
  <si>
    <t>隔油费的差异</t>
  </si>
  <si>
    <t>差异合计</t>
  </si>
  <si>
    <t>差异原因（正数为欠款）</t>
  </si>
  <si>
    <t>1</t>
  </si>
  <si>
    <t>暂定2022.2.15-2022.4.14为期59天的装修期，免收租金、推广费、物业管理费，开业日暂定2022.4.15，自2022.2.15-2024.2.29单价按65元计收，2024.3.1-2025.6.30单价按71.5元计收。租赁保证金1032038元，装修管理费15000元</t>
  </si>
  <si>
    <t>已结清</t>
  </si>
  <si>
    <t>2022.4.1-2023.3.31租赁费用打包价324000元/每月（单价：21.8元），2023.4.1-2024.3.31另行协商。2020.9.20-2021.3.31租赁费用每月按270000元（每日约为8.6元）；2021.4.1-2022.3.31租赁费用每月按300000元（每日约为10.4元）；（装修免租2020.9.20-2020.11.18 共60天）。</t>
  </si>
  <si>
    <t>满日历月：2020.7.31-2023.7.30租赁费用61670.4元/月（每日单价19.2元），物业费8993.6元/月（每日单价2.8元）；2023.7.31-2026.7.30租赁费用66604.03元/月（单价20.74元），物业费9700.24元/月（单价3.02元）；2026.7.31-2028.7.30租赁费用71932.35元/月（单价22.4元），物业费10503.24元/月（单价3.27元）。地下3层储藏室月租赁费用1200元（2021.8.31已撤出），厨余垃圾费用每月800元，有害垃圾费每月50元。网络费每年17000元，电费每度1.18元，水费每吨9.5元（专票：自来水4.2元，普票：水资源2.3元和污水费3元）打包价</t>
  </si>
  <si>
    <t>网费已预交，无欠款</t>
  </si>
  <si>
    <t>2022.8.20-2023.8.31期间租金单价按50.5元；2023.9.1-2024.8.31期间租金单价按55.5元；2024.9.1-2025.8.31租金单价按61.1元，免租期：2022.8.20-2022.11.17</t>
  </si>
  <si>
    <t>差额为2022年库房费</t>
  </si>
  <si>
    <t>自2022.10.1-2023.9.30租赁单价按32元核算，2023.10.1-2024.9.30增幅不高于10%，租赁保证金322295元，续租</t>
  </si>
  <si>
    <t>1021与1023店铺合并后店铺面积为137㎡，保底租赁费用现1023实际月租赁费用，2019.3.22-2020.3.31租赁费用按35元，2020.4.1-2021.3.31租赁费用单价37.8元，月付</t>
  </si>
  <si>
    <t>欠款</t>
  </si>
  <si>
    <t>续签2021.4.1-2022.3.31租赁费用按28.8元，2022.4.1-2023.3.31租赁费用单价按28.8元计收。</t>
  </si>
  <si>
    <t>2022.4.1-2023.3.31月打包价35000元（单价按11.85元），为1059店铺扩店部分2021.4.15-2022.3.31租赁费用按每月35000元（每日约为12元）。（免租期2021.4.15-2021.5.5）</t>
  </si>
  <si>
    <t>续签2021.4.1-2022.3.31租赁费用按27元（装修免租2020.4.1-2020.5.31 共61天），2022.4.1-2023.3.31单价按27元计收，2023.4.1-2024.3.31单价按上一年度另行协商。</t>
  </si>
  <si>
    <t>为1053店铺扩店部分，2019.8.25-2020.9.30租赁费用按17元,2020.10.1-2022.3.31租赁费用每月按25000元（每日约为5.96元）（装修免租2019.8.25-2019.10.3）未安装网络。2022.4.1-2023.3.31打包价35000/每月（单价8.34元），2023.4.1-2.2024.3.31租赁费用另行协商。</t>
  </si>
  <si>
    <t>2022.4.1-2023.3.31租赁单价按24.5元计收，2023.4.1-2024.3.31另行协商。2020.4.1-2021.3.31租赁费用按24.5元，2021.4.1-2022.3.31租赁费用单价合计不高于10%</t>
  </si>
  <si>
    <t>2020.5.1-2021.3.31租赁费用按21元，2021.4.1-2022.3.31日租赁费用按25元，（装修期：2020.5.1-2020.6.30）未安装网络。2022.4.1-2023.3.31单价按25元计收，2023.4.1-2024.3.31租赁费用另行协商。</t>
  </si>
  <si>
    <t>2022.9.15-2023.8.31打包价11万元/月，2023.9.1-2024.8.31打包价12万元/月，2024.9.1-2025.8.31打包价13万元/月；2022.9.15-2022.10.29为免租期。</t>
  </si>
  <si>
    <t>原店铺编号为1109-2#变更为1088号2020.12.15-2021.12.31租赁费用按20.5元，2022.1.1-2022.12.31租赁费用按21.5元。（装修免租期：2020.12.15-2021.1.28共45天）</t>
  </si>
  <si>
    <t>装修期（免租）2022年8月3日至2022年8月17日，2022.8.3-2023.7.31打包价按25000/每月（租金单价约：15.47/每天/平方米）；2023.8.1-2024.7.31按打包价35000元/月（租金单价约21.66元/每天/每平方米），拆除押金11686元，</t>
  </si>
  <si>
    <t>前期预收977，已结清</t>
  </si>
  <si>
    <t>2020.4.1-2021.3.31租赁费用按23元，2021.4.1-2022.3.31租赁费用按25.3元。2022.4.1-2023.3.31租金单价按26.57元计收，2023.4.1-2024.3.31另行协商，（自第三季度改为打包价，需补充协议），月付</t>
  </si>
  <si>
    <t>回款中含2022年4季度租金</t>
  </si>
  <si>
    <t>2022.4.1-2023.3.31租赁单价按36.5元计收，2023.4.1-2024.3.31另行协商。2018.12.11-2019.12.31租赁费用按33元；2020.1.1-2020.12.31租赁费用按34.65元，2021.1.1-2021.12.31租赁费用按36.38元，2022.1.1-2022.3.31租赁费用按38.2元。（装修期：2018.12.11-2019.2.8）</t>
  </si>
  <si>
    <t>2022.1.16-2023.1.31租金单价按27元计收，2023.2.1-2024.1.31租金单价按29.7元核算，2024.2.1-2025.1.31租金单价按32.67元核算。</t>
  </si>
  <si>
    <t>差额25339元为疫情减免金额，一季度租金预收</t>
  </si>
  <si>
    <t>2021.6.10-2022.3.31租赁费用按20.5元；2022.4.1-2023.3.31租赁费用按21.5元。（装修期：2021.6.10-2021.7.24）</t>
  </si>
  <si>
    <t>2022.12.1-2024.3.31租金单价21.5元，装修免租期：2022.12.1-2022.12.31，租赁保证金20074元</t>
  </si>
  <si>
    <t>续签2021.6.20-2022.5.31租赁费用按36.18元，2022.6.1-2023.5.31租赁单价39.07元</t>
  </si>
  <si>
    <t>2023年4月1日之后按24.5元单价（含租金、推广费、物业费）</t>
  </si>
  <si>
    <t>2021.7.1-2022.6.30租赁费用按34.8元,2022.7.1-2023.6.30租赁费用按38.28元。（免租期：2021.7.1-2021.7.31），月付</t>
  </si>
  <si>
    <t>自2022.9.21-2023.9.30租金单价按36.5元核算，自2023.10.1-2024.9.30租金单价按38.33元核算。自2022.9.21-2022.10.20为免租期。</t>
  </si>
  <si>
    <t>2</t>
  </si>
  <si>
    <t>自2022.8.4-2023.3.31单价按21元核算，自2023.4.1-2024.3.31另行签署补充协议。</t>
  </si>
  <si>
    <t>2023年4月1日之后按21元单价（含租金、推广费、物业费）</t>
  </si>
  <si>
    <t>流水扣款租金收入</t>
  </si>
  <si>
    <t>2022.8.20-2023.8.31期间租金单价按25.5元；2023.9.1-2024.8.31期间租金单价按28元；2024.9.1-2025.8.31租金单价按30.8元，免租期：2022.8.20-2022.11.17</t>
  </si>
  <si>
    <t>自2022.8.4-2023.3.31单价按16.75元核算，打包价按45000元/月，2023.4.1-2024.3.31另行签署补充协议。月付</t>
  </si>
  <si>
    <t>2022.1.16-2023.3.31单价按19元，租赁保证金99390元，自2023.4.1-2024.3.31租金单价按21元计收。</t>
  </si>
  <si>
    <t>2022.3.5-2023.3.31打包价25000元/每月（单价按18.35元），2023.4.1-2024.3.31打包价30000元/月（单价按22.02元），免租期：2022.3.5-2022.3.19（仅免租金、推广费、物业费）</t>
  </si>
  <si>
    <t>2022.1.16-2023.3.31按销售总额20%计算月租金，2023.4.1-2024.3.31租金另行协商，租赁保证金13327元在流水里扣（流水倒扣）</t>
  </si>
  <si>
    <t>2022.1.16-2022.12.31租赁费用单价按13元，2023.1.01-2023.12.31租赁费用单价按15元，2024.1.1-2024.12.31租赁费用单价增幅不高于上一年度的15%，保证金（2021年11月已交）：193596元，</t>
  </si>
  <si>
    <t>2022.1.16-2023.3.31单价按21.5元，租赁保证金153966元，2023.4.1-2024.3.31租金及推广费、物业费协商上调。</t>
  </si>
  <si>
    <t>2022.1.16-2023.3.31按销售总额10%计算月租金，2023.4.1-2024.3.31租金另行协商，物业费增幅不高于上一年度的10%（季付）2022年2季度合同应收物业26756元租赁保证金17837元，流水倒扣，(自2022.10.13原2098店铺转入）</t>
  </si>
  <si>
    <t>欠款,原铺位2098，未变更合同</t>
  </si>
  <si>
    <t>2022.1.16-2023.3.31租金费用单价按13元计收，2023.4.1-2024.3.31在上一年度基础上协商。</t>
  </si>
  <si>
    <t>2022.1.16-2023.3.31日租赁费用单价按13元计收，2023.4.1-2024.3.31租赁费用单价在上一年基础上协商。</t>
  </si>
  <si>
    <t>2022.1.16-2023.3.31按销售总额15%，租赁保证金25836元，流水倒扣，自2022年8月1日-2023年3月31日按打包价35000元/每月（单价约7.59/平方米/天），2023年4月1日-2024年3月31日另行协商。月付/当月费用当月下单。</t>
  </si>
  <si>
    <t>2022.1.16-2023.3.31按销售总额10%计算月租金，2023.4.1-2024.3.31租金另行协商，物业费增幅不高于上一年度的10%，合同二季度物业费26756元于2022年3月15日前交纳，（季付）租赁保证金17837元，流水倒扣</t>
  </si>
  <si>
    <t>自2022.9.1-2023.8.31按打包价20000元/月计收，自2023.9.1-2024.8.31另行协商。装修免租期：2022.9.1-2022.9.10</t>
  </si>
  <si>
    <t>北京思空间美发有限公司</t>
  </si>
  <si>
    <t>2023.2.20-2024.3.31按打包价10000元/每月计收，2024.4.1-2025.3.31增幅不高于10%，免租期2023.2.20-2023.3.21，</t>
  </si>
  <si>
    <t>新商户预交的2023年2季度租金</t>
  </si>
  <si>
    <t>香氛店</t>
  </si>
  <si>
    <t>已签订合同，尚未交费，欠款。流水倒扣</t>
  </si>
  <si>
    <t>2022.1.16-2023.3.31租赁费用单价按12.4元，2023.4.1-2024.3.31租赁费用单价按上一年度增幅15%</t>
  </si>
  <si>
    <t>预收2023年2季度租金</t>
  </si>
  <si>
    <t>2022.1.16-2023.3.31单价约11.3元，打包价每月4万(打包价期间2022.1.16-2023.3.31），自2023.4.1-2024.3.31租金及推广费、物业费上调，租赁保证金8万</t>
  </si>
  <si>
    <t>2022.1.16-2023.3.31租赁费用（打包价按60000元/月）单价按13.07元，2023.4.1-2024.3.31租赁费用单价在上一年度基础上协商。暂按2021.1.1起租赁费用每月60000元</t>
  </si>
  <si>
    <t>扶梯西侧展示区</t>
  </si>
  <si>
    <t>东媒特尔（北京）科技有限责任公司</t>
  </si>
  <si>
    <t>李岩</t>
  </si>
  <si>
    <t>按销售总额的20%（含线上（三点三大厦小程序）及线下拉卡拉、现金收入）收取租金，无其他收费项目。</t>
  </si>
  <si>
    <t>3</t>
  </si>
  <si>
    <t>自2022.10.1-2023.9.30单价按10元核算，2023.10.1-2024.9.30单价增幅不高于10%。月付，续租。租赁保证金100730元。</t>
  </si>
  <si>
    <t>店铺3006、3030、3036合并，（2020.9.4-2021.1.2装修免租期）建筑面积1289.6㎡，计租面积1100㎡。满日历月：2021.1.3-2023.12.31租赁费用157254.17元/月（单价4.7元)，物业费93683.33元/月(单价2.8元）；2024.1.1-2026.12.31租赁费用165116.88元/月（单价4.94元），物业费98367.5元/月（单价2.94元）；2027.1.1-2029.12.31租赁费用173372.72元/月（单价5.18元），物业费103285.88元/月（单价3.09元）。2030.1.1-2030.12.31租赁费用182041.35元（单价5.44元），物业费108450.17元/月（单价3.24元）。厨余垃圾费用每月1500元，有害垃圾费每月50元，隔油费每月600元，灯箱电费每月150元。网络费每年30000元（2021.1.1起），电费每度1.18元，水费每吨9.5元（专票：自来水4.2元，普票：水资源2.3元和污水费3元）库房免费使用。</t>
  </si>
  <si>
    <t>续签2021.4.1-2022.9.30租赁费用按10元，2022.10.1-2023.9.30租赁费用按10.8元，2023.10.1-2024.9.30租赁费用按11.67元</t>
  </si>
  <si>
    <t>北京市丽雅玉指美甲连锁有限责任公司在3.3大厦承租了两个商铺，包括3019和3008号铺位。目前为了支持该商户，给予了租金减免，减免金额等于3019铺位按合同约定的应交费金额。在《2023年第1季度租约表》中，简单体现为3008铺位有租金，而3019铺位的租金金额为零。</t>
  </si>
  <si>
    <t>2019.1.1-2019.12.31租赁费用按11元，2020.1.1-2021.3.31租赁费用按12元。续签2021.4.1-2022.3.31租赁费用按11元，2022.4.1-2023.3.31租赁费用涨幅不高于10%</t>
  </si>
  <si>
    <t>已结清，差额为疫情减免</t>
  </si>
  <si>
    <t>2020.6.15-2021.6.30租赁费用按10元，2021.7.1-2022.3.31租赁费用另行协商按不高于10%。（免租期2020.6.15-2020.7.29）</t>
  </si>
  <si>
    <t>续签2021.4.1-2022.3.31租赁费用按14元,2022.4.1-2023.3.31租赁费用另行协商按不高于10%。</t>
  </si>
  <si>
    <t>自2022.10.1-2023.9.30单价按10元核算，2023.10.1-2024.9.30单价增幅不高于10%。续租，租赁保证金100730元。</t>
  </si>
  <si>
    <t>2022.4.1-2023.3.31单价按15.6元核算，2023.4.1-2024.3.31另行协商。续租</t>
  </si>
  <si>
    <t>2018.12.1-2019.10.31租赁费用按10元，2019.11.1-2020.10.31租赁费用按11元，2020.11.1-2021.11.30租赁费用按12.1元，2021.12.1-2022.3.31租赁费用按10元。</t>
  </si>
  <si>
    <t>4</t>
  </si>
  <si>
    <t>2022.4.1-2023.3.31打包价105000元/月（单价：9.83元），2023.4.1-2024.3.31另行协商</t>
  </si>
  <si>
    <t>回款含2022年租金</t>
  </si>
  <si>
    <t>2022.10.11-2023.9.30打包价50000元/月（租金单价约6.19元/㎡），2023.10.1-2024.9.30打包价60000元/月（租金单价约7.43元/㎡），租赁保证金45000元。</t>
  </si>
  <si>
    <t>4007</t>
  </si>
  <si>
    <t>2022.10.10-2023.9.30打包价55000/月，2023.10.1-2024.9.30打包价57750元/月，2022.10.10-2022.11.23为免租期。月付，租赁保证金55000元</t>
  </si>
  <si>
    <t>2022.4.1-2022.6.30打包价按10万计收，2022.7.1-2023.3.31租赁单价按3.7元计收，</t>
  </si>
  <si>
    <t>2021.8.5-2022.7.31租赁费用按10元，2022.8.1-2023.7.31租赁费用单价增幅不高于上一期10%，（免租期：2021.8.5-2021.9.18）</t>
  </si>
  <si>
    <t>2019.4.1-2020.3.31租赁费用按9.5元，2020.4.1-2021.3.31租赁费用按10.5元，2021.4.1-2022.3.31租赁费用按11.5元 2022.4.1-2024.3.31租赁单价按10.5元计收，2023.4.1-2024.3.31租赁单价在上一合同年度基础上协商。图纸面积与4015合并为4013总面积400.48平方米。</t>
  </si>
  <si>
    <t>2022.11.15-2024.3.31单价按10.5元核算，2022.11.15-2022.12.14为装修免租期。</t>
  </si>
  <si>
    <t>2021.7.10-2022.7.31租赁费用按10元，2022.8.1-2023.7.31租赁费用按11元（免租期：2021.7.10-2021.8.8）</t>
  </si>
  <si>
    <t>117.92</t>
  </si>
  <si>
    <t>已结清，差额为2022年预收</t>
  </si>
  <si>
    <t>2021.7.20-2022.7.31租赁费用按10元，2022.8.1-2023.7.31租赁费用按11元。（装修期：2021.7.20-2021.8.18）</t>
  </si>
  <si>
    <t>2020.10.1-2021.3.31租赁费用按每月32000元（每日约为5.9元）打包价</t>
  </si>
  <si>
    <t>2021.8.1-2022.7.31租赁费用按15元，2022.8.1-2023.7.31租赁费用按16元。（装修期：2021.8.1-2021.8.31）</t>
  </si>
  <si>
    <t>建筑面积518.7㎡，计费面积451㎡，2022.4.1-2023.3.31租赁单价按10.30元计收，2023.4.1-2024.3.31租赁单价在上一合同年度基础上协商。租赁保证金128515元已交</t>
  </si>
  <si>
    <t>5</t>
  </si>
  <si>
    <t>2021.4.1-2022.3.31租赁费用按13元，2022.4.1-2023.3.31租赁费用按14元，2023.4.1-2024.3.31租赁费用按15元（免租期2021.4.1-2021.4.30）</t>
  </si>
  <si>
    <t>2021.7.15-2022.6.30租赁费用按10元，2022.7.1-2023.6.30租赁费用按11元，2023.7.1-2024.6.30租赁费用按12元（免租期2021.7.15-2021.8.28）</t>
  </si>
  <si>
    <t>2021.8.1-2022.7.31租赁费用按8.5元，2022.8.1-2023.7.31租赁费用按9.5元，2023.4.1-2024.3.31租赁费用按10.5元（免租期2021.8.1-2021.8.30）月付</t>
  </si>
  <si>
    <t>与5013号店铺合并416.48+92.8平米,2021.11.20-2023.3.31租赁费用按9元，2023.4.1-2024.3.31租赁费用按10元，2024.4.1-2025.3.31租赁费用按11元（免租期：2021.11.20-2022.2.15）10M+30M=30000元/年（2021.12.26-2022.12.25）月付</t>
  </si>
  <si>
    <t>续签2021.4.1-2022.3.31租赁费用按15元，2022.4.1-2023.3.31租赁费用单价按15.5元计收。</t>
  </si>
  <si>
    <t>2019.8.15-2021.9.30租赁费用按6.5元，2021.10.1-2023.9.30租赁费用按7.02元，2023.10.1-2024.9.30租赁费用按8.06元（免租期2019.8.15-2019.10.28)，广告位2020.7.1-2022.6.30两年12000元。灯箱电费按季度交</t>
  </si>
  <si>
    <t>2018.12.1-2019.11.30租赁费用按12.6元，2019.12.1-2020.11.30租赁费用按13.23元，2020.12.1-2021.11.30租赁费用按13.89元,2021.12.1-2023.3.31租赁费用14.58元，月付</t>
  </si>
  <si>
    <t>2022.10.23-2024.10.31租金单价按10计收，2024.11.1-2025.10.31租金单价按11元计收，2025.11.1-2027.10.31另行协商。2022.10.23-2022.11.21为装修免租期。未见钉钉合同条件审批</t>
  </si>
  <si>
    <t>2020.12.20-2021.12.31租赁费用按10元，2022.1.1-2022.12.31租赁费用按11元，2023.1.1-2023.12.31租赁费用按12元（免租期：2020.12.20-2021.1.18共30天）</t>
  </si>
  <si>
    <t>2020.12.15-2021.12.31租赁费用按8元，2022.1.1-2022.12.31租赁费用按9元，2023.1.1-2023.12.31租赁费用单价按10元。（装修免租期：2020.12.15-2021.2.12）月付</t>
  </si>
  <si>
    <t>2017.4.1-2019.3.31租赁费用7元，2019.4.1-2021.3.31租赁费用按7.25元，2021.4.1-2023.3.31租赁费用按7.5元。自2022年4月1日起库房取消,取消灯箱电费150元/月</t>
  </si>
  <si>
    <t>2017.4.1-2019.3.31租赁费用单价7元，2019.4.1-2021.3.31租赁费用按7.25元，2021.4.1-2023.3.31租赁费用按7.5元。灯箱电费自2022年1月开始不收</t>
  </si>
  <si>
    <t>2021.4.20-2022.3.31租赁费用按10元，2022.4.1-2023.3.31租赁费用按11元，2023.4.1-2024.3.31租赁费用按12元，（免租期2021.4.20-2021.5.24）</t>
  </si>
  <si>
    <t>6</t>
  </si>
  <si>
    <t>徐建奇</t>
  </si>
  <si>
    <t>免租金</t>
  </si>
  <si>
    <t>2022.8.20-2023.2.28租金按打包价60000元/月核算，2023.3.1-2024.7.31按打包价100000元/月核算。装修期2022.8.20-2022.10.31免租。未见合同审批</t>
  </si>
  <si>
    <t>2021.7.1日起按8元计收。2015.10.28-2016.1.27租赁费用标准为240000元/月；2016.1.28-2016.7.27租赁费用标准为266045元/月；2016.7.28-2017.7.27租赁费用递增不超过8%，物业费按同期标准执行；谢总批准2017.6.1-2018.3.31租赁费用降至8元/平米/天（含物业费）执行；2018.4.1-2021.7.27租赁费用递增标准双方根据同期市场价格另行协商。（2018.4.1起按前期签批单价计收费用执行）（装修免租2015.7.28-2015.10.27）月付</t>
  </si>
  <si>
    <t>2021.4.1-2022.3.31租赁费用按8.5元，2022.4.1至2023.3.31租赁费用单价按8.5元计收。未见合同</t>
  </si>
  <si>
    <t>暂按2021.4.1-2023.3.31租赁费用按8元计收</t>
  </si>
  <si>
    <t>2019.4.1-2020.3.31租赁费用按每月24000元/月（每日约为7.59元），2020.4.1-2021.3.31打包价26400元/月（每日约为8.3元），2021.4.1-2022.3.31打包价29040元/月（每日约为9.06元）,2022.4.1-2023.3.31打包价29040元（单价：9.06元计收），2023.4.1-2024.3.31在上年度基础上协商。</t>
  </si>
  <si>
    <t xml:space="preserve">无欠款 </t>
  </si>
  <si>
    <t>续签2021.10.1-2022.9.30租赁费用按11元，2022.10.1-2023.9.30租赁费用另行协商不高于10%</t>
  </si>
  <si>
    <t>自2022.10.1-2023.9.30租赁单价按9元核算，自2023.10.1-2024.9.30租金增幅不高于10%,原B1007和B1008店铺合并。</t>
  </si>
  <si>
    <t xml:space="preserve">2022.10.1-2023.9.30每月租赁费用按38500元，2023.10.1-2024.9.30增幅不高于10%。打包价  </t>
  </si>
  <si>
    <t>2020.10.1-2021.9.30租赁费用按10.5元，2021.10.1-2022.9.30租赁费用按11.03元</t>
  </si>
  <si>
    <t>2020.10.1-2022.9.30租赁费用按10.5元，月付</t>
  </si>
  <si>
    <t>2020.11.1-2021.9.30租赁费用每月60000元/月。2021.10.1-2023.9.30租赁费用每月63000元/月。打包价</t>
  </si>
  <si>
    <t>自2022.10.1-2023.9.30租赁单价按11.03元核算，2023.10.1-2024.9.30租金增幅不高于10%，租赁保证金61016元。</t>
  </si>
  <si>
    <t>2020.10.1-2021.9.30租赁费用按10元，2021.10.1-2022.9.30租赁费用按10元。月付</t>
  </si>
  <si>
    <t>2020.10.1-2021.9.30租赁费用按10元，2021.10.1-2022.9.30租赁费用按10.5元。</t>
  </si>
  <si>
    <t>2022.10.1-2023.9.30单价按8.5元核算，2023.10.1-2024.9.30增幅不高于10%，租赁保证金40004元</t>
  </si>
  <si>
    <t xml:space="preserve">2022.4.1-2023.3.31租赁费用按12元,2023.4.1-2024.3.31租赁费用增幅不超过10%，续签（租赁保证金：36537元）
</t>
  </si>
  <si>
    <t>2022.10.1-2023.9.30租赁单价11.03元，2023.10.1-2024.9.30增幅不高于10%，租赁保证金18980元</t>
  </si>
  <si>
    <t>2022.10.1-2023.9.30租金单价按11.03元计收，2023.10.1-2024.9.30增幅不高于10%。租赁保证金18980元。</t>
  </si>
  <si>
    <t>2022.10.1-2023.9.30租赁费用按13.5元,2023.10.1-2024.9.30增幅不高于10%。租赁保证金16498元。</t>
  </si>
  <si>
    <t>续签2021.4.1-2022.3.31租赁费用按12元,2022.4.1-2023.3.31租赁费用另行协商不高于10%。</t>
  </si>
  <si>
    <t>实际经营店铺为B1005号注册地址为B1027号。2020.8.15-2021.9.30租赁费用单价7元；2021.10.1-2022.9.30租赁费用单价7.56元；2022.10.1-2023.9.30租赁费用单价8.16元，自4月1日重装起面积缩小150.02㎡，原面积448.9㎡，现面积298.88㎡，4.13开始计费，月付</t>
  </si>
  <si>
    <t>2021.10.1-2022.9.30租赁费用按8元，2022.10.1-2023.9.30租赁费用按9元，2023.10.1-2024.9.30租赁费用按10元。</t>
  </si>
  <si>
    <t>续签2021.4.1-2022.3.31租赁费用按8元,2022.4.1-2023.3.31租赁费用另行协商不高于10%。图纸面积451.3㎡</t>
  </si>
  <si>
    <t>续签2021.10.1-2022.9.30租赁费用按8元，2022.10.1-2023.9.30租赁费用另行协商不高于10%。月付</t>
  </si>
  <si>
    <t>2021.4.1-2022.3.31租赁费用按11.5元</t>
  </si>
  <si>
    <t>2020.7.1-2021.6.30固定租赁费用每月15000元（每日约为6.85元）.扩店重装后2021.7.1-2022.6.30租赁费用每月按20000元（每日约为4.57元），未安装网络，打包价，图纸面积72㎡</t>
  </si>
  <si>
    <t>翰德集团</t>
    <phoneticPr fontId="133" type="noConversion"/>
  </si>
  <si>
    <t>好</t>
  </si>
  <si>
    <t>较好</t>
  </si>
  <si>
    <t>较差</t>
  </si>
  <si>
    <t>Ⅱ—13</t>
  </si>
  <si>
    <t>宗地容积率</t>
  </si>
  <si>
    <t>三里屯路</t>
  </si>
  <si>
    <t>通路</t>
  </si>
  <si>
    <t>通电</t>
  </si>
  <si>
    <t>通讯</t>
  </si>
  <si>
    <t>通上水</t>
  </si>
  <si>
    <t>通下水</t>
  </si>
  <si>
    <t>平整</t>
  </si>
  <si>
    <t>与级别开发程度不一致</t>
  </si>
  <si>
    <t>未包含在土地购买价格中</t>
  </si>
  <si>
    <t>全部缴纳</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</si>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</sst>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 numFmtId="198" formatCode="_ * #,##0_ ;_ * \-#,##0_ ;_ * &quot;-&quot;??_ ;_ @_ "/>
    <numFmt numFmtId="199" formatCode="_-* #,##0_-;\-* #,##0_-;_-* &quot;-&quot;??_-;_-@_-"/>
    <numFmt numFmtId="200" formatCode="#,##0.000_ "/>
    <numFmt numFmtId="201" formatCode="#,##0_ "/>
    <numFmt numFmtId="202" formatCode="_ * #,##0.00_ ;_ * \-#,##0.00_ ;_ * &quot;-&quot;_ ;_ @_ "/>
    <numFmt numFmtId="203" formatCode="_ * #,##0.0_ ;_ * \-#,##0.0_ ;_ * &quot;-&quot;??_ ;_ @_ "/>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8"/>
      <color rgb="FF000000"/>
      <name val="宋体"/>
      <family val="3"/>
      <charset val="134"/>
      <scheme val="minor"/>
    </font>
    <font>
      <sz val="8"/>
      <name val="宋体"/>
      <family val="3"/>
      <charset val="134"/>
      <scheme val="minor"/>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b/>
      <sz val="11"/>
      <name val="宋体"/>
      <family val="3"/>
      <charset val="134"/>
      <scheme val="minor"/>
    </font>
    <font>
      <sz val="11"/>
      <name val="宋体"/>
      <family val="3"/>
      <charset val="134"/>
      <scheme val="minor"/>
    </font>
    <font>
      <sz val="12"/>
      <name val="宋体"/>
      <family val="3"/>
      <charset val="134"/>
      <scheme val="minor"/>
    </font>
    <font>
      <b/>
      <sz val="9"/>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patternFill>
    </fill>
    <fill>
      <patternFill patternType="solid">
        <fgColor rgb="FFF1F1F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43" fontId="268" fillId="0" borderId="0" applyFont="0" applyFill="0" applyBorder="0" applyAlignment="0" applyProtection="0">
      <alignment vertical="center"/>
    </xf>
    <xf numFmtId="43" fontId="95" fillId="0" borderId="0" applyFont="0" applyFill="0" applyBorder="0" applyAlignment="0" applyProtection="0">
      <alignment vertical="center"/>
    </xf>
  </cellStyleXfs>
  <cellXfs count="39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77" fillId="12" borderId="0" xfId="0" applyFont="1" applyFill="1" applyAlignment="1" applyProtection="1">
      <alignment horizontal="center" vertical="center"/>
      <protection locked="0"/>
    </xf>
    <xf numFmtId="0" fontId="269" fillId="22" borderId="1" xfId="0" applyFont="1" applyFill="1" applyBorder="1" applyAlignment="1">
      <alignment horizontal="left" vertical="center"/>
    </xf>
    <xf numFmtId="43" fontId="269" fillId="22" borderId="1" xfId="19" applyFont="1" applyFill="1" applyBorder="1" applyAlignment="1">
      <alignment horizontal="left" vertical="center"/>
    </xf>
    <xf numFmtId="0" fontId="269" fillId="22" borderId="0" xfId="0" applyFont="1" applyFill="1" applyBorder="1" applyAlignment="1">
      <alignment horizontal="left" vertical="center"/>
    </xf>
    <xf numFmtId="0" fontId="269" fillId="9" borderId="1" xfId="0" applyFont="1" applyFill="1" applyBorder="1" applyAlignment="1">
      <alignment horizontal="left" vertical="center"/>
    </xf>
    <xf numFmtId="43" fontId="269" fillId="9" borderId="1" xfId="19" applyFont="1" applyFill="1" applyBorder="1" applyAlignment="1">
      <alignment horizontal="left" vertical="center"/>
    </xf>
    <xf numFmtId="0" fontId="269" fillId="9" borderId="0" xfId="0" applyFont="1" applyFill="1" applyBorder="1" applyAlignment="1">
      <alignment horizontal="left" vertical="center"/>
    </xf>
    <xf numFmtId="0" fontId="127" fillId="0" borderId="51" xfId="0" applyNumberFormat="1" applyFont="1" applyFill="1" applyBorder="1" applyAlignment="1" applyProtection="1">
      <alignment horizontal="center" vertical="center" wrapText="1"/>
      <protection locked="0"/>
    </xf>
    <xf numFmtId="49" fontId="127" fillId="2" borderId="30"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3" fontId="44" fillId="0" borderId="3" xfId="0" applyNumberFormat="1" applyFont="1" applyFill="1" applyBorder="1" applyAlignment="1" applyProtection="1">
      <alignment horizontal="center" vertical="center" wrapText="1"/>
      <protection locked="0"/>
    </xf>
    <xf numFmtId="43" fontId="44" fillId="0" borderId="23" xfId="0" applyNumberFormat="1" applyFont="1" applyFill="1" applyBorder="1" applyAlignment="1" applyProtection="1">
      <alignment horizontal="center" vertical="center" wrapText="1"/>
      <protection locked="0"/>
    </xf>
    <xf numFmtId="43" fontId="70" fillId="3" borderId="20" xfId="0" applyNumberFormat="1" applyFont="1" applyFill="1" applyBorder="1" applyAlignment="1" applyProtection="1">
      <alignment vertical="center" wrapText="1"/>
      <protection locked="0"/>
    </xf>
    <xf numFmtId="43" fontId="70" fillId="3" borderId="51" xfId="0" applyNumberFormat="1" applyFont="1" applyFill="1" applyBorder="1" applyAlignment="1" applyProtection="1">
      <alignment vertical="center" wrapText="1"/>
      <protection locked="0"/>
    </xf>
    <xf numFmtId="0" fontId="269" fillId="0" borderId="1" xfId="0" applyFont="1" applyFill="1" applyBorder="1" applyAlignment="1">
      <alignment horizontal="left" vertical="center"/>
    </xf>
    <xf numFmtId="43" fontId="269" fillId="0" borderId="1" xfId="19" applyFont="1" applyFill="1" applyBorder="1" applyAlignment="1">
      <alignment horizontal="left" vertical="center"/>
    </xf>
    <xf numFmtId="0" fontId="269" fillId="0" borderId="0" xfId="0" applyFont="1" applyFill="1" applyBorder="1" applyAlignment="1">
      <alignment horizontal="left" vertical="center"/>
    </xf>
    <xf numFmtId="0" fontId="94" fillId="2" borderId="41" xfId="0" applyNumberFormat="1" applyFont="1" applyFill="1" applyBorder="1" applyAlignment="1" applyProtection="1">
      <alignment horizontal="center" vertical="center" wrapText="1"/>
      <protection locked="0"/>
    </xf>
    <xf numFmtId="0" fontId="127" fillId="2" borderId="41"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0" fillId="0" borderId="0" xfId="0" applyAlignment="1">
      <alignment vertical="center" wrapText="1"/>
    </xf>
    <xf numFmtId="31" fontId="0" fillId="0" borderId="0" xfId="0" applyNumberFormat="1">
      <alignment vertical="center"/>
    </xf>
    <xf numFmtId="3" fontId="0" fillId="0" borderId="0" xfId="0" applyNumberFormat="1">
      <alignment vertical="center"/>
    </xf>
    <xf numFmtId="10" fontId="99" fillId="6" borderId="1" xfId="0" applyNumberFormat="1" applyFont="1" applyFill="1" applyBorder="1" applyAlignment="1" applyProtection="1">
      <alignment horizontal="left" vertical="center"/>
    </xf>
    <xf numFmtId="9" fontId="99" fillId="6" borderId="1" xfId="0" applyNumberFormat="1" applyFont="1" applyFill="1" applyBorder="1" applyAlignment="1" applyProtection="1">
      <alignment horizontal="left" vertical="center"/>
    </xf>
    <xf numFmtId="9" fontId="99" fillId="6" borderId="13" xfId="0" applyNumberFormat="1" applyFont="1" applyFill="1" applyBorder="1" applyAlignment="1" applyProtection="1">
      <alignment horizontal="left" vertical="center"/>
    </xf>
    <xf numFmtId="0" fontId="99" fillId="6" borderId="46" xfId="0" applyFont="1" applyFill="1" applyBorder="1" applyAlignment="1" applyProtection="1">
      <alignment horizontal="left" vertical="center" wrapText="1"/>
    </xf>
    <xf numFmtId="0" fontId="99" fillId="6" borderId="36" xfId="0" applyFont="1" applyFill="1" applyBorder="1" applyAlignment="1" applyProtection="1">
      <alignment horizontal="left" vertical="center" wrapText="1"/>
    </xf>
    <xf numFmtId="0" fontId="99" fillId="6" borderId="22" xfId="0" applyFont="1" applyFill="1" applyBorder="1" applyAlignment="1" applyProtection="1">
      <alignment horizontal="left" vertical="center" wrapText="1"/>
    </xf>
    <xf numFmtId="0" fontId="99" fillId="6" borderId="54" xfId="0" applyFont="1" applyFill="1" applyBorder="1" applyAlignment="1" applyProtection="1">
      <alignment horizontal="left" vertical="center"/>
    </xf>
    <xf numFmtId="0" fontId="99" fillId="6" borderId="3" xfId="0" applyFont="1" applyFill="1" applyBorder="1" applyAlignment="1" applyProtection="1">
      <alignment horizontal="left" vertical="center" wrapText="1"/>
    </xf>
    <xf numFmtId="0" fontId="99" fillId="6" borderId="58" xfId="0" applyFont="1" applyFill="1" applyBorder="1" applyAlignment="1" applyProtection="1">
      <alignment horizontal="left" vertical="center" wrapText="1"/>
    </xf>
    <xf numFmtId="0" fontId="99" fillId="6" borderId="0" xfId="0" applyFont="1" applyFill="1" applyBorder="1" applyAlignment="1" applyProtection="1">
      <alignment horizontal="left" vertical="center" wrapText="1"/>
    </xf>
    <xf numFmtId="0" fontId="99" fillId="6" borderId="35" xfId="0" applyFont="1" applyFill="1" applyBorder="1" applyAlignment="1" applyProtection="1">
      <alignment horizontal="left" vertical="center" wrapText="1"/>
    </xf>
    <xf numFmtId="0" fontId="99" fillId="6" borderId="4" xfId="0" applyFont="1" applyFill="1" applyBorder="1" applyAlignment="1" applyProtection="1">
      <alignment horizontal="left" vertical="center" wrapText="1"/>
    </xf>
    <xf numFmtId="0" fontId="99" fillId="6" borderId="60" xfId="0" applyFont="1" applyFill="1" applyBorder="1" applyAlignment="1" applyProtection="1">
      <alignment horizontal="left" vertical="center" wrapText="1"/>
    </xf>
    <xf numFmtId="0" fontId="99" fillId="6" borderId="7" xfId="0" applyFont="1" applyFill="1" applyBorder="1" applyAlignment="1" applyProtection="1">
      <alignment horizontal="left" vertical="center" wrapText="1"/>
    </xf>
    <xf numFmtId="0" fontId="270" fillId="9" borderId="1" xfId="0" applyFont="1" applyFill="1" applyBorder="1" applyAlignment="1">
      <alignment horizontal="left" vertical="center"/>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3" fontId="276" fillId="0" borderId="1" xfId="10" applyNumberFormat="1" applyFont="1" applyFill="1" applyBorder="1" applyAlignment="1">
      <alignment horizontal="center" vertical="center" shrinkToFit="1"/>
    </xf>
    <xf numFmtId="0" fontId="94" fillId="2" borderId="14" xfId="0" applyNumberFormat="1" applyFont="1" applyFill="1" applyBorder="1" applyAlignment="1" applyProtection="1">
      <alignment horizontal="center" vertical="center" wrapText="1"/>
      <protection locked="0"/>
    </xf>
    <xf numFmtId="2" fontId="274" fillId="0" borderId="1" xfId="10" applyNumberFormat="1" applyFont="1" applyFill="1" applyBorder="1" applyAlignment="1">
      <alignment horizontal="center" vertical="center" shrinkToFit="1"/>
    </xf>
    <xf numFmtId="0" fontId="0" fillId="0" borderId="0" xfId="0" applyFill="1">
      <alignment vertical="center"/>
    </xf>
    <xf numFmtId="189" fontId="44" fillId="6" borderId="9" xfId="0" applyNumberFormat="1" applyFont="1" applyFill="1" applyBorder="1" applyAlignment="1" applyProtection="1">
      <alignment horizontal="center" vertical="center" wrapText="1"/>
      <protection locked="0"/>
    </xf>
    <xf numFmtId="0" fontId="95" fillId="0" borderId="0" xfId="10">
      <alignment vertical="center"/>
    </xf>
    <xf numFmtId="0" fontId="57" fillId="6" borderId="13" xfId="1" applyFont="1" applyFill="1" applyBorder="1" applyAlignment="1" applyProtection="1">
      <alignment vertical="center"/>
    </xf>
    <xf numFmtId="0" fontId="57" fillId="6" borderId="2" xfId="1" applyFont="1" applyFill="1" applyBorder="1" applyAlignment="1" applyProtection="1">
      <alignment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0" fontId="95" fillId="0" borderId="0" xfId="10" applyFont="1">
      <alignment vertical="center"/>
    </xf>
    <xf numFmtId="0" fontId="95" fillId="0" borderId="0" xfId="10">
      <alignment vertical="center"/>
    </xf>
    <xf numFmtId="0" fontId="95" fillId="0" borderId="0" xfId="10" applyFill="1">
      <alignment vertical="center"/>
    </xf>
    <xf numFmtId="0" fontId="275" fillId="23" borderId="1" xfId="10" applyFont="1" applyFill="1" applyBorder="1" applyAlignment="1">
      <alignment horizontal="center" vertical="center" wrapText="1"/>
    </xf>
    <xf numFmtId="0" fontId="275" fillId="0" borderId="1" xfId="10" applyFont="1" applyBorder="1" applyAlignment="1">
      <alignment horizontal="center" vertical="center" wrapText="1"/>
    </xf>
    <xf numFmtId="0" fontId="276" fillId="23" borderId="1" xfId="10" applyFont="1" applyFill="1" applyBorder="1" applyAlignment="1">
      <alignment horizontal="center" vertical="center" wrapText="1"/>
    </xf>
    <xf numFmtId="1" fontId="274" fillId="23" borderId="1" xfId="10" applyNumberFormat="1" applyFont="1" applyFill="1" applyBorder="1" applyAlignment="1">
      <alignment horizontal="center" vertical="center" shrinkToFit="1"/>
    </xf>
    <xf numFmtId="0" fontId="271" fillId="0" borderId="1" xfId="10" applyFont="1" applyBorder="1" applyAlignment="1">
      <alignment horizontal="center" vertical="center" wrapText="1"/>
    </xf>
    <xf numFmtId="0" fontId="272" fillId="0" borderId="1" xfId="10" applyFont="1" applyBorder="1" applyAlignment="1">
      <alignment horizontal="center" vertical="center" wrapText="1"/>
    </xf>
    <xf numFmtId="1" fontId="274" fillId="0" borderId="1" xfId="10" applyNumberFormat="1" applyFont="1" applyBorder="1" applyAlignment="1">
      <alignment horizontal="center" vertical="center" shrinkToFit="1"/>
    </xf>
    <xf numFmtId="0" fontId="273" fillId="0" borderId="1" xfId="10" applyFont="1" applyBorder="1" applyAlignment="1">
      <alignment horizontal="center" vertical="center" wrapText="1"/>
    </xf>
    <xf numFmtId="196" fontId="274" fillId="23" borderId="1" xfId="10" applyNumberFormat="1" applyFont="1" applyFill="1" applyBorder="1" applyAlignment="1">
      <alignment horizontal="center" vertical="center" shrinkToFit="1"/>
    </xf>
    <xf numFmtId="3" fontId="274" fillId="23" borderId="1" xfId="10" applyNumberFormat="1" applyFont="1" applyFill="1" applyBorder="1" applyAlignment="1">
      <alignment horizontal="center" vertical="center" shrinkToFit="1"/>
    </xf>
    <xf numFmtId="3" fontId="274" fillId="0" borderId="1" xfId="10" applyNumberFormat="1" applyFont="1" applyBorder="1" applyAlignment="1">
      <alignment horizontal="center" vertical="center" shrinkToFit="1"/>
    </xf>
    <xf numFmtId="2" fontId="274" fillId="23" borderId="1" xfId="10" applyNumberFormat="1" applyFont="1" applyFill="1" applyBorder="1" applyAlignment="1">
      <alignment horizontal="center" vertical="center" shrinkToFit="1"/>
    </xf>
    <xf numFmtId="3" fontId="276" fillId="23" borderId="1" xfId="10" applyNumberFormat="1" applyFont="1" applyFill="1" applyBorder="1" applyAlignment="1">
      <alignment horizontal="center" vertical="center" shrinkToFit="1"/>
    </xf>
    <xf numFmtId="2" fontId="274" fillId="0" borderId="1" xfId="10" applyNumberFormat="1" applyFont="1" applyBorder="1" applyAlignment="1">
      <alignment horizontal="center" vertical="center" shrinkToFit="1"/>
    </xf>
    <xf numFmtId="3" fontId="276" fillId="0" borderId="1" xfId="10" applyNumberFormat="1" applyFont="1" applyBorder="1" applyAlignment="1">
      <alignment horizontal="center" vertical="center" shrinkToFit="1"/>
    </xf>
    <xf numFmtId="196" fontId="274" fillId="0" borderId="1" xfId="10" applyNumberFormat="1" applyFont="1" applyBorder="1" applyAlignment="1">
      <alignment horizontal="center" vertical="center" shrinkToFit="1"/>
    </xf>
    <xf numFmtId="1" fontId="274" fillId="0" borderId="1" xfId="10" applyNumberFormat="1" applyFont="1" applyFill="1" applyBorder="1" applyAlignment="1">
      <alignment horizontal="center" vertical="center" shrinkToFit="1"/>
    </xf>
    <xf numFmtId="0" fontId="275" fillId="0" borderId="1" xfId="10" applyFont="1" applyFill="1" applyBorder="1" applyAlignment="1">
      <alignment horizontal="center" vertical="center" wrapText="1"/>
    </xf>
    <xf numFmtId="196" fontId="274" fillId="0" borderId="1" xfId="10" applyNumberFormat="1" applyFont="1" applyFill="1" applyBorder="1" applyAlignment="1">
      <alignment horizontal="center" vertical="center" shrinkToFit="1"/>
    </xf>
    <xf numFmtId="3" fontId="274" fillId="0" borderId="1" xfId="10" applyNumberFormat="1" applyFont="1" applyFill="1" applyBorder="1" applyAlignment="1">
      <alignment horizontal="center" vertical="center" shrinkToFit="1"/>
    </xf>
    <xf numFmtId="0" fontId="95" fillId="0" borderId="0" xfId="10" applyFill="1">
      <alignment vertical="center"/>
    </xf>
    <xf numFmtId="0" fontId="275" fillId="0" borderId="0" xfId="10" applyFont="1" applyFill="1" applyBorder="1" applyAlignment="1">
      <alignment horizontal="center" vertical="center" wrapText="1"/>
    </xf>
    <xf numFmtId="0" fontId="275" fillId="0" borderId="58" xfId="10" applyFont="1" applyFill="1" applyBorder="1" applyAlignment="1">
      <alignment horizontal="center" vertical="center" wrapText="1"/>
    </xf>
    <xf numFmtId="3" fontId="95" fillId="0" borderId="0" xfId="10" applyNumberFormat="1">
      <alignment vertical="center"/>
    </xf>
    <xf numFmtId="1" fontId="274" fillId="18" borderId="1" xfId="10" applyNumberFormat="1" applyFont="1" applyFill="1" applyBorder="1" applyAlignment="1">
      <alignment horizontal="center" vertical="center" shrinkToFit="1"/>
    </xf>
    <xf numFmtId="0" fontId="275" fillId="18" borderId="1" xfId="10" applyFont="1" applyFill="1" applyBorder="1" applyAlignment="1">
      <alignment horizontal="center" vertical="center" wrapText="1"/>
    </xf>
    <xf numFmtId="3" fontId="274" fillId="18" borderId="1" xfId="10" applyNumberFormat="1" applyFont="1" applyFill="1" applyBorder="1" applyAlignment="1">
      <alignment horizontal="center" vertical="center" shrinkToFit="1"/>
    </xf>
    <xf numFmtId="0" fontId="95" fillId="18" borderId="0" xfId="10" applyFill="1">
      <alignment vertical="center"/>
    </xf>
    <xf numFmtId="0" fontId="95" fillId="18" borderId="0" xfId="10" applyFill="1">
      <alignment vertical="center"/>
    </xf>
    <xf numFmtId="0" fontId="277" fillId="18" borderId="1" xfId="10" applyFont="1" applyFill="1" applyBorder="1" applyAlignment="1">
      <alignment horizontal="center" vertical="center" wrapText="1"/>
    </xf>
    <xf numFmtId="2" fontId="274" fillId="18" borderId="1" xfId="10" applyNumberFormat="1" applyFont="1" applyFill="1" applyBorder="1" applyAlignment="1">
      <alignment horizontal="center" vertical="center" shrinkToFit="1"/>
    </xf>
    <xf numFmtId="3" fontId="276" fillId="18" borderId="1" xfId="10" applyNumberFormat="1" applyFont="1" applyFill="1" applyBorder="1" applyAlignment="1">
      <alignment horizontal="center" vertical="center" shrinkToFit="1"/>
    </xf>
    <xf numFmtId="196" fontId="274" fillId="18" borderId="1" xfId="10" applyNumberFormat="1" applyFont="1" applyFill="1" applyBorder="1" applyAlignment="1">
      <alignment horizontal="center" vertical="center" shrinkToFit="1"/>
    </xf>
    <xf numFmtId="0" fontId="57" fillId="18" borderId="13" xfId="0" applyFont="1" applyFill="1" applyBorder="1" applyAlignment="1" applyProtection="1">
      <alignment horizontal="right" vertical="center"/>
    </xf>
    <xf numFmtId="0" fontId="95" fillId="18" borderId="0" xfId="10" applyFill="1" applyBorder="1">
      <alignment vertical="center"/>
    </xf>
    <xf numFmtId="9" fontId="51" fillId="0" borderId="37" xfId="0" applyNumberFormat="1" applyFont="1" applyFill="1" applyBorder="1" applyAlignment="1" applyProtection="1">
      <alignment horizontal="center" vertical="center" wrapText="1"/>
      <protection locked="0"/>
    </xf>
    <xf numFmtId="0" fontId="95" fillId="0" borderId="0" xfId="0" applyFont="1">
      <alignment vertical="center"/>
    </xf>
    <xf numFmtId="3" fontId="95" fillId="18" borderId="0" xfId="10" applyNumberFormat="1" applyFill="1">
      <alignment vertical="center"/>
    </xf>
    <xf numFmtId="0" fontId="95" fillId="0" borderId="0" xfId="0" applyFont="1" applyFill="1">
      <alignmen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191" fontId="102" fillId="6" borderId="1" xfId="0" applyNumberFormat="1"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99" fillId="6" borderId="5" xfId="0" applyFont="1" applyFill="1" applyBorder="1" applyAlignment="1" applyProtection="1">
      <alignment horizontal="left" vertical="center"/>
    </xf>
    <xf numFmtId="0" fontId="99"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99"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0" fontId="245" fillId="0" borderId="5" xfId="0" applyNumberFormat="1" applyFont="1" applyFill="1" applyBorder="1" applyAlignment="1" applyProtection="1">
      <alignment horizontal="center" vertical="center"/>
    </xf>
    <xf numFmtId="185" fontId="245" fillId="0" borderId="54" xfId="0" applyNumberFormat="1" applyFont="1" applyFill="1" applyBorder="1" applyAlignment="1" applyProtection="1">
      <alignment horizontal="center" vertical="center"/>
    </xf>
    <xf numFmtId="185" fontId="245" fillId="0" borderId="54" xfId="0" applyNumberFormat="1" applyFont="1" applyFill="1" applyBorder="1" applyAlignment="1" applyProtection="1">
      <alignment vertical="center"/>
    </xf>
    <xf numFmtId="197" fontId="245" fillId="0" borderId="1" xfId="20" applyNumberFormat="1" applyFont="1" applyFill="1" applyBorder="1" applyAlignment="1">
      <alignment horizontal="center" vertical="center" wrapText="1"/>
    </xf>
    <xf numFmtId="43" fontId="245" fillId="0" borderId="1" xfId="20" applyFont="1" applyFill="1" applyBorder="1" applyAlignment="1">
      <alignment horizontal="center" vertical="center" wrapText="1"/>
    </xf>
    <xf numFmtId="14" fontId="19" fillId="0" borderId="1" xfId="0" applyNumberFormat="1" applyFont="1" applyFill="1" applyBorder="1" applyAlignment="1" applyProtection="1">
      <alignment vertical="center" wrapText="1"/>
    </xf>
    <xf numFmtId="191" fontId="106" fillId="0" borderId="1" xfId="20" applyNumberFormat="1" applyFont="1" applyFill="1" applyBorder="1" applyAlignment="1">
      <alignment horizontal="center" vertical="center"/>
    </xf>
    <xf numFmtId="191" fontId="106" fillId="0" borderId="5" xfId="20" applyNumberFormat="1" applyFont="1" applyFill="1" applyBorder="1" applyAlignment="1">
      <alignment horizontal="center" vertical="center"/>
    </xf>
    <xf numFmtId="191" fontId="245" fillId="0" borderId="5" xfId="0" applyNumberFormat="1" applyFont="1" applyFill="1" applyBorder="1" applyAlignment="1" applyProtection="1">
      <alignment horizontal="center" vertical="center"/>
    </xf>
    <xf numFmtId="191" fontId="245" fillId="0" borderId="54" xfId="0" applyNumberFormat="1" applyFont="1" applyFill="1" applyBorder="1" applyAlignment="1" applyProtection="1">
      <alignment horizontal="center" vertical="center"/>
    </xf>
    <xf numFmtId="191" fontId="96" fillId="0" borderId="1" xfId="0" applyNumberFormat="1" applyFont="1" applyFill="1" applyBorder="1" applyAlignment="1" applyProtection="1">
      <alignment horizontal="center" vertical="center"/>
    </xf>
    <xf numFmtId="198" fontId="107" fillId="0" borderId="1" xfId="20" applyNumberFormat="1" applyFont="1" applyFill="1" applyBorder="1" applyAlignment="1">
      <alignment horizontal="center" vertical="center" wrapText="1"/>
    </xf>
    <xf numFmtId="43" fontId="278" fillId="0" borderId="1" xfId="20" applyFont="1" applyFill="1" applyBorder="1" applyAlignment="1">
      <alignment horizontal="center" vertical="center" wrapText="1"/>
    </xf>
    <xf numFmtId="191" fontId="278" fillId="0" borderId="1" xfId="0" applyNumberFormat="1" applyFont="1" applyFill="1" applyBorder="1" applyAlignment="1" applyProtection="1">
      <alignment horizontal="center" vertical="center" wrapText="1"/>
    </xf>
    <xf numFmtId="191" fontId="133" fillId="0" borderId="0" xfId="0" applyNumberFormat="1" applyFont="1" applyFill="1" applyAlignment="1" applyProtection="1">
      <alignment vertical="center"/>
    </xf>
    <xf numFmtId="0" fontId="245" fillId="0" borderId="1" xfId="0" applyNumberFormat="1" applyFont="1" applyFill="1" applyBorder="1" applyAlignment="1" applyProtection="1">
      <alignment horizontal="center" vertical="center" wrapText="1"/>
    </xf>
    <xf numFmtId="185" fontId="106" fillId="0" borderId="1" xfId="0" applyNumberFormat="1" applyFont="1" applyFill="1" applyBorder="1" applyAlignment="1" applyProtection="1">
      <alignment vertical="center" wrapText="1"/>
    </xf>
    <xf numFmtId="191" fontId="106" fillId="0" borderId="1" xfId="0" applyNumberFormat="1" applyFont="1" applyFill="1" applyBorder="1" applyAlignment="1" applyProtection="1">
      <alignment horizontal="center" vertical="center" wrapText="1"/>
    </xf>
    <xf numFmtId="198" fontId="245" fillId="0" borderId="1" xfId="20" applyNumberFormat="1" applyFont="1" applyFill="1" applyBorder="1" applyAlignment="1">
      <alignment horizontal="center" vertical="center" wrapText="1"/>
    </xf>
    <xf numFmtId="0" fontId="245" fillId="0" borderId="1" xfId="20" applyNumberFormat="1" applyFont="1" applyFill="1" applyBorder="1" applyAlignment="1">
      <alignment horizontal="center" vertical="center" wrapText="1"/>
    </xf>
    <xf numFmtId="191" fontId="245" fillId="0" borderId="13" xfId="20" applyNumberFormat="1" applyFont="1" applyFill="1" applyBorder="1" applyAlignment="1">
      <alignment horizontal="center" vertical="center" wrapText="1"/>
    </xf>
    <xf numFmtId="43" fontId="245" fillId="0" borderId="1" xfId="20" applyFont="1" applyFill="1" applyBorder="1" applyAlignment="1">
      <alignment horizontal="center" vertical="center" wrapText="1"/>
    </xf>
    <xf numFmtId="197" fontId="245" fillId="0" borderId="1" xfId="20" applyNumberFormat="1" applyFont="1" applyFill="1" applyBorder="1" applyAlignment="1">
      <alignment horizontal="center" vertical="center" wrapText="1"/>
    </xf>
    <xf numFmtId="185" fontId="77" fillId="0" borderId="1" xfId="0" applyNumberFormat="1" applyFont="1" applyFill="1" applyBorder="1" applyAlignment="1" applyProtection="1">
      <alignment horizontal="center" vertical="center" wrapText="1"/>
    </xf>
    <xf numFmtId="191" fontId="245" fillId="0" borderId="1" xfId="20" applyNumberFormat="1" applyFont="1" applyFill="1" applyBorder="1" applyAlignment="1">
      <alignment horizontal="center" vertical="center" wrapText="1"/>
    </xf>
    <xf numFmtId="191" fontId="245" fillId="0" borderId="1" xfId="0" applyNumberFormat="1" applyFont="1" applyFill="1" applyBorder="1" applyAlignment="1" applyProtection="1">
      <alignment horizontal="center" vertical="center" wrapText="1"/>
    </xf>
    <xf numFmtId="41" fontId="245" fillId="0" borderId="1" xfId="0" applyNumberFormat="1" applyFont="1" applyFill="1" applyBorder="1" applyAlignment="1" applyProtection="1">
      <alignment horizontal="center" vertical="center" wrapText="1"/>
    </xf>
    <xf numFmtId="198" fontId="133" fillId="0" borderId="1" xfId="20" applyNumberFormat="1" applyFont="1" applyFill="1" applyBorder="1" applyAlignment="1">
      <alignment horizontal="center" vertical="center" wrapText="1"/>
    </xf>
    <xf numFmtId="198" fontId="133" fillId="0" borderId="1" xfId="20" applyNumberFormat="1" applyFont="1" applyFill="1" applyBorder="1" applyAlignment="1">
      <alignment horizontal="center" vertical="center"/>
    </xf>
    <xf numFmtId="0" fontId="133" fillId="0" borderId="1" xfId="0" applyFont="1" applyFill="1" applyBorder="1" applyAlignment="1" applyProtection="1">
      <alignment horizontal="center" vertical="center"/>
    </xf>
    <xf numFmtId="43" fontId="133" fillId="0" borderId="1" xfId="20" applyFont="1" applyFill="1" applyBorder="1" applyAlignment="1">
      <alignment horizontal="center" vertical="center" wrapText="1"/>
    </xf>
    <xf numFmtId="198" fontId="133" fillId="0" borderId="1" xfId="20" applyNumberFormat="1" applyFont="1" applyFill="1" applyBorder="1" applyAlignment="1">
      <alignment vertical="center"/>
    </xf>
    <xf numFmtId="191" fontId="133" fillId="0" borderId="1" xfId="20" applyNumberFormat="1" applyFont="1" applyFill="1" applyBorder="1" applyAlignment="1">
      <alignment horizontal="center" vertical="center" wrapText="1"/>
    </xf>
    <xf numFmtId="0" fontId="133" fillId="0" borderId="0" xfId="0" applyFont="1" applyFill="1" applyAlignment="1" applyProtection="1">
      <alignment horizontal="center" vertical="center"/>
    </xf>
    <xf numFmtId="191" fontId="245" fillId="0" borderId="1" xfId="0" applyNumberFormat="1" applyFont="1" applyFill="1" applyBorder="1" applyAlignment="1" applyProtection="1">
      <alignment horizontal="center" vertical="center"/>
    </xf>
    <xf numFmtId="185" fontId="245" fillId="0" borderId="13" xfId="0" applyNumberFormat="1" applyFont="1" applyFill="1" applyBorder="1" applyAlignment="1" applyProtection="1">
      <alignment horizontal="left" vertical="center" wrapText="1"/>
    </xf>
    <xf numFmtId="191" fontId="245" fillId="0" borderId="1" xfId="0" applyNumberFormat="1" applyFont="1" applyFill="1" applyBorder="1" applyAlignment="1" applyProtection="1">
      <alignment vertical="center" wrapText="1"/>
    </xf>
    <xf numFmtId="0" fontId="245" fillId="0" borderId="1" xfId="0" applyFont="1" applyFill="1" applyBorder="1" applyAlignment="1" applyProtection="1">
      <alignment vertical="center" wrapText="1"/>
    </xf>
    <xf numFmtId="178" fontId="133" fillId="0" borderId="1" xfId="0" applyNumberFormat="1" applyFont="1" applyFill="1" applyBorder="1" applyAlignment="1" applyProtection="1">
      <alignment horizontal="center" vertical="center"/>
    </xf>
    <xf numFmtId="191" fontId="133" fillId="0" borderId="1" xfId="0" applyNumberFormat="1" applyFont="1" applyFill="1" applyBorder="1" applyAlignment="1" applyProtection="1">
      <alignment vertical="center" wrapText="1"/>
    </xf>
    <xf numFmtId="176" fontId="133" fillId="0" borderId="1" xfId="20" applyNumberFormat="1" applyFont="1" applyFill="1" applyBorder="1" applyAlignment="1">
      <alignment horizontal="right" vertical="center"/>
    </xf>
    <xf numFmtId="197" fontId="133" fillId="0" borderId="1" xfId="20" applyNumberFormat="1" applyFont="1" applyFill="1" applyBorder="1" applyAlignment="1">
      <alignment horizontal="right" vertical="center" wrapText="1"/>
    </xf>
    <xf numFmtId="197" fontId="133" fillId="0" borderId="1" xfId="20" applyNumberFormat="1" applyFont="1" applyFill="1" applyBorder="1" applyAlignment="1">
      <alignment horizontal="right" vertical="center"/>
    </xf>
    <xf numFmtId="43" fontId="133" fillId="0" borderId="1" xfId="20" applyFont="1" applyFill="1" applyBorder="1" applyAlignment="1">
      <alignment horizontal="right" vertical="center" wrapText="1"/>
    </xf>
    <xf numFmtId="185" fontId="133" fillId="0" borderId="1" xfId="0" applyNumberFormat="1" applyFont="1" applyFill="1" applyBorder="1" applyAlignment="1" applyProtection="1">
      <alignment horizontal="center" vertical="center" wrapText="1"/>
    </xf>
    <xf numFmtId="199" fontId="133" fillId="0" borderId="1" xfId="20" applyNumberFormat="1" applyFont="1" applyFill="1" applyBorder="1" applyAlignment="1">
      <alignment horizontal="right" vertical="center"/>
    </xf>
    <xf numFmtId="198" fontId="133" fillId="0" borderId="1" xfId="20" applyNumberFormat="1" applyFont="1" applyFill="1" applyBorder="1" applyAlignment="1">
      <alignment horizontal="right" vertical="center" wrapText="1"/>
    </xf>
    <xf numFmtId="199" fontId="133" fillId="0" borderId="1" xfId="0" applyNumberFormat="1" applyFont="1" applyFill="1" applyBorder="1" applyAlignment="1" applyProtection="1">
      <alignment horizontal="right" vertical="center"/>
    </xf>
    <xf numFmtId="0" fontId="245" fillId="0" borderId="1" xfId="0" applyNumberFormat="1" applyFont="1" applyFill="1" applyBorder="1" applyAlignment="1" applyProtection="1">
      <alignment horizontal="right" vertical="center"/>
    </xf>
    <xf numFmtId="1" fontId="133" fillId="0" borderId="1" xfId="20" applyNumberFormat="1" applyFont="1" applyFill="1" applyBorder="1" applyAlignment="1">
      <alignment horizontal="right" vertical="center" wrapText="1"/>
    </xf>
    <xf numFmtId="1" fontId="245" fillId="0" borderId="1" xfId="20" applyNumberFormat="1" applyFont="1" applyFill="1" applyBorder="1" applyAlignment="1">
      <alignment horizontal="right" vertical="center" wrapText="1"/>
    </xf>
    <xf numFmtId="41" fontId="245" fillId="0" borderId="1" xfId="20" applyNumberFormat="1" applyFont="1" applyFill="1" applyBorder="1" applyAlignment="1">
      <alignment horizontal="right" vertical="center" wrapText="1"/>
    </xf>
    <xf numFmtId="198" fontId="245" fillId="0" borderId="1" xfId="20" applyNumberFormat="1" applyFont="1" applyFill="1" applyBorder="1" applyAlignment="1">
      <alignment horizontal="right" vertical="center" wrapText="1"/>
    </xf>
    <xf numFmtId="198" fontId="133" fillId="0" borderId="1" xfId="20" applyNumberFormat="1" applyFont="1" applyFill="1" applyBorder="1">
      <alignment vertical="center"/>
    </xf>
    <xf numFmtId="198" fontId="133" fillId="0" borderId="1" xfId="20" applyNumberFormat="1" applyFont="1" applyFill="1" applyBorder="1" applyAlignment="1">
      <alignment horizontal="left" vertical="center"/>
    </xf>
    <xf numFmtId="0" fontId="133" fillId="0" borderId="0" xfId="0" applyFont="1" applyFill="1" applyAlignment="1" applyProtection="1">
      <alignment vertical="center"/>
    </xf>
    <xf numFmtId="0" fontId="245" fillId="0" borderId="1" xfId="0" applyNumberFormat="1" applyFont="1" applyFill="1" applyBorder="1" applyAlignment="1" applyProtection="1">
      <alignment horizontal="center" vertical="center"/>
    </xf>
    <xf numFmtId="191" fontId="133" fillId="0" borderId="0" xfId="0" applyNumberFormat="1" applyFont="1" applyFill="1" applyAlignment="1" applyProtection="1">
      <alignment horizontal="right" vertical="center"/>
    </xf>
    <xf numFmtId="185" fontId="245" fillId="0" borderId="1" xfId="0" applyNumberFormat="1" applyFont="1" applyFill="1" applyBorder="1" applyAlignment="1" applyProtection="1">
      <alignment horizontal="left" vertical="center" wrapText="1"/>
    </xf>
    <xf numFmtId="49" fontId="245" fillId="0" borderId="1" xfId="20" applyNumberFormat="1" applyFont="1" applyFill="1" applyBorder="1" applyAlignment="1">
      <alignment horizontal="right" vertical="center"/>
    </xf>
    <xf numFmtId="0" fontId="146" fillId="0" borderId="1" xfId="0" applyNumberFormat="1" applyFont="1" applyFill="1" applyBorder="1" applyAlignment="1" applyProtection="1">
      <alignment vertical="center" wrapText="1"/>
    </xf>
    <xf numFmtId="200" fontId="133" fillId="0" borderId="1" xfId="20" applyNumberFormat="1" applyFont="1" applyFill="1" applyBorder="1" applyAlignment="1">
      <alignment horizontal="right" vertical="center" wrapText="1"/>
    </xf>
    <xf numFmtId="191" fontId="279" fillId="0" borderId="0" xfId="0" applyNumberFormat="1" applyFont="1" applyFill="1" applyAlignment="1" applyProtection="1">
      <alignment horizontal="right" vertical="center"/>
    </xf>
    <xf numFmtId="0" fontId="0" fillId="0" borderId="1" xfId="0" applyNumberFormat="1" applyFont="1" applyFill="1" applyBorder="1" applyAlignment="1" applyProtection="1">
      <alignment vertical="center" wrapText="1"/>
    </xf>
    <xf numFmtId="191" fontId="280" fillId="0" borderId="0" xfId="0" applyNumberFormat="1" applyFont="1" applyFill="1" applyAlignment="1" applyProtection="1">
      <alignment horizontal="right" vertical="center"/>
    </xf>
    <xf numFmtId="0" fontId="245" fillId="0" borderId="1" xfId="20" applyNumberFormat="1" applyFont="1" applyFill="1" applyBorder="1" applyAlignment="1">
      <alignment horizontal="right" vertical="center" wrapText="1"/>
    </xf>
    <xf numFmtId="0" fontId="245" fillId="0" borderId="1" xfId="20" applyNumberFormat="1" applyFont="1" applyFill="1" applyBorder="1" applyAlignment="1">
      <alignment horizontal="right" vertical="center"/>
    </xf>
    <xf numFmtId="191" fontId="106" fillId="0" borderId="1" xfId="0" applyNumberFormat="1" applyFont="1" applyFill="1" applyBorder="1" applyAlignment="1" applyProtection="1">
      <alignment vertical="center" wrapText="1"/>
    </xf>
    <xf numFmtId="191" fontId="146" fillId="0" borderId="1" xfId="0" applyNumberFormat="1" applyFont="1" applyFill="1" applyBorder="1" applyAlignment="1" applyProtection="1">
      <alignment vertical="center" wrapText="1"/>
    </xf>
    <xf numFmtId="0" fontId="146" fillId="0" borderId="1" xfId="0" applyNumberFormat="1" applyFont="1" applyFill="1" applyBorder="1" applyAlignment="1" applyProtection="1">
      <alignment vertical="center"/>
    </xf>
    <xf numFmtId="0" fontId="133" fillId="0" borderId="0" xfId="0" applyNumberFormat="1" applyFont="1" applyFill="1" applyAlignment="1" applyProtection="1">
      <alignment horizontal="center" vertical="center"/>
    </xf>
    <xf numFmtId="0" fontId="133" fillId="0" borderId="0" xfId="0" applyFont="1" applyFill="1" applyAlignment="1" applyProtection="1">
      <alignment vertical="top"/>
    </xf>
    <xf numFmtId="0" fontId="133" fillId="0" borderId="0" xfId="0" applyFont="1" applyFill="1" applyAlignment="1" applyProtection="1">
      <alignment horizontal="right" vertical="center"/>
    </xf>
    <xf numFmtId="176" fontId="133" fillId="0" borderId="0" xfId="20" applyNumberFormat="1" applyFont="1" applyFill="1">
      <alignment vertical="center"/>
    </xf>
    <xf numFmtId="197" fontId="133" fillId="0" borderId="0" xfId="20" applyNumberFormat="1" applyFont="1" applyFill="1">
      <alignment vertical="center"/>
    </xf>
    <xf numFmtId="43" fontId="245" fillId="0" borderId="0" xfId="20" applyFont="1" applyFill="1">
      <alignment vertical="center"/>
    </xf>
    <xf numFmtId="43" fontId="133" fillId="0" borderId="0" xfId="20" applyFont="1" applyFill="1" applyAlignment="1">
      <alignment horizontal="left" vertical="center"/>
    </xf>
    <xf numFmtId="201" fontId="133" fillId="0" borderId="0" xfId="20" applyNumberFormat="1" applyFont="1" applyFill="1">
      <alignment vertical="center"/>
    </xf>
    <xf numFmtId="202" fontId="133" fillId="0" borderId="0" xfId="20" applyNumberFormat="1" applyFont="1" applyFill="1" applyAlignment="1">
      <alignment vertical="center" wrapText="1"/>
    </xf>
    <xf numFmtId="43" fontId="133" fillId="0" borderId="0" xfId="20" applyFont="1" applyFill="1" applyAlignment="1">
      <alignment horizontal="right" vertical="center"/>
    </xf>
    <xf numFmtId="203" fontId="133" fillId="0" borderId="0" xfId="20" applyNumberFormat="1" applyFont="1" applyFill="1" applyAlignment="1">
      <alignment horizontal="right" vertical="center"/>
    </xf>
    <xf numFmtId="198" fontId="133" fillId="0" borderId="0" xfId="20" applyNumberFormat="1" applyFont="1" applyFill="1">
      <alignment vertical="center"/>
    </xf>
    <xf numFmtId="41" fontId="133" fillId="0" borderId="0" xfId="20" applyNumberFormat="1" applyFont="1" applyFill="1">
      <alignment vertical="center"/>
    </xf>
    <xf numFmtId="198" fontId="133" fillId="0" borderId="0" xfId="20" applyNumberFormat="1" applyFont="1" applyFill="1" applyAlignment="1">
      <alignment horizontal="left" vertical="center"/>
    </xf>
    <xf numFmtId="43" fontId="133" fillId="0" borderId="0" xfId="20" applyFont="1" applyFill="1">
      <alignment vertical="center"/>
    </xf>
    <xf numFmtId="191" fontId="133" fillId="0" borderId="0" xfId="0" applyNumberFormat="1" applyFont="1" applyFill="1" applyAlignment="1" applyProtection="1">
      <alignment vertical="center" wrapText="1"/>
    </xf>
    <xf numFmtId="0" fontId="0" fillId="0" borderId="0" xfId="0" applyFont="1" applyFill="1" applyAlignment="1" applyProtection="1">
      <alignment vertical="center"/>
    </xf>
    <xf numFmtId="43" fontId="133" fillId="0" borderId="0" xfId="20" applyNumberFormat="1" applyFont="1" applyFill="1">
      <alignment vertical="center"/>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 name="千位分隔 2" xfId="20"/>
  </cellStyles>
  <dxfs count="623">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numFmt numFmtId="183" formatCode="yyyy&quot;年&quot;m&quot;月&quot;d&quot;日&quot;;@"/>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89154</xdr:colOff>
      <xdr:row>14</xdr:row>
      <xdr:rowOff>38100</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3119354" cy="2438400"/>
        </a:xfrm>
        <a:prstGeom prst="rect">
          <a:avLst/>
        </a:prstGeom>
      </xdr:spPr>
    </xdr:pic>
    <xdr:clientData/>
  </xdr:twoCellAnchor>
  <xdr:twoCellAnchor editAs="oneCell">
    <xdr:from>
      <xdr:col>1</xdr:col>
      <xdr:colOff>0</xdr:colOff>
      <xdr:row>14</xdr:row>
      <xdr:rowOff>0</xdr:rowOff>
    </xdr:from>
    <xdr:to>
      <xdr:col>19</xdr:col>
      <xdr:colOff>7913</xdr:colOff>
      <xdr:row>23</xdr:row>
      <xdr:rowOff>95045</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685800" y="2400300"/>
          <a:ext cx="12352313" cy="1638095"/>
        </a:xfrm>
        <a:prstGeom prst="rect">
          <a:avLst/>
        </a:prstGeom>
      </xdr:spPr>
    </xdr:pic>
    <xdr:clientData/>
  </xdr:twoCellAnchor>
  <xdr:twoCellAnchor editAs="oneCell">
    <xdr:from>
      <xdr:col>2</xdr:col>
      <xdr:colOff>142875</xdr:colOff>
      <xdr:row>30</xdr:row>
      <xdr:rowOff>104775</xdr:rowOff>
    </xdr:from>
    <xdr:to>
      <xdr:col>11</xdr:col>
      <xdr:colOff>494440</xdr:colOff>
      <xdr:row>64</xdr:row>
      <xdr:rowOff>113571</xdr:rowOff>
    </xdr:to>
    <xdr:pic>
      <xdr:nvPicPr>
        <xdr:cNvPr id="4" name="图片 3">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1514475" y="5248275"/>
          <a:ext cx="6523765" cy="58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WeChat%20Files\lei504866921\FileStorage\File\2023-03\20230329&#21326;&#39039;&#22269;&#38469;2023&#24180;&#31532;1&#23395;&#24230;&#31199;&#32422;&#34920;&#65288;23&#26085;&#26368;&#32456;&#29256;&#65289;_29&#26085;&#26356;&#26032;_&#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统计表"/>
      <sheetName val="租约表"/>
      <sheetName val="租约表对应的会计账"/>
      <sheetName val="租约表对应的日记账"/>
    </sheetNames>
    <sheetDataSet>
      <sheetData sheetId="0" refreshError="1"/>
      <sheetData sheetId="1">
        <row r="3">
          <cell r="B3">
            <v>1001</v>
          </cell>
        </row>
        <row r="4">
          <cell r="B4">
            <v>1002</v>
          </cell>
        </row>
        <row r="5">
          <cell r="B5">
            <v>1010</v>
          </cell>
        </row>
        <row r="6">
          <cell r="B6">
            <v>1012</v>
          </cell>
        </row>
        <row r="7">
          <cell r="B7">
            <v>1017</v>
          </cell>
        </row>
        <row r="8">
          <cell r="B8">
            <v>1023</v>
          </cell>
        </row>
        <row r="9">
          <cell r="B9">
            <v>1027</v>
          </cell>
        </row>
        <row r="10">
          <cell r="B10">
            <v>1030</v>
          </cell>
        </row>
        <row r="11">
          <cell r="B11">
            <v>1053</v>
          </cell>
        </row>
        <row r="12">
          <cell r="B12">
            <v>1055</v>
          </cell>
        </row>
        <row r="13">
          <cell r="B13">
            <v>1059</v>
          </cell>
        </row>
        <row r="14">
          <cell r="B14">
            <v>1060</v>
          </cell>
        </row>
        <row r="15">
          <cell r="B15">
            <v>1076</v>
          </cell>
        </row>
        <row r="16">
          <cell r="B16">
            <v>1077</v>
          </cell>
        </row>
        <row r="17">
          <cell r="B17">
            <v>1088</v>
          </cell>
        </row>
        <row r="18">
          <cell r="B18">
            <v>1089</v>
          </cell>
        </row>
        <row r="19">
          <cell r="B19">
            <v>1096</v>
          </cell>
        </row>
        <row r="20">
          <cell r="B20">
            <v>1098</v>
          </cell>
        </row>
        <row r="21">
          <cell r="B21">
            <v>1099</v>
          </cell>
        </row>
        <row r="22">
          <cell r="B22">
            <v>1108</v>
          </cell>
        </row>
        <row r="23">
          <cell r="B23">
            <v>1109</v>
          </cell>
        </row>
        <row r="24">
          <cell r="B24">
            <v>1119</v>
          </cell>
        </row>
        <row r="25">
          <cell r="B25">
            <v>1120</v>
          </cell>
        </row>
        <row r="26">
          <cell r="B26">
            <v>1121</v>
          </cell>
        </row>
        <row r="27">
          <cell r="B27">
            <v>1122</v>
          </cell>
        </row>
        <row r="28">
          <cell r="B28">
            <v>1123</v>
          </cell>
        </row>
        <row r="29">
          <cell r="B29">
            <v>2012</v>
          </cell>
        </row>
        <row r="30">
          <cell r="B30">
            <v>2041</v>
          </cell>
        </row>
        <row r="31">
          <cell r="B31">
            <v>2051</v>
          </cell>
        </row>
        <row r="32">
          <cell r="B32">
            <v>2058</v>
          </cell>
        </row>
        <row r="33">
          <cell r="B33">
            <v>2059</v>
          </cell>
        </row>
        <row r="34">
          <cell r="B34">
            <v>2063</v>
          </cell>
        </row>
        <row r="35">
          <cell r="B35">
            <v>2065</v>
          </cell>
        </row>
        <row r="36">
          <cell r="B36">
            <v>2078</v>
          </cell>
        </row>
        <row r="37">
          <cell r="B37">
            <v>2087</v>
          </cell>
        </row>
        <row r="39">
          <cell r="B39">
            <v>2093</v>
          </cell>
        </row>
        <row r="40">
          <cell r="B40">
            <v>2095</v>
          </cell>
        </row>
        <row r="41">
          <cell r="B41">
            <v>2096</v>
          </cell>
        </row>
        <row r="42">
          <cell r="B42">
            <v>2097</v>
          </cell>
        </row>
        <row r="44">
          <cell r="B44">
            <v>2099</v>
          </cell>
        </row>
        <row r="45">
          <cell r="B45">
            <v>2101</v>
          </cell>
        </row>
        <row r="46">
          <cell r="B46">
            <v>2102</v>
          </cell>
        </row>
        <row r="47">
          <cell r="B47">
            <v>2103</v>
          </cell>
        </row>
        <row r="48">
          <cell r="B48">
            <v>2106</v>
          </cell>
        </row>
        <row r="49">
          <cell r="B49">
            <v>2107</v>
          </cell>
        </row>
        <row r="50">
          <cell r="B50">
            <v>2128</v>
          </cell>
        </row>
        <row r="51">
          <cell r="B51">
            <v>2137</v>
          </cell>
        </row>
        <row r="52">
          <cell r="B52">
            <v>2141</v>
          </cell>
        </row>
        <row r="53">
          <cell r="B53" t="str">
            <v>扶梯西侧展示区</v>
          </cell>
        </row>
        <row r="54">
          <cell r="B54">
            <v>3003</v>
          </cell>
        </row>
        <row r="55">
          <cell r="B55">
            <v>3005</v>
          </cell>
        </row>
        <row r="56">
          <cell r="B56">
            <v>3006</v>
          </cell>
        </row>
        <row r="57">
          <cell r="B57">
            <v>3008</v>
          </cell>
        </row>
        <row r="58">
          <cell r="B58">
            <v>3019</v>
          </cell>
        </row>
        <row r="59">
          <cell r="B59">
            <v>3021</v>
          </cell>
        </row>
        <row r="60">
          <cell r="B60">
            <v>3022</v>
          </cell>
        </row>
        <row r="61">
          <cell r="B61">
            <v>3023</v>
          </cell>
        </row>
        <row r="62">
          <cell r="B62">
            <v>3026</v>
          </cell>
        </row>
        <row r="63">
          <cell r="B63">
            <v>3028</v>
          </cell>
        </row>
        <row r="64">
          <cell r="B64">
            <v>3037</v>
          </cell>
        </row>
        <row r="65">
          <cell r="B65">
            <v>4003</v>
          </cell>
        </row>
        <row r="66">
          <cell r="B66">
            <v>4006</v>
          </cell>
        </row>
        <row r="67">
          <cell r="B67" t="str">
            <v>4007</v>
          </cell>
        </row>
        <row r="68">
          <cell r="B68">
            <v>4008</v>
          </cell>
        </row>
        <row r="69">
          <cell r="B69">
            <v>4010</v>
          </cell>
        </row>
        <row r="70">
          <cell r="B70">
            <v>4013</v>
          </cell>
        </row>
        <row r="71">
          <cell r="B71">
            <v>4015</v>
          </cell>
        </row>
        <row r="72">
          <cell r="B72">
            <v>4016</v>
          </cell>
        </row>
        <row r="73">
          <cell r="B73">
            <v>4017</v>
          </cell>
        </row>
        <row r="74">
          <cell r="B74">
            <v>4018</v>
          </cell>
        </row>
        <row r="75">
          <cell r="B75">
            <v>4026</v>
          </cell>
        </row>
        <row r="76">
          <cell r="B76">
            <v>4032</v>
          </cell>
        </row>
        <row r="77">
          <cell r="B77">
            <v>4033</v>
          </cell>
        </row>
        <row r="78">
          <cell r="B78">
            <v>4088</v>
          </cell>
        </row>
        <row r="79">
          <cell r="B79">
            <v>4089</v>
          </cell>
        </row>
        <row r="80">
          <cell r="B80">
            <v>5001</v>
          </cell>
        </row>
        <row r="81">
          <cell r="B81">
            <v>5002</v>
          </cell>
        </row>
        <row r="82">
          <cell r="B82">
            <v>5003</v>
          </cell>
        </row>
        <row r="83">
          <cell r="B83">
            <v>5005</v>
          </cell>
        </row>
        <row r="84">
          <cell r="B84">
            <v>5006</v>
          </cell>
        </row>
        <row r="85">
          <cell r="B85">
            <v>5007</v>
          </cell>
        </row>
        <row r="86">
          <cell r="B86">
            <v>5009</v>
          </cell>
        </row>
        <row r="87">
          <cell r="B87">
            <v>5012</v>
          </cell>
        </row>
        <row r="88">
          <cell r="B88">
            <v>5016</v>
          </cell>
        </row>
        <row r="89">
          <cell r="B89">
            <v>5018</v>
          </cell>
        </row>
        <row r="90">
          <cell r="B90">
            <v>5019</v>
          </cell>
        </row>
        <row r="91">
          <cell r="B91">
            <v>5021</v>
          </cell>
        </row>
        <row r="92">
          <cell r="B92">
            <v>5027</v>
          </cell>
        </row>
        <row r="93">
          <cell r="B93">
            <v>5031</v>
          </cell>
        </row>
        <row r="94">
          <cell r="B94">
            <v>6001</v>
          </cell>
        </row>
        <row r="95">
          <cell r="B95">
            <v>6003</v>
          </cell>
        </row>
        <row r="96">
          <cell r="B96">
            <v>6005</v>
          </cell>
        </row>
        <row r="97">
          <cell r="B97">
            <v>6006</v>
          </cell>
        </row>
        <row r="98">
          <cell r="B98">
            <v>6007</v>
          </cell>
        </row>
        <row r="99">
          <cell r="B99">
            <v>6008</v>
          </cell>
        </row>
        <row r="100">
          <cell r="B100">
            <v>6009</v>
          </cell>
        </row>
        <row r="101">
          <cell r="B101" t="str">
            <v>B1001</v>
          </cell>
        </row>
        <row r="102">
          <cell r="B102" t="str">
            <v>B1002</v>
          </cell>
        </row>
        <row r="103">
          <cell r="B103" t="str">
            <v>B1003</v>
          </cell>
        </row>
        <row r="104">
          <cell r="B104" t="str">
            <v>B1006</v>
          </cell>
        </row>
        <row r="105">
          <cell r="B105" t="str">
            <v>B1007</v>
          </cell>
        </row>
        <row r="106">
          <cell r="B106" t="str">
            <v>B1009</v>
          </cell>
        </row>
        <row r="107">
          <cell r="B107" t="str">
            <v>B1011</v>
          </cell>
        </row>
        <row r="108">
          <cell r="B108" t="str">
            <v>B1012</v>
          </cell>
        </row>
        <row r="109">
          <cell r="B109" t="str">
            <v>B1013</v>
          </cell>
        </row>
        <row r="110">
          <cell r="B110" t="str">
            <v>B1015</v>
          </cell>
        </row>
        <row r="111">
          <cell r="B111" t="str">
            <v>B1016</v>
          </cell>
        </row>
        <row r="112">
          <cell r="B112" t="str">
            <v>B1017</v>
          </cell>
        </row>
        <row r="113">
          <cell r="B113" t="str">
            <v>B1018</v>
          </cell>
        </row>
        <row r="114">
          <cell r="B114" t="str">
            <v>B1019</v>
          </cell>
        </row>
        <row r="115">
          <cell r="B115" t="str">
            <v>B1020</v>
          </cell>
        </row>
        <row r="116">
          <cell r="B116" t="str">
            <v>B1021</v>
          </cell>
        </row>
        <row r="117">
          <cell r="B117" t="str">
            <v>B1022</v>
          </cell>
        </row>
        <row r="118">
          <cell r="B118" t="str">
            <v>B1023</v>
          </cell>
        </row>
        <row r="119">
          <cell r="B119" t="str">
            <v>B1026</v>
          </cell>
        </row>
        <row r="120">
          <cell r="B120" t="str">
            <v>B1027</v>
          </cell>
        </row>
        <row r="121">
          <cell r="B121" t="str">
            <v>B1028</v>
          </cell>
        </row>
        <row r="122">
          <cell r="B122" t="str">
            <v>B1118</v>
          </cell>
        </row>
        <row r="123">
          <cell r="B123" t="str">
            <v>B2020</v>
          </cell>
        </row>
        <row r="124">
          <cell r="B124" t="str">
            <v>B224</v>
          </cell>
        </row>
        <row r="125">
          <cell r="B125" t="str">
            <v>B226</v>
          </cell>
        </row>
      </sheetData>
      <sheetData sheetId="2">
        <row r="5">
          <cell r="C5">
            <v>2012</v>
          </cell>
          <cell r="D5">
            <v>874</v>
          </cell>
          <cell r="H5">
            <v>4003</v>
          </cell>
          <cell r="I5">
            <v>288686</v>
          </cell>
          <cell r="S5">
            <v>4003</v>
          </cell>
          <cell r="T5">
            <v>269441</v>
          </cell>
          <cell r="X5">
            <v>4003</v>
          </cell>
          <cell r="Y5">
            <v>7500</v>
          </cell>
          <cell r="AC5">
            <v>4003</v>
          </cell>
          <cell r="AD5">
            <v>450</v>
          </cell>
          <cell r="AH5">
            <v>1089</v>
          </cell>
          <cell r="AI5">
            <v>1800</v>
          </cell>
        </row>
        <row r="6">
          <cell r="C6">
            <v>1099</v>
          </cell>
          <cell r="D6">
            <v>231609</v>
          </cell>
          <cell r="H6" t="str">
            <v>B1002</v>
          </cell>
          <cell r="I6">
            <v>103679</v>
          </cell>
          <cell r="S6">
            <v>2106</v>
          </cell>
          <cell r="T6">
            <v>25091</v>
          </cell>
          <cell r="X6">
            <v>2106</v>
          </cell>
          <cell r="Y6">
            <v>133</v>
          </cell>
          <cell r="AC6" t="str">
            <v>B1118</v>
          </cell>
          <cell r="AD6">
            <v>50</v>
          </cell>
          <cell r="AH6">
            <v>3006</v>
          </cell>
          <cell r="AI6">
            <v>1800</v>
          </cell>
        </row>
        <row r="7">
          <cell r="C7">
            <v>2128</v>
          </cell>
          <cell r="D7">
            <v>115137</v>
          </cell>
          <cell r="H7">
            <v>1099</v>
          </cell>
          <cell r="I7">
            <v>94259</v>
          </cell>
          <cell r="S7">
            <v>4006</v>
          </cell>
          <cell r="T7">
            <v>10000</v>
          </cell>
          <cell r="X7">
            <v>2106</v>
          </cell>
          <cell r="Y7">
            <v>2247</v>
          </cell>
          <cell r="AC7">
            <v>1099</v>
          </cell>
          <cell r="AD7">
            <v>1950</v>
          </cell>
          <cell r="AH7" t="str">
            <v>B1026</v>
          </cell>
          <cell r="AI7">
            <v>1800</v>
          </cell>
        </row>
        <row r="8">
          <cell r="C8">
            <v>3006</v>
          </cell>
          <cell r="D8">
            <v>298950</v>
          </cell>
          <cell r="H8">
            <v>2128</v>
          </cell>
          <cell r="I8">
            <v>191894</v>
          </cell>
          <cell r="S8">
            <v>1099</v>
          </cell>
          <cell r="T8">
            <v>37704</v>
          </cell>
          <cell r="X8">
            <v>1099</v>
          </cell>
          <cell r="Y8">
            <v>2500</v>
          </cell>
          <cell r="AC8">
            <v>2128</v>
          </cell>
          <cell r="AD8">
            <v>150</v>
          </cell>
          <cell r="AH8">
            <v>2099</v>
          </cell>
          <cell r="AI8">
            <v>600</v>
          </cell>
        </row>
        <row r="9">
          <cell r="C9">
            <v>3021</v>
          </cell>
          <cell r="D9">
            <v>44517</v>
          </cell>
          <cell r="H9">
            <v>3021</v>
          </cell>
          <cell r="I9">
            <v>57708</v>
          </cell>
          <cell r="S9">
            <v>2128</v>
          </cell>
          <cell r="T9">
            <v>89551</v>
          </cell>
          <cell r="X9">
            <v>2128</v>
          </cell>
          <cell r="Y9">
            <v>2500</v>
          </cell>
          <cell r="AC9">
            <v>3021</v>
          </cell>
          <cell r="AD9">
            <v>300</v>
          </cell>
          <cell r="AH9">
            <v>5002</v>
          </cell>
          <cell r="AI9">
            <v>1800</v>
          </cell>
        </row>
        <row r="10">
          <cell r="C10">
            <v>3022</v>
          </cell>
          <cell r="D10">
            <v>34630</v>
          </cell>
          <cell r="H10">
            <v>3022</v>
          </cell>
          <cell r="I10">
            <v>39522</v>
          </cell>
          <cell r="S10">
            <v>3006</v>
          </cell>
          <cell r="T10">
            <v>281050</v>
          </cell>
          <cell r="X10">
            <v>3006</v>
          </cell>
          <cell r="Y10">
            <v>7500</v>
          </cell>
          <cell r="AC10">
            <v>3022</v>
          </cell>
          <cell r="AD10">
            <v>300</v>
          </cell>
          <cell r="AH10">
            <v>5006</v>
          </cell>
          <cell r="AI10">
            <v>600</v>
          </cell>
        </row>
        <row r="11">
          <cell r="C11">
            <v>3028</v>
          </cell>
          <cell r="D11">
            <v>73471</v>
          </cell>
          <cell r="H11">
            <v>3028</v>
          </cell>
          <cell r="I11">
            <v>22491</v>
          </cell>
          <cell r="S11">
            <v>3021</v>
          </cell>
          <cell r="T11">
            <v>53861</v>
          </cell>
          <cell r="X11">
            <v>3021</v>
          </cell>
          <cell r="Y11">
            <v>2500</v>
          </cell>
          <cell r="AC11">
            <v>3028</v>
          </cell>
          <cell r="AD11">
            <v>150</v>
          </cell>
          <cell r="AH11">
            <v>5009</v>
          </cell>
          <cell r="AI11">
            <v>600</v>
          </cell>
        </row>
        <row r="12">
          <cell r="C12">
            <v>3037</v>
          </cell>
          <cell r="D12">
            <v>107768</v>
          </cell>
          <cell r="H12">
            <v>3037</v>
          </cell>
          <cell r="I12">
            <v>76977</v>
          </cell>
          <cell r="S12">
            <v>3022</v>
          </cell>
          <cell r="T12">
            <v>36887</v>
          </cell>
          <cell r="X12">
            <v>3022</v>
          </cell>
          <cell r="Y12">
            <v>2500</v>
          </cell>
          <cell r="AC12">
            <v>3037</v>
          </cell>
          <cell r="AD12">
            <v>150</v>
          </cell>
          <cell r="AH12">
            <v>5016</v>
          </cell>
          <cell r="AI12">
            <v>1800</v>
          </cell>
        </row>
        <row r="13">
          <cell r="C13">
            <v>4013</v>
          </cell>
          <cell r="D13">
            <v>52313</v>
          </cell>
          <cell r="H13" t="str">
            <v>B1007</v>
          </cell>
          <cell r="I13">
            <v>40550</v>
          </cell>
          <cell r="S13">
            <v>3028</v>
          </cell>
          <cell r="T13">
            <v>20992</v>
          </cell>
          <cell r="X13">
            <v>3028</v>
          </cell>
          <cell r="Y13">
            <v>2500</v>
          </cell>
          <cell r="AC13">
            <v>4013</v>
          </cell>
          <cell r="AD13">
            <v>300</v>
          </cell>
          <cell r="AH13">
            <v>5018</v>
          </cell>
          <cell r="AI13">
            <v>1800</v>
          </cell>
        </row>
        <row r="14">
          <cell r="C14" t="str">
            <v>B1007</v>
          </cell>
          <cell r="D14">
            <v>85156</v>
          </cell>
          <cell r="H14" t="str">
            <v>B1022</v>
          </cell>
          <cell r="I14">
            <v>6822</v>
          </cell>
          <cell r="S14">
            <v>3037</v>
          </cell>
          <cell r="T14">
            <v>71845</v>
          </cell>
          <cell r="X14">
            <v>3037</v>
          </cell>
          <cell r="Y14">
            <v>2500</v>
          </cell>
          <cell r="AC14" t="str">
            <v>B1022</v>
          </cell>
          <cell r="AD14">
            <v>150</v>
          </cell>
          <cell r="AH14">
            <v>5001</v>
          </cell>
          <cell r="AI14">
            <v>1800</v>
          </cell>
        </row>
        <row r="15">
          <cell r="C15" t="str">
            <v>B1022</v>
          </cell>
          <cell r="D15">
            <v>21251</v>
          </cell>
          <cell r="H15" t="str">
            <v>B1026</v>
          </cell>
          <cell r="I15">
            <v>5166</v>
          </cell>
          <cell r="S15">
            <v>4013</v>
          </cell>
          <cell r="T15">
            <v>58695</v>
          </cell>
          <cell r="X15">
            <v>4013</v>
          </cell>
          <cell r="Y15">
            <v>2500</v>
          </cell>
          <cell r="AC15" t="str">
            <v>B1026</v>
          </cell>
          <cell r="AD15">
            <v>3150</v>
          </cell>
          <cell r="AH15">
            <v>5006</v>
          </cell>
          <cell r="AI15">
            <v>600</v>
          </cell>
        </row>
        <row r="16">
          <cell r="C16" t="str">
            <v>B1026</v>
          </cell>
          <cell r="D16">
            <v>21697</v>
          </cell>
          <cell r="H16">
            <v>1001</v>
          </cell>
          <cell r="I16">
            <v>153468</v>
          </cell>
          <cell r="S16">
            <v>4015</v>
          </cell>
          <cell r="T16">
            <v>36192</v>
          </cell>
          <cell r="X16" t="str">
            <v>B1022</v>
          </cell>
          <cell r="Y16">
            <v>1250</v>
          </cell>
          <cell r="AC16">
            <v>1001</v>
          </cell>
          <cell r="AD16">
            <v>150</v>
          </cell>
          <cell r="AH16">
            <v>5007</v>
          </cell>
          <cell r="AI16">
            <v>1800</v>
          </cell>
        </row>
        <row r="17">
          <cell r="C17">
            <v>1001</v>
          </cell>
          <cell r="D17">
            <v>1210205</v>
          </cell>
          <cell r="H17">
            <v>1002</v>
          </cell>
          <cell r="I17">
            <v>287297</v>
          </cell>
          <cell r="S17" t="str">
            <v>B1022</v>
          </cell>
          <cell r="T17">
            <v>9551</v>
          </cell>
          <cell r="X17" t="str">
            <v>B1026</v>
          </cell>
          <cell r="Y17">
            <v>2500</v>
          </cell>
          <cell r="AC17">
            <v>1002</v>
          </cell>
          <cell r="AD17">
            <v>150</v>
          </cell>
          <cell r="AH17">
            <v>5009</v>
          </cell>
          <cell r="AI17">
            <v>600</v>
          </cell>
        </row>
        <row r="18">
          <cell r="C18">
            <v>1002</v>
          </cell>
          <cell r="D18">
            <v>504996</v>
          </cell>
          <cell r="H18">
            <v>1012</v>
          </cell>
          <cell r="I18">
            <v>172637</v>
          </cell>
          <cell r="S18" t="str">
            <v>B1026</v>
          </cell>
          <cell r="T18">
            <v>7232</v>
          </cell>
          <cell r="X18">
            <v>1001</v>
          </cell>
          <cell r="Y18">
            <v>2500</v>
          </cell>
          <cell r="AC18">
            <v>1010</v>
          </cell>
          <cell r="AD18">
            <v>2550</v>
          </cell>
          <cell r="AH18">
            <v>5021</v>
          </cell>
          <cell r="AI18">
            <v>1800</v>
          </cell>
        </row>
        <row r="19">
          <cell r="C19">
            <v>1010</v>
          </cell>
          <cell r="D19">
            <v>172675</v>
          </cell>
          <cell r="H19">
            <v>1030</v>
          </cell>
          <cell r="I19">
            <v>57095</v>
          </cell>
          <cell r="S19">
            <v>1001</v>
          </cell>
          <cell r="T19">
            <v>61387</v>
          </cell>
          <cell r="X19">
            <v>1002</v>
          </cell>
          <cell r="Y19">
            <v>2500</v>
          </cell>
          <cell r="AC19">
            <v>1012</v>
          </cell>
          <cell r="AD19">
            <v>150</v>
          </cell>
          <cell r="AH19">
            <v>5027</v>
          </cell>
          <cell r="AI19">
            <v>1800</v>
          </cell>
        </row>
        <row r="20">
          <cell r="C20">
            <v>1012</v>
          </cell>
          <cell r="D20">
            <v>1003760</v>
          </cell>
          <cell r="H20">
            <v>1055</v>
          </cell>
          <cell r="I20">
            <v>11592</v>
          </cell>
          <cell r="S20">
            <v>1002</v>
          </cell>
          <cell r="T20">
            <v>114919</v>
          </cell>
          <cell r="X20">
            <v>1053</v>
          </cell>
          <cell r="Y20">
            <v>2500</v>
          </cell>
          <cell r="AC20">
            <v>1053</v>
          </cell>
          <cell r="AD20">
            <v>150</v>
          </cell>
          <cell r="AH20">
            <v>5031</v>
          </cell>
          <cell r="AI20">
            <v>1800</v>
          </cell>
        </row>
        <row r="21">
          <cell r="C21">
            <v>1017</v>
          </cell>
          <cell r="D21">
            <v>60000</v>
          </cell>
          <cell r="H21">
            <v>1059</v>
          </cell>
          <cell r="I21">
            <v>108956</v>
          </cell>
          <cell r="S21">
            <v>1010</v>
          </cell>
          <cell r="T21">
            <v>26833</v>
          </cell>
          <cell r="X21">
            <v>1059</v>
          </cell>
          <cell r="Y21">
            <v>2500</v>
          </cell>
          <cell r="AC21">
            <v>1055</v>
          </cell>
          <cell r="AD21">
            <v>150</v>
          </cell>
          <cell r="AH21" t="str">
            <v>B1027</v>
          </cell>
          <cell r="AI21">
            <v>600</v>
          </cell>
        </row>
        <row r="22">
          <cell r="C22">
            <v>1027</v>
          </cell>
          <cell r="D22">
            <v>200000</v>
          </cell>
          <cell r="H22">
            <v>1088</v>
          </cell>
          <cell r="I22">
            <v>22767</v>
          </cell>
          <cell r="S22">
            <v>1012</v>
          </cell>
          <cell r="T22">
            <v>69055</v>
          </cell>
          <cell r="X22">
            <v>1089</v>
          </cell>
          <cell r="Y22">
            <v>2500</v>
          </cell>
          <cell r="AC22">
            <v>1059</v>
          </cell>
          <cell r="AD22">
            <v>150</v>
          </cell>
          <cell r="AH22" t="str">
            <v>B1027</v>
          </cell>
          <cell r="AI22">
            <v>600</v>
          </cell>
        </row>
        <row r="23">
          <cell r="C23">
            <v>1030</v>
          </cell>
          <cell r="D23">
            <v>18065</v>
          </cell>
          <cell r="H23">
            <v>1088</v>
          </cell>
          <cell r="I23">
            <v>45559</v>
          </cell>
          <cell r="S23">
            <v>1030</v>
          </cell>
          <cell r="T23">
            <v>22838</v>
          </cell>
          <cell r="X23">
            <v>1098</v>
          </cell>
          <cell r="Y23">
            <v>2500</v>
          </cell>
          <cell r="AC23">
            <v>1076</v>
          </cell>
          <cell r="AD23">
            <v>150</v>
          </cell>
          <cell r="AH23" t="str">
            <v>B1027</v>
          </cell>
          <cell r="AI23">
            <v>600</v>
          </cell>
        </row>
        <row r="24">
          <cell r="C24">
            <v>1053</v>
          </cell>
          <cell r="D24">
            <v>80000</v>
          </cell>
          <cell r="H24">
            <v>1089</v>
          </cell>
          <cell r="I24">
            <v>31235</v>
          </cell>
          <cell r="S24">
            <v>1053</v>
          </cell>
          <cell r="T24">
            <v>31987</v>
          </cell>
          <cell r="X24">
            <v>1119</v>
          </cell>
          <cell r="Y24">
            <v>2500</v>
          </cell>
          <cell r="AC24">
            <v>1088</v>
          </cell>
          <cell r="AD24">
            <v>300</v>
          </cell>
          <cell r="AH24">
            <v>2099</v>
          </cell>
          <cell r="AI24">
            <v>600</v>
          </cell>
        </row>
        <row r="25">
          <cell r="C25">
            <v>1055</v>
          </cell>
          <cell r="D25">
            <v>53954</v>
          </cell>
          <cell r="H25">
            <v>1098</v>
          </cell>
          <cell r="I25">
            <v>225204</v>
          </cell>
          <cell r="S25">
            <v>1055</v>
          </cell>
          <cell r="T25">
            <v>32458</v>
          </cell>
          <cell r="X25">
            <v>1123</v>
          </cell>
          <cell r="Y25">
            <v>2500</v>
          </cell>
          <cell r="AC25">
            <v>1089</v>
          </cell>
          <cell r="AD25">
            <v>1950</v>
          </cell>
          <cell r="AH25">
            <v>2099</v>
          </cell>
          <cell r="AI25">
            <v>600</v>
          </cell>
        </row>
        <row r="26">
          <cell r="C26">
            <v>1059</v>
          </cell>
          <cell r="D26">
            <v>228809</v>
          </cell>
          <cell r="H26">
            <v>1108</v>
          </cell>
          <cell r="I26">
            <v>65268</v>
          </cell>
          <cell r="S26">
            <v>1059</v>
          </cell>
          <cell r="T26">
            <v>43583</v>
          </cell>
          <cell r="X26">
            <v>2063</v>
          </cell>
          <cell r="Y26">
            <v>2500</v>
          </cell>
          <cell r="AC26">
            <v>1098</v>
          </cell>
          <cell r="AD26">
            <v>1950</v>
          </cell>
          <cell r="AH26" t="str">
            <v>5012</v>
          </cell>
          <cell r="AI26">
            <v>1800</v>
          </cell>
        </row>
        <row r="27">
          <cell r="C27">
            <v>1088</v>
          </cell>
          <cell r="D27">
            <v>104441</v>
          </cell>
          <cell r="H27">
            <v>1109</v>
          </cell>
          <cell r="I27">
            <v>179154</v>
          </cell>
          <cell r="S27">
            <v>1076</v>
          </cell>
          <cell r="T27">
            <v>22462</v>
          </cell>
          <cell r="X27">
            <v>2078</v>
          </cell>
          <cell r="Y27">
            <v>2500</v>
          </cell>
          <cell r="AC27">
            <v>1108</v>
          </cell>
          <cell r="AD27">
            <v>150</v>
          </cell>
        </row>
        <row r="28">
          <cell r="C28">
            <v>1089</v>
          </cell>
          <cell r="D28">
            <v>24401</v>
          </cell>
          <cell r="H28">
            <v>1119</v>
          </cell>
          <cell r="I28">
            <v>117600</v>
          </cell>
          <cell r="S28">
            <v>1088</v>
          </cell>
          <cell r="T28">
            <v>27330</v>
          </cell>
          <cell r="X28">
            <v>2087</v>
          </cell>
          <cell r="Y28">
            <v>2500</v>
          </cell>
          <cell r="AC28">
            <v>1119</v>
          </cell>
          <cell r="AD28">
            <v>150</v>
          </cell>
        </row>
        <row r="29">
          <cell r="C29">
            <v>1098</v>
          </cell>
          <cell r="D29">
            <v>112920</v>
          </cell>
          <cell r="H29">
            <v>1123</v>
          </cell>
          <cell r="I29">
            <v>67385</v>
          </cell>
          <cell r="S29">
            <v>1089</v>
          </cell>
          <cell r="T29">
            <v>10000</v>
          </cell>
          <cell r="X29">
            <v>2098</v>
          </cell>
          <cell r="Y29">
            <v>1250</v>
          </cell>
          <cell r="AC29">
            <v>1123</v>
          </cell>
          <cell r="AD29">
            <v>150</v>
          </cell>
        </row>
        <row r="30">
          <cell r="C30">
            <v>1098</v>
          </cell>
          <cell r="D30">
            <v>746072</v>
          </cell>
          <cell r="H30">
            <v>2051</v>
          </cell>
          <cell r="I30">
            <v>162086</v>
          </cell>
          <cell r="S30">
            <v>1089</v>
          </cell>
          <cell r="T30">
            <v>3545</v>
          </cell>
          <cell r="X30">
            <v>2101</v>
          </cell>
          <cell r="Y30">
            <v>1250</v>
          </cell>
          <cell r="AC30">
            <v>2041</v>
          </cell>
          <cell r="AD30">
            <v>150</v>
          </cell>
        </row>
        <row r="31">
          <cell r="C31">
            <v>1108</v>
          </cell>
          <cell r="D31">
            <v>99767</v>
          </cell>
          <cell r="H31">
            <v>2063</v>
          </cell>
          <cell r="I31">
            <v>22579</v>
          </cell>
          <cell r="S31">
            <v>1098</v>
          </cell>
          <cell r="T31">
            <v>90082</v>
          </cell>
          <cell r="X31">
            <v>3023</v>
          </cell>
          <cell r="Y31">
            <v>2500</v>
          </cell>
          <cell r="AC31">
            <v>2051</v>
          </cell>
          <cell r="AD31">
            <v>150</v>
          </cell>
        </row>
        <row r="32">
          <cell r="C32">
            <v>1109</v>
          </cell>
          <cell r="D32">
            <v>120846</v>
          </cell>
          <cell r="H32">
            <v>2078</v>
          </cell>
          <cell r="I32">
            <v>63158.92</v>
          </cell>
          <cell r="S32">
            <v>1108</v>
          </cell>
          <cell r="T32">
            <v>26107</v>
          </cell>
          <cell r="X32">
            <v>3026</v>
          </cell>
          <cell r="Y32">
            <v>2500</v>
          </cell>
          <cell r="AC32">
            <v>2063</v>
          </cell>
          <cell r="AD32">
            <v>150</v>
          </cell>
        </row>
        <row r="33">
          <cell r="C33">
            <v>1109</v>
          </cell>
          <cell r="D33">
            <v>178597</v>
          </cell>
          <cell r="H33">
            <v>2087</v>
          </cell>
          <cell r="I33">
            <v>46771</v>
          </cell>
          <cell r="S33">
            <v>1119</v>
          </cell>
          <cell r="T33">
            <v>47040</v>
          </cell>
          <cell r="X33">
            <v>4008</v>
          </cell>
          <cell r="Y33">
            <v>2500</v>
          </cell>
          <cell r="AC33">
            <v>2065</v>
          </cell>
          <cell r="AD33">
            <v>150</v>
          </cell>
        </row>
        <row r="34">
          <cell r="C34">
            <v>1119</v>
          </cell>
          <cell r="D34">
            <v>266862</v>
          </cell>
          <cell r="H34">
            <v>2099</v>
          </cell>
          <cell r="I34">
            <v>11110</v>
          </cell>
          <cell r="S34">
            <v>1123</v>
          </cell>
          <cell r="T34">
            <v>26954</v>
          </cell>
          <cell r="X34">
            <v>4026</v>
          </cell>
          <cell r="Y34">
            <v>2500</v>
          </cell>
          <cell r="AC34">
            <v>2078</v>
          </cell>
          <cell r="AD34">
            <v>150</v>
          </cell>
        </row>
        <row r="35">
          <cell r="C35">
            <v>1123</v>
          </cell>
          <cell r="D35">
            <v>257025</v>
          </cell>
          <cell r="H35">
            <v>3023</v>
          </cell>
          <cell r="I35">
            <v>34824</v>
          </cell>
          <cell r="S35">
            <v>2041</v>
          </cell>
          <cell r="T35">
            <v>29993.040000000001</v>
          </cell>
          <cell r="X35">
            <v>4033</v>
          </cell>
          <cell r="Y35">
            <v>2500</v>
          </cell>
          <cell r="AC35">
            <v>2087</v>
          </cell>
          <cell r="AD35">
            <v>150</v>
          </cell>
        </row>
        <row r="36">
          <cell r="C36">
            <v>2051</v>
          </cell>
          <cell r="D36">
            <v>451141</v>
          </cell>
          <cell r="H36">
            <v>3026</v>
          </cell>
          <cell r="I36">
            <v>37598</v>
          </cell>
          <cell r="S36">
            <v>2051</v>
          </cell>
          <cell r="T36">
            <v>75640</v>
          </cell>
          <cell r="X36">
            <v>5002</v>
          </cell>
          <cell r="Y36">
            <v>2500</v>
          </cell>
          <cell r="AC36">
            <v>2098</v>
          </cell>
          <cell r="AD36">
            <v>150</v>
          </cell>
        </row>
        <row r="37">
          <cell r="C37">
            <v>2063</v>
          </cell>
          <cell r="D37">
            <v>36884</v>
          </cell>
          <cell r="H37">
            <v>4013</v>
          </cell>
          <cell r="I37">
            <v>67080</v>
          </cell>
          <cell r="S37">
            <v>2063</v>
          </cell>
          <cell r="T37">
            <v>10537</v>
          </cell>
          <cell r="X37">
            <v>5006</v>
          </cell>
          <cell r="Y37">
            <v>2500</v>
          </cell>
          <cell r="AC37">
            <v>2099</v>
          </cell>
          <cell r="AD37">
            <v>650</v>
          </cell>
        </row>
        <row r="38">
          <cell r="C38">
            <v>2078</v>
          </cell>
          <cell r="D38">
            <v>126614.08</v>
          </cell>
          <cell r="H38">
            <v>4015</v>
          </cell>
          <cell r="I38">
            <v>35153</v>
          </cell>
          <cell r="S38">
            <v>2078</v>
          </cell>
          <cell r="T38">
            <v>57577</v>
          </cell>
          <cell r="X38">
            <v>5009</v>
          </cell>
          <cell r="Y38">
            <v>2083</v>
          </cell>
          <cell r="AC38">
            <v>2101</v>
          </cell>
          <cell r="AD38">
            <v>150</v>
          </cell>
        </row>
        <row r="39">
          <cell r="C39">
            <v>2087</v>
          </cell>
          <cell r="D39">
            <v>98999</v>
          </cell>
          <cell r="H39">
            <v>4016</v>
          </cell>
          <cell r="I39">
            <v>29715</v>
          </cell>
          <cell r="S39">
            <v>2087</v>
          </cell>
          <cell r="T39">
            <v>21827</v>
          </cell>
          <cell r="X39">
            <v>5018</v>
          </cell>
          <cell r="Y39">
            <v>2500</v>
          </cell>
          <cell r="AC39">
            <v>3023</v>
          </cell>
          <cell r="AD39">
            <v>300</v>
          </cell>
        </row>
        <row r="40">
          <cell r="C40">
            <v>2099</v>
          </cell>
          <cell r="D40">
            <v>6595</v>
          </cell>
          <cell r="H40">
            <v>4026</v>
          </cell>
          <cell r="I40">
            <v>15175</v>
          </cell>
          <cell r="S40">
            <v>2098</v>
          </cell>
          <cell r="T40">
            <v>13586.86</v>
          </cell>
          <cell r="X40" t="str">
            <v>B1006</v>
          </cell>
          <cell r="Y40">
            <v>2500</v>
          </cell>
          <cell r="AC40">
            <v>3026</v>
          </cell>
          <cell r="AD40">
            <v>150</v>
          </cell>
        </row>
        <row r="41">
          <cell r="C41">
            <v>3023</v>
          </cell>
          <cell r="D41">
            <v>86769</v>
          </cell>
          <cell r="H41">
            <v>4033</v>
          </cell>
          <cell r="I41">
            <v>108240</v>
          </cell>
          <cell r="S41">
            <v>2099</v>
          </cell>
          <cell r="T41">
            <v>10370</v>
          </cell>
          <cell r="X41" t="str">
            <v>B1007</v>
          </cell>
          <cell r="Y41">
            <v>1250</v>
          </cell>
          <cell r="AC41">
            <v>4008</v>
          </cell>
          <cell r="AD41">
            <v>300</v>
          </cell>
        </row>
        <row r="42">
          <cell r="C42">
            <v>3026</v>
          </cell>
          <cell r="D42">
            <v>52638</v>
          </cell>
          <cell r="H42">
            <v>5002</v>
          </cell>
          <cell r="I42">
            <v>24864</v>
          </cell>
          <cell r="S42">
            <v>2101</v>
          </cell>
          <cell r="T42">
            <v>8677.5400000000009</v>
          </cell>
          <cell r="X42" t="str">
            <v>B1009</v>
          </cell>
          <cell r="Y42">
            <v>2500</v>
          </cell>
          <cell r="AC42">
            <v>4016</v>
          </cell>
          <cell r="AD42">
            <v>150</v>
          </cell>
        </row>
        <row r="43">
          <cell r="C43">
            <v>4008</v>
          </cell>
          <cell r="D43">
            <v>32508</v>
          </cell>
          <cell r="H43">
            <v>5006</v>
          </cell>
          <cell r="I43">
            <v>12732</v>
          </cell>
          <cell r="S43">
            <v>3023</v>
          </cell>
          <cell r="T43">
            <v>32502</v>
          </cell>
          <cell r="X43" t="str">
            <v>B1012</v>
          </cell>
          <cell r="Y43">
            <v>2500</v>
          </cell>
          <cell r="AC43">
            <v>4026</v>
          </cell>
          <cell r="AD43">
            <v>150</v>
          </cell>
        </row>
        <row r="44">
          <cell r="C44">
            <v>4013</v>
          </cell>
          <cell r="D44">
            <v>52779</v>
          </cell>
          <cell r="H44">
            <v>5009</v>
          </cell>
          <cell r="I44">
            <v>17178</v>
          </cell>
          <cell r="S44">
            <v>3026</v>
          </cell>
          <cell r="T44">
            <v>35091</v>
          </cell>
          <cell r="X44" t="str">
            <v>B1013</v>
          </cell>
          <cell r="Y44">
            <v>833</v>
          </cell>
          <cell r="AC44">
            <v>4033</v>
          </cell>
          <cell r="AD44">
            <v>300</v>
          </cell>
        </row>
        <row r="45">
          <cell r="C45">
            <v>4015</v>
          </cell>
          <cell r="D45">
            <v>55072</v>
          </cell>
          <cell r="H45">
            <v>5016</v>
          </cell>
          <cell r="I45">
            <v>16884</v>
          </cell>
          <cell r="S45">
            <v>4007</v>
          </cell>
          <cell r="T45">
            <v>15000</v>
          </cell>
          <cell r="X45" t="str">
            <v>B1015</v>
          </cell>
          <cell r="Y45">
            <v>2500</v>
          </cell>
          <cell r="AC45">
            <v>5002</v>
          </cell>
          <cell r="AD45">
            <v>3750</v>
          </cell>
        </row>
        <row r="46">
          <cell r="C46">
            <v>4016</v>
          </cell>
          <cell r="D46">
            <v>40947</v>
          </cell>
          <cell r="H46" t="str">
            <v>B1002</v>
          </cell>
          <cell r="I46">
            <v>3889</v>
          </cell>
          <cell r="S46">
            <v>4008</v>
          </cell>
          <cell r="T46">
            <v>101136</v>
          </cell>
          <cell r="X46" t="str">
            <v>B1018</v>
          </cell>
          <cell r="Y46">
            <v>2500</v>
          </cell>
          <cell r="AC46">
            <v>5006</v>
          </cell>
          <cell r="AD46">
            <v>1450</v>
          </cell>
        </row>
        <row r="47">
          <cell r="C47">
            <v>4026</v>
          </cell>
          <cell r="D47">
            <v>20000</v>
          </cell>
          <cell r="H47" t="str">
            <v>B1006</v>
          </cell>
          <cell r="I47">
            <v>9072</v>
          </cell>
          <cell r="S47">
            <v>4013</v>
          </cell>
          <cell r="T47">
            <v>3913</v>
          </cell>
          <cell r="X47" t="str">
            <v>B1021</v>
          </cell>
          <cell r="Y47">
            <v>1250</v>
          </cell>
          <cell r="AC47">
            <v>5009</v>
          </cell>
          <cell r="AD47">
            <v>1250</v>
          </cell>
        </row>
        <row r="48">
          <cell r="C48">
            <v>4026</v>
          </cell>
          <cell r="D48">
            <v>11992</v>
          </cell>
          <cell r="H48" t="str">
            <v>B1009</v>
          </cell>
          <cell r="I48">
            <v>25267</v>
          </cell>
          <cell r="S48">
            <v>4016</v>
          </cell>
          <cell r="T48">
            <v>27735</v>
          </cell>
          <cell r="X48" t="str">
            <v>B1028</v>
          </cell>
          <cell r="Y48">
            <v>2500</v>
          </cell>
          <cell r="AC48">
            <v>5016</v>
          </cell>
          <cell r="AD48">
            <v>3750</v>
          </cell>
        </row>
        <row r="49">
          <cell r="C49">
            <v>4033</v>
          </cell>
          <cell r="D49">
            <v>162360</v>
          </cell>
          <cell r="H49" t="str">
            <v>B1012</v>
          </cell>
          <cell r="I49">
            <v>12466</v>
          </cell>
          <cell r="S49">
            <v>4026</v>
          </cell>
          <cell r="T49">
            <v>42489</v>
          </cell>
          <cell r="X49" t="str">
            <v>B1118</v>
          </cell>
          <cell r="Y49">
            <v>833.34</v>
          </cell>
          <cell r="AC49">
            <v>5018</v>
          </cell>
          <cell r="AD49">
            <v>3750</v>
          </cell>
        </row>
        <row r="50">
          <cell r="C50">
            <v>5002</v>
          </cell>
          <cell r="D50">
            <v>179021</v>
          </cell>
          <cell r="H50" t="str">
            <v>B1013</v>
          </cell>
          <cell r="I50">
            <v>5045</v>
          </cell>
          <cell r="S50">
            <v>4033</v>
          </cell>
          <cell r="T50">
            <v>101024</v>
          </cell>
          <cell r="X50" t="str">
            <v>B2020</v>
          </cell>
          <cell r="Y50">
            <v>833</v>
          </cell>
          <cell r="AC50" t="str">
            <v>B1002</v>
          </cell>
          <cell r="AD50">
            <v>150</v>
          </cell>
        </row>
        <row r="51">
          <cell r="C51">
            <v>5006</v>
          </cell>
          <cell r="D51">
            <v>66206</v>
          </cell>
          <cell r="H51" t="str">
            <v>B1015</v>
          </cell>
          <cell r="I51">
            <v>39543</v>
          </cell>
          <cell r="S51">
            <v>5002</v>
          </cell>
          <cell r="T51">
            <v>64718</v>
          </cell>
          <cell r="X51" t="str">
            <v>B224</v>
          </cell>
          <cell r="Y51">
            <v>2500</v>
          </cell>
          <cell r="AC51" t="str">
            <v>B1006</v>
          </cell>
          <cell r="AD51">
            <v>1950</v>
          </cell>
        </row>
        <row r="52">
          <cell r="C52">
            <v>5007</v>
          </cell>
          <cell r="D52">
            <v>100000</v>
          </cell>
          <cell r="H52" t="str">
            <v>B1016</v>
          </cell>
          <cell r="I52">
            <v>15422</v>
          </cell>
          <cell r="S52">
            <v>5006</v>
          </cell>
          <cell r="T52">
            <v>44206</v>
          </cell>
          <cell r="X52">
            <v>6008</v>
          </cell>
          <cell r="Y52">
            <v>834</v>
          </cell>
          <cell r="AC52" t="str">
            <v>B1007</v>
          </cell>
          <cell r="AD52">
            <v>150</v>
          </cell>
        </row>
        <row r="53">
          <cell r="C53">
            <v>5009</v>
          </cell>
          <cell r="D53">
            <v>19067</v>
          </cell>
          <cell r="H53" t="str">
            <v>B1018</v>
          </cell>
          <cell r="I53">
            <v>28694</v>
          </cell>
          <cell r="S53">
            <v>5009</v>
          </cell>
          <cell r="T53">
            <v>51534</v>
          </cell>
          <cell r="X53">
            <v>1017</v>
          </cell>
          <cell r="Y53">
            <v>2500</v>
          </cell>
          <cell r="AC53" t="str">
            <v>B1009</v>
          </cell>
          <cell r="AD53">
            <v>150</v>
          </cell>
        </row>
        <row r="54">
          <cell r="C54">
            <v>5016</v>
          </cell>
          <cell r="D54">
            <v>104681</v>
          </cell>
          <cell r="H54" t="str">
            <v>B1019</v>
          </cell>
          <cell r="I54">
            <v>13810</v>
          </cell>
          <cell r="S54">
            <v>5016</v>
          </cell>
          <cell r="T54">
            <v>46195</v>
          </cell>
          <cell r="X54">
            <v>1023</v>
          </cell>
          <cell r="Y54">
            <v>833</v>
          </cell>
          <cell r="AC54" t="str">
            <v>B1012</v>
          </cell>
          <cell r="AD54">
            <v>150</v>
          </cell>
        </row>
        <row r="55">
          <cell r="C55" t="str">
            <v>B1006</v>
          </cell>
          <cell r="D55">
            <v>33113</v>
          </cell>
          <cell r="H55" t="str">
            <v>B1020</v>
          </cell>
          <cell r="I55">
            <v>19219</v>
          </cell>
          <cell r="S55">
            <v>5018</v>
          </cell>
          <cell r="T55">
            <v>35233</v>
          </cell>
          <cell r="X55">
            <v>1077</v>
          </cell>
          <cell r="Y55">
            <v>2500</v>
          </cell>
          <cell r="AC55" t="str">
            <v>B1013</v>
          </cell>
          <cell r="AD55">
            <v>650</v>
          </cell>
        </row>
        <row r="56">
          <cell r="C56" t="str">
            <v>B1009</v>
          </cell>
          <cell r="D56">
            <v>47253</v>
          </cell>
          <cell r="H56" t="str">
            <v>B1021</v>
          </cell>
          <cell r="I56">
            <v>6367</v>
          </cell>
          <cell r="S56" t="str">
            <v>B1002</v>
          </cell>
          <cell r="T56">
            <v>84672</v>
          </cell>
          <cell r="X56">
            <v>1096</v>
          </cell>
          <cell r="Y56">
            <v>834</v>
          </cell>
          <cell r="AC56" t="str">
            <v>B1015</v>
          </cell>
          <cell r="AD56">
            <v>300</v>
          </cell>
        </row>
        <row r="57">
          <cell r="C57" t="str">
            <v>B1011</v>
          </cell>
          <cell r="D57">
            <v>29645</v>
          </cell>
          <cell r="H57" t="str">
            <v>B1023</v>
          </cell>
          <cell r="I57">
            <v>3797</v>
          </cell>
          <cell r="S57" t="str">
            <v>B1006</v>
          </cell>
          <cell r="T57">
            <v>12701</v>
          </cell>
          <cell r="X57">
            <v>1109</v>
          </cell>
          <cell r="Y57">
            <v>3711</v>
          </cell>
          <cell r="AC57" t="str">
            <v>B1016</v>
          </cell>
          <cell r="AD57">
            <v>150</v>
          </cell>
        </row>
        <row r="58">
          <cell r="C58" t="str">
            <v>B1012</v>
          </cell>
          <cell r="D58">
            <v>38830</v>
          </cell>
          <cell r="H58" t="str">
            <v>B1028</v>
          </cell>
          <cell r="I58">
            <v>27579</v>
          </cell>
          <cell r="S58" t="str">
            <v>B1007</v>
          </cell>
          <cell r="T58">
            <v>56771</v>
          </cell>
          <cell r="X58">
            <v>2012</v>
          </cell>
          <cell r="Y58">
            <v>2500</v>
          </cell>
          <cell r="AC58" t="str">
            <v>B1018</v>
          </cell>
          <cell r="AD58">
            <v>150</v>
          </cell>
        </row>
        <row r="59">
          <cell r="C59" t="str">
            <v>B1013</v>
          </cell>
          <cell r="D59">
            <v>14378</v>
          </cell>
          <cell r="H59" t="str">
            <v>B1118</v>
          </cell>
          <cell r="I59">
            <v>18406</v>
          </cell>
          <cell r="S59" t="str">
            <v>B1009</v>
          </cell>
          <cell r="T59">
            <v>35373</v>
          </cell>
          <cell r="X59">
            <v>2059</v>
          </cell>
          <cell r="Y59">
            <v>2500</v>
          </cell>
          <cell r="AC59" t="str">
            <v>B1019</v>
          </cell>
          <cell r="AD59">
            <v>150</v>
          </cell>
        </row>
        <row r="60">
          <cell r="C60" t="str">
            <v>B1015</v>
          </cell>
          <cell r="D60">
            <v>81641</v>
          </cell>
          <cell r="H60" t="str">
            <v>B2020</v>
          </cell>
          <cell r="I60">
            <v>7490</v>
          </cell>
          <cell r="S60" t="str">
            <v>B1012</v>
          </cell>
          <cell r="T60">
            <v>17451</v>
          </cell>
          <cell r="X60">
            <v>2137</v>
          </cell>
          <cell r="Y60">
            <v>2500</v>
          </cell>
          <cell r="AC60" t="str">
            <v>B1021</v>
          </cell>
          <cell r="AD60">
            <v>150</v>
          </cell>
        </row>
        <row r="61">
          <cell r="C61" t="str">
            <v>B1016</v>
          </cell>
          <cell r="D61">
            <v>48041</v>
          </cell>
          <cell r="H61" t="str">
            <v>B224</v>
          </cell>
          <cell r="I61">
            <v>4234</v>
          </cell>
          <cell r="S61" t="str">
            <v>B1013</v>
          </cell>
          <cell r="T61">
            <v>7345</v>
          </cell>
          <cell r="X61">
            <v>2141</v>
          </cell>
          <cell r="Y61">
            <v>2500</v>
          </cell>
          <cell r="AC61" t="str">
            <v>B1023</v>
          </cell>
          <cell r="AD61">
            <v>150</v>
          </cell>
        </row>
        <row r="62">
          <cell r="C62" t="str">
            <v>B1018</v>
          </cell>
          <cell r="D62">
            <v>81779</v>
          </cell>
          <cell r="H62">
            <v>5012</v>
          </cell>
          <cell r="I62">
            <v>7248</v>
          </cell>
          <cell r="S62" t="str">
            <v>B1015</v>
          </cell>
          <cell r="T62">
            <v>55360</v>
          </cell>
          <cell r="X62">
            <v>3003</v>
          </cell>
          <cell r="Y62">
            <v>833</v>
          </cell>
          <cell r="AC62" t="str">
            <v>B1028</v>
          </cell>
          <cell r="AD62">
            <v>3750</v>
          </cell>
        </row>
        <row r="63">
          <cell r="C63" t="str">
            <v>B1019</v>
          </cell>
          <cell r="D63">
            <v>25548</v>
          </cell>
          <cell r="H63">
            <v>3008</v>
          </cell>
          <cell r="I63">
            <v>161622</v>
          </cell>
          <cell r="S63" t="str">
            <v>B1016</v>
          </cell>
          <cell r="T63">
            <v>21592</v>
          </cell>
          <cell r="X63">
            <v>4006</v>
          </cell>
          <cell r="Y63">
            <v>833</v>
          </cell>
          <cell r="AC63" t="str">
            <v>B1118</v>
          </cell>
          <cell r="AD63">
            <v>50</v>
          </cell>
        </row>
        <row r="64">
          <cell r="C64" t="str">
            <v>B1020</v>
          </cell>
          <cell r="D64">
            <v>69189</v>
          </cell>
          <cell r="H64">
            <v>1017</v>
          </cell>
          <cell r="I64">
            <v>53120</v>
          </cell>
          <cell r="S64" t="str">
            <v>B1018</v>
          </cell>
          <cell r="T64">
            <v>40173</v>
          </cell>
          <cell r="X64">
            <v>4006</v>
          </cell>
          <cell r="Y64">
            <v>833</v>
          </cell>
          <cell r="AC64" t="str">
            <v>B2020</v>
          </cell>
          <cell r="AD64">
            <v>50</v>
          </cell>
        </row>
        <row r="65">
          <cell r="C65" t="str">
            <v>B1021</v>
          </cell>
          <cell r="D65">
            <v>19834</v>
          </cell>
          <cell r="H65">
            <v>1017</v>
          </cell>
          <cell r="I65">
            <v>42067</v>
          </cell>
          <cell r="S65" t="str">
            <v>B1019</v>
          </cell>
          <cell r="T65">
            <v>19333</v>
          </cell>
          <cell r="X65">
            <v>4018</v>
          </cell>
          <cell r="Y65">
            <v>2500</v>
          </cell>
          <cell r="AC65" t="str">
            <v>B224</v>
          </cell>
          <cell r="AD65">
            <v>150</v>
          </cell>
        </row>
        <row r="66">
          <cell r="C66" t="str">
            <v>B1023</v>
          </cell>
          <cell r="D66">
            <v>16516</v>
          </cell>
          <cell r="H66">
            <v>1027</v>
          </cell>
          <cell r="I66">
            <v>41288</v>
          </cell>
          <cell r="S66" t="str">
            <v>B1021</v>
          </cell>
          <cell r="T66">
            <v>8914</v>
          </cell>
          <cell r="X66">
            <v>4032</v>
          </cell>
          <cell r="Y66">
            <v>2500</v>
          </cell>
          <cell r="AC66">
            <v>6008</v>
          </cell>
          <cell r="AD66">
            <v>50</v>
          </cell>
        </row>
        <row r="67">
          <cell r="C67" t="str">
            <v>B1028</v>
          </cell>
          <cell r="D67">
            <v>57916</v>
          </cell>
          <cell r="H67">
            <v>1053</v>
          </cell>
          <cell r="I67">
            <v>79968</v>
          </cell>
          <cell r="S67" t="str">
            <v>B1023</v>
          </cell>
          <cell r="T67">
            <v>5315</v>
          </cell>
          <cell r="X67">
            <v>5001</v>
          </cell>
          <cell r="Y67">
            <v>2500</v>
          </cell>
          <cell r="AC67">
            <v>1017</v>
          </cell>
          <cell r="AD67">
            <v>150</v>
          </cell>
        </row>
        <row r="68">
          <cell r="C68" t="str">
            <v>B1118</v>
          </cell>
          <cell r="D68">
            <v>29449.67</v>
          </cell>
          <cell r="H68">
            <v>1076</v>
          </cell>
          <cell r="I68">
            <v>56154</v>
          </cell>
          <cell r="S68" t="str">
            <v>B1028</v>
          </cell>
          <cell r="T68">
            <v>38610</v>
          </cell>
          <cell r="X68">
            <v>5006</v>
          </cell>
          <cell r="Y68">
            <v>2500</v>
          </cell>
          <cell r="AC68">
            <v>1023</v>
          </cell>
          <cell r="AD68">
            <v>50</v>
          </cell>
        </row>
        <row r="69">
          <cell r="C69" t="str">
            <v>B2020</v>
          </cell>
          <cell r="D69">
            <v>11984</v>
          </cell>
          <cell r="H69">
            <v>1077</v>
          </cell>
          <cell r="I69">
            <v>105328</v>
          </cell>
          <cell r="S69" t="str">
            <v>B1118</v>
          </cell>
          <cell r="T69">
            <v>25768.33</v>
          </cell>
          <cell r="X69">
            <v>5007</v>
          </cell>
          <cell r="Y69">
            <v>2500</v>
          </cell>
          <cell r="AC69">
            <v>1077</v>
          </cell>
          <cell r="AD69">
            <v>150</v>
          </cell>
        </row>
        <row r="70">
          <cell r="C70" t="str">
            <v>B224</v>
          </cell>
          <cell r="D70">
            <v>14183</v>
          </cell>
          <cell r="H70">
            <v>1077</v>
          </cell>
          <cell r="I70">
            <v>15000</v>
          </cell>
          <cell r="S70" t="str">
            <v>B2020</v>
          </cell>
          <cell r="T70">
            <v>10486</v>
          </cell>
          <cell r="X70">
            <v>5009</v>
          </cell>
          <cell r="Y70">
            <v>2083</v>
          </cell>
          <cell r="AC70">
            <v>1096</v>
          </cell>
          <cell r="AD70">
            <v>50</v>
          </cell>
        </row>
        <row r="71">
          <cell r="C71">
            <v>5012</v>
          </cell>
          <cell r="D71">
            <v>10830</v>
          </cell>
          <cell r="H71">
            <v>1096</v>
          </cell>
          <cell r="I71">
            <v>4026</v>
          </cell>
          <cell r="S71" t="str">
            <v>B224</v>
          </cell>
          <cell r="T71">
            <v>5927</v>
          </cell>
          <cell r="X71">
            <v>5021</v>
          </cell>
          <cell r="Y71">
            <v>2500</v>
          </cell>
          <cell r="AC71">
            <v>1109</v>
          </cell>
          <cell r="AD71">
            <v>300</v>
          </cell>
        </row>
        <row r="72">
          <cell r="C72">
            <v>6008</v>
          </cell>
          <cell r="D72">
            <v>30000</v>
          </cell>
          <cell r="H72">
            <v>1096</v>
          </cell>
          <cell r="I72">
            <v>20278</v>
          </cell>
          <cell r="S72">
            <v>6008</v>
          </cell>
          <cell r="T72">
            <v>69116</v>
          </cell>
          <cell r="X72">
            <v>5027</v>
          </cell>
          <cell r="Y72">
            <v>2500</v>
          </cell>
          <cell r="AC72">
            <v>2012</v>
          </cell>
          <cell r="AD72">
            <v>150</v>
          </cell>
        </row>
        <row r="73">
          <cell r="C73" t="str">
            <v>B1027</v>
          </cell>
          <cell r="D73">
            <v>17362</v>
          </cell>
          <cell r="H73" t="str">
            <v>B1118</v>
          </cell>
          <cell r="I73">
            <v>18406</v>
          </cell>
          <cell r="S73" t="str">
            <v>B1027</v>
          </cell>
          <cell r="T73">
            <v>3099</v>
          </cell>
          <cell r="X73">
            <v>5031</v>
          </cell>
          <cell r="Y73">
            <v>2500</v>
          </cell>
          <cell r="AC73">
            <v>2058</v>
          </cell>
          <cell r="AD73">
            <v>50</v>
          </cell>
        </row>
        <row r="74">
          <cell r="C74">
            <v>4003</v>
          </cell>
          <cell r="D74">
            <v>386873</v>
          </cell>
          <cell r="H74">
            <v>2012</v>
          </cell>
          <cell r="I74">
            <v>34433</v>
          </cell>
          <cell r="S74">
            <v>1023</v>
          </cell>
          <cell r="T74">
            <v>4578</v>
          </cell>
          <cell r="X74">
            <v>6009</v>
          </cell>
          <cell r="Y74">
            <v>2500</v>
          </cell>
          <cell r="AC74">
            <v>2059</v>
          </cell>
          <cell r="AD74">
            <v>150</v>
          </cell>
        </row>
        <row r="75">
          <cell r="C75" t="str">
            <v>B1002</v>
          </cell>
          <cell r="D75">
            <v>190080</v>
          </cell>
          <cell r="H75">
            <v>2058</v>
          </cell>
          <cell r="I75">
            <v>15314</v>
          </cell>
          <cell r="S75">
            <v>1017</v>
          </cell>
          <cell r="T75">
            <v>37283</v>
          </cell>
          <cell r="X75" t="str">
            <v>B1011</v>
          </cell>
          <cell r="Y75">
            <v>2500</v>
          </cell>
          <cell r="AC75">
            <v>2137</v>
          </cell>
          <cell r="AD75">
            <v>150</v>
          </cell>
        </row>
        <row r="76">
          <cell r="C76">
            <v>1017</v>
          </cell>
          <cell r="D76">
            <v>140000</v>
          </cell>
          <cell r="H76">
            <v>2059</v>
          </cell>
          <cell r="I76">
            <v>81561</v>
          </cell>
          <cell r="S76">
            <v>1017</v>
          </cell>
          <cell r="T76">
            <v>792</v>
          </cell>
          <cell r="X76" t="str">
            <v>B1013</v>
          </cell>
          <cell r="Y76">
            <v>834</v>
          </cell>
          <cell r="AC76">
            <v>2141</v>
          </cell>
          <cell r="AD76">
            <v>150</v>
          </cell>
        </row>
        <row r="77">
          <cell r="C77">
            <v>1017</v>
          </cell>
          <cell r="D77">
            <v>100000</v>
          </cell>
          <cell r="H77">
            <v>2078</v>
          </cell>
          <cell r="I77">
            <v>60220</v>
          </cell>
          <cell r="S77">
            <v>1077</v>
          </cell>
          <cell r="T77">
            <v>33131</v>
          </cell>
          <cell r="X77" t="str">
            <v>B1020</v>
          </cell>
          <cell r="Y77">
            <v>2500</v>
          </cell>
          <cell r="AC77">
            <v>3003</v>
          </cell>
          <cell r="AD77">
            <v>50</v>
          </cell>
        </row>
        <row r="78">
          <cell r="C78">
            <v>1017</v>
          </cell>
          <cell r="D78">
            <v>1880</v>
          </cell>
          <cell r="H78">
            <v>2137</v>
          </cell>
          <cell r="I78">
            <v>60021</v>
          </cell>
          <cell r="S78">
            <v>1077</v>
          </cell>
          <cell r="T78">
            <v>15000</v>
          </cell>
          <cell r="X78" t="str">
            <v>B1118</v>
          </cell>
          <cell r="Y78">
            <v>833.34</v>
          </cell>
          <cell r="AC78">
            <v>4006</v>
          </cell>
          <cell r="AD78">
            <v>50</v>
          </cell>
        </row>
        <row r="79">
          <cell r="C79">
            <v>1027</v>
          </cell>
          <cell r="D79">
            <v>58712</v>
          </cell>
          <cell r="H79">
            <v>2141</v>
          </cell>
          <cell r="I79">
            <v>77175</v>
          </cell>
          <cell r="S79">
            <v>1096</v>
          </cell>
          <cell r="T79">
            <v>9722</v>
          </cell>
          <cell r="X79" t="str">
            <v>B1027</v>
          </cell>
          <cell r="Y79">
            <v>834</v>
          </cell>
          <cell r="AC79">
            <v>4006</v>
          </cell>
          <cell r="AD79">
            <v>50</v>
          </cell>
        </row>
        <row r="80">
          <cell r="C80">
            <v>1053</v>
          </cell>
          <cell r="D80">
            <v>116493</v>
          </cell>
          <cell r="H80">
            <v>3003</v>
          </cell>
          <cell r="I80">
            <v>21323</v>
          </cell>
          <cell r="S80">
            <v>2012</v>
          </cell>
          <cell r="T80">
            <v>16069</v>
          </cell>
          <cell r="X80" t="str">
            <v>B1027</v>
          </cell>
          <cell r="Y80">
            <v>833</v>
          </cell>
          <cell r="AC80">
            <v>4018</v>
          </cell>
          <cell r="AD80">
            <v>150</v>
          </cell>
        </row>
        <row r="81">
          <cell r="C81">
            <v>1076</v>
          </cell>
          <cell r="D81">
            <v>121934</v>
          </cell>
          <cell r="H81">
            <v>4010</v>
          </cell>
          <cell r="I81">
            <v>10486</v>
          </cell>
          <cell r="S81">
            <v>2058</v>
          </cell>
          <cell r="T81">
            <v>7140</v>
          </cell>
          <cell r="X81">
            <v>3008</v>
          </cell>
          <cell r="Y81">
            <v>2500</v>
          </cell>
          <cell r="AC81">
            <v>4032</v>
          </cell>
          <cell r="AD81">
            <v>150</v>
          </cell>
        </row>
        <row r="82">
          <cell r="C82">
            <v>1077</v>
          </cell>
          <cell r="D82">
            <v>139538</v>
          </cell>
          <cell r="H82">
            <v>4018</v>
          </cell>
          <cell r="I82">
            <v>17741</v>
          </cell>
          <cell r="S82">
            <v>2059</v>
          </cell>
          <cell r="T82">
            <v>38062</v>
          </cell>
          <cell r="X82">
            <v>1096</v>
          </cell>
          <cell r="Y82">
            <v>1667</v>
          </cell>
          <cell r="AC82">
            <v>5001</v>
          </cell>
          <cell r="AD82">
            <v>3750</v>
          </cell>
        </row>
        <row r="83">
          <cell r="C83">
            <v>1096</v>
          </cell>
          <cell r="D83">
            <v>35974</v>
          </cell>
          <cell r="H83">
            <v>4032</v>
          </cell>
          <cell r="I83">
            <v>32894</v>
          </cell>
          <cell r="S83">
            <v>2098</v>
          </cell>
          <cell r="T83">
            <v>477.5</v>
          </cell>
          <cell r="X83">
            <v>2106</v>
          </cell>
          <cell r="Y83">
            <v>2774</v>
          </cell>
          <cell r="AC83">
            <v>5006</v>
          </cell>
          <cell r="AD83">
            <v>1450</v>
          </cell>
        </row>
        <row r="84">
          <cell r="C84">
            <v>2012</v>
          </cell>
          <cell r="D84">
            <v>69140</v>
          </cell>
          <cell r="H84">
            <v>5001</v>
          </cell>
          <cell r="I84">
            <v>9500</v>
          </cell>
          <cell r="S84">
            <v>2137</v>
          </cell>
          <cell r="T84">
            <v>28010</v>
          </cell>
          <cell r="X84">
            <v>3003</v>
          </cell>
          <cell r="Y84">
            <v>833</v>
          </cell>
          <cell r="AC84">
            <v>5007</v>
          </cell>
          <cell r="AD84">
            <v>3150</v>
          </cell>
        </row>
        <row r="85">
          <cell r="C85">
            <v>2058</v>
          </cell>
          <cell r="D85">
            <v>6515</v>
          </cell>
          <cell r="H85">
            <v>5006</v>
          </cell>
          <cell r="I85">
            <v>14260</v>
          </cell>
          <cell r="S85">
            <v>2141</v>
          </cell>
          <cell r="T85">
            <v>36015</v>
          </cell>
          <cell r="X85">
            <v>4006</v>
          </cell>
          <cell r="Y85">
            <v>833</v>
          </cell>
          <cell r="AC85">
            <v>5009</v>
          </cell>
          <cell r="AD85">
            <v>1250</v>
          </cell>
        </row>
        <row r="86">
          <cell r="C86">
            <v>2059</v>
          </cell>
          <cell r="D86">
            <v>10376</v>
          </cell>
          <cell r="H86">
            <v>5007</v>
          </cell>
          <cell r="I86">
            <v>13794</v>
          </cell>
          <cell r="S86">
            <v>3003</v>
          </cell>
          <cell r="T86">
            <v>19901</v>
          </cell>
          <cell r="X86">
            <v>4010</v>
          </cell>
          <cell r="Y86">
            <v>2151</v>
          </cell>
          <cell r="AC86">
            <v>5021</v>
          </cell>
          <cell r="AD86">
            <v>3150</v>
          </cell>
        </row>
        <row r="87">
          <cell r="C87">
            <v>2137</v>
          </cell>
          <cell r="D87">
            <v>24103</v>
          </cell>
          <cell r="H87">
            <v>5009</v>
          </cell>
          <cell r="I87">
            <v>17178</v>
          </cell>
          <cell r="S87">
            <v>4006</v>
          </cell>
          <cell r="T87">
            <v>17800</v>
          </cell>
          <cell r="X87">
            <v>5006</v>
          </cell>
          <cell r="Y87">
            <v>2500</v>
          </cell>
          <cell r="AC87">
            <v>5027</v>
          </cell>
          <cell r="AD87">
            <v>3150</v>
          </cell>
        </row>
        <row r="88">
          <cell r="C88">
            <v>2141</v>
          </cell>
          <cell r="D88">
            <v>54923</v>
          </cell>
          <cell r="H88">
            <v>5018</v>
          </cell>
          <cell r="I88">
            <v>12583</v>
          </cell>
          <cell r="S88">
            <v>4006</v>
          </cell>
          <cell r="T88">
            <v>17800</v>
          </cell>
          <cell r="X88">
            <v>5009</v>
          </cell>
          <cell r="Y88">
            <v>2084</v>
          </cell>
          <cell r="AC88">
            <v>5031</v>
          </cell>
          <cell r="AD88">
            <v>3750</v>
          </cell>
        </row>
        <row r="89">
          <cell r="C89">
            <v>3003</v>
          </cell>
          <cell r="D89">
            <v>29852</v>
          </cell>
          <cell r="H89">
            <v>5021</v>
          </cell>
          <cell r="I89">
            <v>53936</v>
          </cell>
          <cell r="S89">
            <v>4018</v>
          </cell>
          <cell r="T89">
            <v>16558</v>
          </cell>
          <cell r="X89" t="str">
            <v>B1013</v>
          </cell>
          <cell r="Y89">
            <v>833</v>
          </cell>
          <cell r="AC89">
            <v>6009</v>
          </cell>
          <cell r="AD89">
            <v>300</v>
          </cell>
        </row>
        <row r="90">
          <cell r="C90">
            <v>4006</v>
          </cell>
          <cell r="D90">
            <v>25552</v>
          </cell>
          <cell r="H90">
            <v>5031</v>
          </cell>
          <cell r="I90">
            <v>21827</v>
          </cell>
          <cell r="S90">
            <v>4032</v>
          </cell>
          <cell r="T90">
            <v>30702</v>
          </cell>
          <cell r="X90" t="str">
            <v>B1118</v>
          </cell>
          <cell r="Y90">
            <v>833.33</v>
          </cell>
          <cell r="AC90" t="str">
            <v>B1011</v>
          </cell>
          <cell r="AD90">
            <v>150</v>
          </cell>
        </row>
        <row r="91">
          <cell r="C91">
            <v>4006</v>
          </cell>
          <cell r="D91">
            <v>25552</v>
          </cell>
          <cell r="H91">
            <v>6009</v>
          </cell>
          <cell r="I91">
            <v>26242</v>
          </cell>
          <cell r="S91">
            <v>5001</v>
          </cell>
          <cell r="T91">
            <v>24067</v>
          </cell>
          <cell r="X91" t="str">
            <v>B2020</v>
          </cell>
          <cell r="Y91">
            <v>833</v>
          </cell>
          <cell r="AC91" t="str">
            <v>B1013</v>
          </cell>
          <cell r="AD91">
            <v>650</v>
          </cell>
        </row>
        <row r="92">
          <cell r="C92">
            <v>4010</v>
          </cell>
          <cell r="D92">
            <v>20000</v>
          </cell>
          <cell r="H92" t="str">
            <v>B1013</v>
          </cell>
          <cell r="I92">
            <v>5650</v>
          </cell>
          <cell r="S92">
            <v>5006</v>
          </cell>
          <cell r="T92">
            <v>39927</v>
          </cell>
          <cell r="X92" t="str">
            <v>B2020</v>
          </cell>
          <cell r="Y92">
            <v>834</v>
          </cell>
          <cell r="AC92" t="str">
            <v>B1027</v>
          </cell>
          <cell r="AD92">
            <v>1450</v>
          </cell>
        </row>
        <row r="93">
          <cell r="C93">
            <v>4010</v>
          </cell>
          <cell r="D93">
            <v>39514</v>
          </cell>
          <cell r="H93" t="str">
            <v>B1027</v>
          </cell>
          <cell r="I93">
            <v>17933</v>
          </cell>
          <cell r="S93">
            <v>5007</v>
          </cell>
          <cell r="T93">
            <v>41151</v>
          </cell>
          <cell r="X93">
            <v>1122</v>
          </cell>
          <cell r="Y93">
            <v>2500</v>
          </cell>
          <cell r="AC93" t="str">
            <v>B1020</v>
          </cell>
          <cell r="AD93">
            <v>150</v>
          </cell>
        </row>
        <row r="94">
          <cell r="C94">
            <v>4018</v>
          </cell>
          <cell r="D94">
            <v>24415</v>
          </cell>
          <cell r="H94">
            <v>5012</v>
          </cell>
          <cell r="I94">
            <v>7248</v>
          </cell>
          <cell r="S94">
            <v>5009</v>
          </cell>
          <cell r="T94">
            <v>51534</v>
          </cell>
          <cell r="X94" t="str">
            <v>B1027</v>
          </cell>
          <cell r="Y94">
            <v>833</v>
          </cell>
          <cell r="AC94">
            <v>2099</v>
          </cell>
          <cell r="AD94">
            <v>650</v>
          </cell>
        </row>
        <row r="95">
          <cell r="C95">
            <v>4032</v>
          </cell>
          <cell r="D95">
            <v>100876</v>
          </cell>
          <cell r="H95">
            <v>1122</v>
          </cell>
          <cell r="I95">
            <v>66950</v>
          </cell>
          <cell r="S95">
            <v>5021</v>
          </cell>
          <cell r="T95">
            <v>160011</v>
          </cell>
          <cell r="X95">
            <v>1012</v>
          </cell>
          <cell r="Y95">
            <v>2500</v>
          </cell>
          <cell r="AC95">
            <v>2099</v>
          </cell>
          <cell r="AD95">
            <v>650</v>
          </cell>
        </row>
        <row r="96">
          <cell r="C96">
            <v>5001</v>
          </cell>
          <cell r="D96">
            <v>87404</v>
          </cell>
          <cell r="H96">
            <v>5019</v>
          </cell>
          <cell r="I96">
            <v>5852</v>
          </cell>
          <cell r="S96">
            <v>5027</v>
          </cell>
          <cell r="T96">
            <v>47654</v>
          </cell>
          <cell r="X96">
            <v>1027</v>
          </cell>
          <cell r="Y96">
            <v>2500</v>
          </cell>
          <cell r="AC96">
            <v>5006</v>
          </cell>
          <cell r="AD96">
            <v>600</v>
          </cell>
        </row>
        <row r="97">
          <cell r="C97">
            <v>5006</v>
          </cell>
          <cell r="D97">
            <v>74151</v>
          </cell>
          <cell r="H97">
            <v>5005</v>
          </cell>
          <cell r="I97">
            <v>6305</v>
          </cell>
          <cell r="S97">
            <v>5031</v>
          </cell>
          <cell r="T97">
            <v>66080</v>
          </cell>
          <cell r="X97">
            <v>1096</v>
          </cell>
          <cell r="Y97">
            <v>833</v>
          </cell>
          <cell r="AC97">
            <v>5009</v>
          </cell>
          <cell r="AD97">
            <v>1250</v>
          </cell>
        </row>
        <row r="98">
          <cell r="C98">
            <v>5007</v>
          </cell>
          <cell r="D98">
            <v>61385</v>
          </cell>
          <cell r="H98">
            <v>1096</v>
          </cell>
          <cell r="I98">
            <v>9150</v>
          </cell>
          <cell r="S98">
            <v>6009</v>
          </cell>
          <cell r="T98">
            <v>23477</v>
          </cell>
          <cell r="X98">
            <v>2093</v>
          </cell>
          <cell r="Y98">
            <v>2555</v>
          </cell>
          <cell r="AC98">
            <v>2058</v>
          </cell>
          <cell r="AD98">
            <v>50</v>
          </cell>
        </row>
        <row r="99">
          <cell r="C99">
            <v>5009</v>
          </cell>
          <cell r="D99">
            <v>19067</v>
          </cell>
          <cell r="H99">
            <v>1096</v>
          </cell>
          <cell r="I99">
            <v>27371</v>
          </cell>
          <cell r="S99">
            <v>6009</v>
          </cell>
          <cell r="T99">
            <v>50000</v>
          </cell>
          <cell r="X99">
            <v>2103</v>
          </cell>
          <cell r="Y99">
            <v>2500</v>
          </cell>
          <cell r="AC99">
            <v>2106</v>
          </cell>
          <cell r="AD99">
            <v>166</v>
          </cell>
        </row>
        <row r="100">
          <cell r="C100">
            <v>5018</v>
          </cell>
          <cell r="D100">
            <v>65432</v>
          </cell>
          <cell r="H100">
            <v>1122</v>
          </cell>
          <cell r="I100">
            <v>1634</v>
          </cell>
          <cell r="S100" t="str">
            <v>B1011</v>
          </cell>
          <cell r="T100">
            <v>18690</v>
          </cell>
          <cell r="X100">
            <v>3003</v>
          </cell>
          <cell r="Y100">
            <v>834</v>
          </cell>
          <cell r="AC100">
            <v>3003</v>
          </cell>
          <cell r="AD100">
            <v>50</v>
          </cell>
        </row>
        <row r="101">
          <cell r="C101">
            <v>5021</v>
          </cell>
          <cell r="D101">
            <v>199564</v>
          </cell>
          <cell r="H101">
            <v>2058</v>
          </cell>
          <cell r="I101">
            <v>18494</v>
          </cell>
          <cell r="S101" t="str">
            <v>B1013</v>
          </cell>
          <cell r="T101">
            <v>7911</v>
          </cell>
          <cell r="X101">
            <v>4007</v>
          </cell>
          <cell r="Y101">
            <v>2500</v>
          </cell>
          <cell r="AC101">
            <v>4006</v>
          </cell>
          <cell r="AD101">
            <v>50</v>
          </cell>
        </row>
        <row r="102">
          <cell r="C102">
            <v>5031</v>
          </cell>
          <cell r="D102">
            <v>69845</v>
          </cell>
          <cell r="H102">
            <v>2099</v>
          </cell>
          <cell r="I102">
            <v>13841</v>
          </cell>
          <cell r="S102" t="str">
            <v>B1020</v>
          </cell>
          <cell r="T102">
            <v>26907</v>
          </cell>
          <cell r="X102">
            <v>5012</v>
          </cell>
          <cell r="Y102">
            <v>2500</v>
          </cell>
          <cell r="AC102">
            <v>4010</v>
          </cell>
          <cell r="AD102">
            <v>129</v>
          </cell>
        </row>
        <row r="103">
          <cell r="C103">
            <v>6009</v>
          </cell>
          <cell r="D103">
            <v>123335</v>
          </cell>
          <cell r="H103">
            <v>2099</v>
          </cell>
          <cell r="I103">
            <v>13841</v>
          </cell>
          <cell r="S103" t="str">
            <v>B1118</v>
          </cell>
          <cell r="T103">
            <v>25769.33</v>
          </cell>
          <cell r="AC103">
            <v>5006</v>
          </cell>
          <cell r="AD103">
            <v>1450</v>
          </cell>
        </row>
        <row r="104">
          <cell r="C104" t="str">
            <v>B1013</v>
          </cell>
          <cell r="D104">
            <v>16104</v>
          </cell>
          <cell r="H104">
            <v>3003</v>
          </cell>
          <cell r="I104">
            <v>23881</v>
          </cell>
          <cell r="S104" t="str">
            <v>B1027</v>
          </cell>
          <cell r="T104">
            <v>17116</v>
          </cell>
          <cell r="AC104" t="str">
            <v>B1013</v>
          </cell>
          <cell r="AD104">
            <v>650</v>
          </cell>
        </row>
        <row r="105">
          <cell r="C105" t="str">
            <v>B1118</v>
          </cell>
          <cell r="D105">
            <v>29449.67</v>
          </cell>
          <cell r="H105">
            <v>4010</v>
          </cell>
          <cell r="I105">
            <v>31760</v>
          </cell>
          <cell r="S105">
            <v>1096</v>
          </cell>
          <cell r="T105">
            <v>14608</v>
          </cell>
          <cell r="AC105" t="str">
            <v>B1118</v>
          </cell>
          <cell r="AD105">
            <v>50</v>
          </cell>
        </row>
        <row r="106">
          <cell r="C106">
            <v>1122</v>
          </cell>
          <cell r="D106">
            <v>233050</v>
          </cell>
          <cell r="H106">
            <v>5006</v>
          </cell>
          <cell r="I106">
            <v>15788</v>
          </cell>
          <cell r="S106">
            <v>1122</v>
          </cell>
          <cell r="T106">
            <v>27433</v>
          </cell>
          <cell r="AC106" t="str">
            <v>B2020</v>
          </cell>
          <cell r="AD106">
            <v>50</v>
          </cell>
        </row>
        <row r="107">
          <cell r="C107">
            <v>5012</v>
          </cell>
          <cell r="D107">
            <v>20000</v>
          </cell>
          <cell r="H107">
            <v>5009</v>
          </cell>
          <cell r="I107">
            <v>17178</v>
          </cell>
          <cell r="S107">
            <v>2058</v>
          </cell>
          <cell r="T107">
            <v>7522</v>
          </cell>
          <cell r="AC107" t="str">
            <v>B2020</v>
          </cell>
          <cell r="AD107">
            <v>50</v>
          </cell>
        </row>
        <row r="108">
          <cell r="C108">
            <v>5012</v>
          </cell>
          <cell r="D108">
            <v>30000</v>
          </cell>
          <cell r="H108">
            <v>5027</v>
          </cell>
          <cell r="I108">
            <v>16246</v>
          </cell>
          <cell r="S108">
            <v>2098</v>
          </cell>
          <cell r="T108">
            <v>2134.37</v>
          </cell>
          <cell r="AC108" t="str">
            <v>B1027</v>
          </cell>
          <cell r="AD108">
            <v>1450</v>
          </cell>
        </row>
        <row r="109">
          <cell r="C109">
            <v>5012</v>
          </cell>
          <cell r="D109">
            <v>20830</v>
          </cell>
          <cell r="H109" t="str">
            <v>B1013</v>
          </cell>
          <cell r="I109">
            <v>6256</v>
          </cell>
          <cell r="S109">
            <v>2099</v>
          </cell>
          <cell r="T109">
            <v>12918</v>
          </cell>
          <cell r="AC109" t="str">
            <v>B1027</v>
          </cell>
          <cell r="AD109">
            <v>1450</v>
          </cell>
        </row>
        <row r="110">
          <cell r="C110" t="str">
            <v>B1027</v>
          </cell>
          <cell r="D110">
            <v>12067</v>
          </cell>
          <cell r="H110" t="str">
            <v>B1118</v>
          </cell>
          <cell r="I110">
            <v>18406</v>
          </cell>
          <cell r="S110">
            <v>2099</v>
          </cell>
          <cell r="T110">
            <v>12918</v>
          </cell>
          <cell r="AC110" t="str">
            <v>3008</v>
          </cell>
          <cell r="AD110">
            <v>300</v>
          </cell>
        </row>
        <row r="111">
          <cell r="C111">
            <v>3008</v>
          </cell>
          <cell r="D111">
            <v>26271</v>
          </cell>
          <cell r="H111" t="str">
            <v>B2020</v>
          </cell>
          <cell r="I111">
            <v>8388</v>
          </cell>
          <cell r="S111">
            <v>2101</v>
          </cell>
          <cell r="T111">
            <v>10322.120000000001</v>
          </cell>
          <cell r="AC111">
            <v>1096</v>
          </cell>
          <cell r="AD111">
            <v>100</v>
          </cell>
        </row>
        <row r="112">
          <cell r="C112">
            <v>1096</v>
          </cell>
          <cell r="D112">
            <v>58542</v>
          </cell>
          <cell r="H112" t="str">
            <v>B2020</v>
          </cell>
          <cell r="I112">
            <v>9288</v>
          </cell>
          <cell r="S112">
            <v>2106</v>
          </cell>
          <cell r="T112">
            <v>11065</v>
          </cell>
          <cell r="AC112" t="str">
            <v>1122</v>
          </cell>
          <cell r="AD112">
            <v>1950</v>
          </cell>
        </row>
        <row r="113">
          <cell r="C113">
            <v>1119</v>
          </cell>
          <cell r="D113">
            <v>224874</v>
          </cell>
          <cell r="H113">
            <v>5012</v>
          </cell>
          <cell r="I113">
            <v>5143</v>
          </cell>
          <cell r="S113">
            <v>3003</v>
          </cell>
          <cell r="T113">
            <v>22290</v>
          </cell>
          <cell r="AC113">
            <v>1096</v>
          </cell>
          <cell r="AD113">
            <v>50</v>
          </cell>
        </row>
        <row r="114">
          <cell r="C114">
            <v>2098</v>
          </cell>
          <cell r="D114">
            <v>288</v>
          </cell>
          <cell r="H114">
            <v>3008</v>
          </cell>
          <cell r="I114">
            <v>46353</v>
          </cell>
          <cell r="S114">
            <v>3008</v>
          </cell>
          <cell r="T114">
            <v>150847</v>
          </cell>
          <cell r="AC114">
            <v>2058</v>
          </cell>
          <cell r="AD114">
            <v>50</v>
          </cell>
        </row>
        <row r="115">
          <cell r="C115">
            <v>2099</v>
          </cell>
          <cell r="D115">
            <v>8241</v>
          </cell>
          <cell r="H115" t="str">
            <v>B1027</v>
          </cell>
          <cell r="I115">
            <v>20137</v>
          </cell>
          <cell r="S115">
            <v>4006</v>
          </cell>
          <cell r="T115">
            <v>17800</v>
          </cell>
          <cell r="AC115" t="str">
            <v>1027</v>
          </cell>
          <cell r="AD115">
            <v>150</v>
          </cell>
        </row>
        <row r="116">
          <cell r="C116">
            <v>2099</v>
          </cell>
          <cell r="D116">
            <v>8241</v>
          </cell>
          <cell r="H116" t="str">
            <v>B1027</v>
          </cell>
          <cell r="I116">
            <v>12141</v>
          </cell>
          <cell r="S116">
            <v>4010</v>
          </cell>
          <cell r="T116">
            <v>5960</v>
          </cell>
          <cell r="AC116" t="str">
            <v>2093</v>
          </cell>
          <cell r="AD116">
            <v>153</v>
          </cell>
        </row>
        <row r="117">
          <cell r="C117">
            <v>2101</v>
          </cell>
          <cell r="D117">
            <v>1238</v>
          </cell>
          <cell r="H117">
            <v>1027</v>
          </cell>
          <cell r="I117">
            <v>54027</v>
          </cell>
          <cell r="S117">
            <v>5006</v>
          </cell>
          <cell r="T117">
            <v>44206</v>
          </cell>
          <cell r="AC117" t="str">
            <v>2103</v>
          </cell>
          <cell r="AD117">
            <v>150</v>
          </cell>
        </row>
        <row r="118">
          <cell r="C118">
            <v>2106</v>
          </cell>
          <cell r="D118">
            <v>22225</v>
          </cell>
          <cell r="H118">
            <v>1096</v>
          </cell>
          <cell r="I118">
            <v>23847</v>
          </cell>
          <cell r="S118">
            <v>5009</v>
          </cell>
          <cell r="T118">
            <v>51534</v>
          </cell>
          <cell r="AC118" t="str">
            <v>3003</v>
          </cell>
          <cell r="AD118">
            <v>50</v>
          </cell>
        </row>
        <row r="119">
          <cell r="C119">
            <v>3003</v>
          </cell>
          <cell r="D119">
            <v>33433</v>
          </cell>
          <cell r="H119">
            <v>2058</v>
          </cell>
          <cell r="I119">
            <v>18494</v>
          </cell>
          <cell r="S119" t="str">
            <v>B1013</v>
          </cell>
          <cell r="T119">
            <v>8758</v>
          </cell>
          <cell r="AC119" t="str">
            <v>4007</v>
          </cell>
          <cell r="AD119">
            <v>300</v>
          </cell>
        </row>
        <row r="120">
          <cell r="C120">
            <v>4006</v>
          </cell>
          <cell r="D120">
            <v>25553</v>
          </cell>
          <cell r="H120">
            <v>2093</v>
          </cell>
          <cell r="I120">
            <v>49283</v>
          </cell>
          <cell r="S120" t="str">
            <v>B1027</v>
          </cell>
          <cell r="T120">
            <v>27117</v>
          </cell>
          <cell r="AC120" t="str">
            <v>5012</v>
          </cell>
          <cell r="AD120">
            <v>3150</v>
          </cell>
        </row>
        <row r="121">
          <cell r="C121">
            <v>5005</v>
          </cell>
          <cell r="D121">
            <v>43695</v>
          </cell>
          <cell r="H121">
            <v>2095</v>
          </cell>
          <cell r="I121">
            <v>114425</v>
          </cell>
          <cell r="S121" t="str">
            <v>B1027</v>
          </cell>
          <cell r="T121">
            <v>27117</v>
          </cell>
          <cell r="AC121" t="str">
            <v>B226</v>
          </cell>
          <cell r="AD121">
            <v>150</v>
          </cell>
        </row>
        <row r="122">
          <cell r="C122">
            <v>5006</v>
          </cell>
          <cell r="D122">
            <v>82096</v>
          </cell>
          <cell r="H122">
            <v>3003</v>
          </cell>
          <cell r="I122">
            <v>26440</v>
          </cell>
          <cell r="S122" t="str">
            <v>B1118</v>
          </cell>
          <cell r="T122">
            <v>25767.33</v>
          </cell>
        </row>
        <row r="123">
          <cell r="C123">
            <v>5009</v>
          </cell>
          <cell r="D123">
            <v>19068</v>
          </cell>
          <cell r="H123">
            <v>4007</v>
          </cell>
          <cell r="I123">
            <v>19887</v>
          </cell>
          <cell r="S123" t="str">
            <v>B2020</v>
          </cell>
          <cell r="T123">
            <v>11744</v>
          </cell>
        </row>
        <row r="124">
          <cell r="C124">
            <v>5019</v>
          </cell>
          <cell r="D124">
            <v>43085</v>
          </cell>
          <cell r="H124">
            <v>5019</v>
          </cell>
          <cell r="I124">
            <v>6554</v>
          </cell>
          <cell r="S124" t="str">
            <v>B2020</v>
          </cell>
          <cell r="T124">
            <v>13003</v>
          </cell>
        </row>
        <row r="125">
          <cell r="C125">
            <v>5027</v>
          </cell>
          <cell r="D125">
            <v>60109</v>
          </cell>
          <cell r="S125">
            <v>1027</v>
          </cell>
          <cell r="T125">
            <v>38126</v>
          </cell>
        </row>
        <row r="126">
          <cell r="C126" t="str">
            <v>B1013</v>
          </cell>
          <cell r="D126">
            <v>17829</v>
          </cell>
          <cell r="S126">
            <v>1096</v>
          </cell>
          <cell r="T126">
            <v>9539</v>
          </cell>
        </row>
        <row r="127">
          <cell r="C127" t="str">
            <v>B1118</v>
          </cell>
          <cell r="D127">
            <v>29449.66</v>
          </cell>
          <cell r="S127">
            <v>2058</v>
          </cell>
          <cell r="T127">
            <v>7522</v>
          </cell>
        </row>
        <row r="128">
          <cell r="C128" t="str">
            <v>B2020</v>
          </cell>
          <cell r="D128">
            <v>13422</v>
          </cell>
          <cell r="S128">
            <v>2058</v>
          </cell>
          <cell r="T128">
            <v>6</v>
          </cell>
        </row>
        <row r="129">
          <cell r="C129" t="str">
            <v>B2020</v>
          </cell>
          <cell r="D129">
            <v>14860</v>
          </cell>
          <cell r="S129">
            <v>2093</v>
          </cell>
          <cell r="T129">
            <v>22999</v>
          </cell>
        </row>
        <row r="130">
          <cell r="C130" t="str">
            <v>扶梯西侧展示区</v>
          </cell>
          <cell r="D130">
            <v>399.6</v>
          </cell>
          <cell r="S130">
            <v>2101</v>
          </cell>
          <cell r="T130">
            <v>5630.78</v>
          </cell>
        </row>
        <row r="131">
          <cell r="C131">
            <v>1122</v>
          </cell>
          <cell r="D131">
            <v>46483</v>
          </cell>
          <cell r="S131">
            <v>2103</v>
          </cell>
          <cell r="T131">
            <v>23746</v>
          </cell>
        </row>
        <row r="132">
          <cell r="C132">
            <v>5012</v>
          </cell>
          <cell r="D132">
            <v>30000</v>
          </cell>
          <cell r="S132">
            <v>3003</v>
          </cell>
          <cell r="T132">
            <v>24677</v>
          </cell>
        </row>
        <row r="133">
          <cell r="C133">
            <v>5012</v>
          </cell>
          <cell r="D133">
            <v>30000</v>
          </cell>
          <cell r="S133">
            <v>4007</v>
          </cell>
          <cell r="T133">
            <v>40684</v>
          </cell>
        </row>
        <row r="134">
          <cell r="C134">
            <v>5012</v>
          </cell>
          <cell r="D134">
            <v>13121</v>
          </cell>
          <cell r="S134">
            <v>4010</v>
          </cell>
          <cell r="T134">
            <v>33839</v>
          </cell>
        </row>
        <row r="135">
          <cell r="C135">
            <v>5012</v>
          </cell>
          <cell r="D135">
            <v>10000</v>
          </cell>
          <cell r="S135">
            <v>5012</v>
          </cell>
          <cell r="T135">
            <v>30000</v>
          </cell>
        </row>
        <row r="136">
          <cell r="C136">
            <v>6008</v>
          </cell>
          <cell r="D136">
            <v>80000</v>
          </cell>
          <cell r="S136">
            <v>5012</v>
          </cell>
          <cell r="T136">
            <v>22550</v>
          </cell>
        </row>
        <row r="137">
          <cell r="C137">
            <v>2065</v>
          </cell>
          <cell r="D137">
            <v>8516.42</v>
          </cell>
          <cell r="S137" t="str">
            <v>B226</v>
          </cell>
          <cell r="T137">
            <v>34373</v>
          </cell>
        </row>
        <row r="138">
          <cell r="C138">
            <v>2041</v>
          </cell>
          <cell r="D138">
            <v>8358.2999999999993</v>
          </cell>
        </row>
        <row r="139">
          <cell r="C139" t="str">
            <v>B1027</v>
          </cell>
          <cell r="D139">
            <v>20000</v>
          </cell>
        </row>
        <row r="140">
          <cell r="C140" t="str">
            <v>B1027</v>
          </cell>
          <cell r="D140">
            <v>19863</v>
          </cell>
        </row>
        <row r="141">
          <cell r="C141" t="str">
            <v>B1027</v>
          </cell>
          <cell r="D141">
            <v>17859</v>
          </cell>
        </row>
        <row r="142">
          <cell r="C142">
            <v>1096</v>
          </cell>
          <cell r="D142">
            <v>36614</v>
          </cell>
        </row>
        <row r="143">
          <cell r="C143">
            <v>1099</v>
          </cell>
          <cell r="D143">
            <v>80000</v>
          </cell>
        </row>
        <row r="144">
          <cell r="C144">
            <v>2041</v>
          </cell>
          <cell r="D144">
            <v>12243.7</v>
          </cell>
        </row>
        <row r="145">
          <cell r="C145">
            <v>2065</v>
          </cell>
          <cell r="D145">
            <v>10610.85</v>
          </cell>
        </row>
        <row r="146">
          <cell r="C146">
            <v>2078</v>
          </cell>
          <cell r="D146">
            <v>876.92</v>
          </cell>
        </row>
        <row r="147">
          <cell r="C147">
            <v>2093</v>
          </cell>
          <cell r="D147">
            <v>67353</v>
          </cell>
        </row>
        <row r="148">
          <cell r="C148">
            <v>2101</v>
          </cell>
          <cell r="D148">
            <v>792</v>
          </cell>
        </row>
        <row r="149">
          <cell r="C149">
            <v>2103</v>
          </cell>
          <cell r="D149">
            <v>32256</v>
          </cell>
        </row>
        <row r="150">
          <cell r="C150">
            <v>3003</v>
          </cell>
          <cell r="D150">
            <v>37016</v>
          </cell>
        </row>
        <row r="151">
          <cell r="C151">
            <v>5019</v>
          </cell>
          <cell r="D151">
            <v>42487</v>
          </cell>
        </row>
        <row r="152">
          <cell r="C152">
            <v>6008</v>
          </cell>
          <cell r="D152">
            <v>100000</v>
          </cell>
        </row>
        <row r="153">
          <cell r="C153" t="str">
            <v>2095</v>
          </cell>
          <cell r="D153">
            <v>85575</v>
          </cell>
        </row>
        <row r="154">
          <cell r="C154" t="str">
            <v>3008</v>
          </cell>
          <cell r="D154">
            <v>100000</v>
          </cell>
        </row>
        <row r="155">
          <cell r="C155" t="str">
            <v>4007</v>
          </cell>
          <cell r="D155">
            <v>78497</v>
          </cell>
        </row>
        <row r="156">
          <cell r="C156" t="str">
            <v>B226</v>
          </cell>
          <cell r="D156">
            <v>21661</v>
          </cell>
        </row>
      </sheetData>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估价对象为北京市房地产，为所有。根据《国有土地使用证》[]，估价对象（分摊）出让国有建设用地使用权面积为6123.19平方米，建筑面积为27298.22平方米。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估价对象为北京市房地产,属开发建设的，该项目尚在开发建设中。根据《国有土地使用证》[]，估价对象（分摊）出让国有建设用地使用权面积为6123.19平方米，规划建筑面积为27298.22平方米。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2023年3月24日</v>
      </c>
    </row>
    <row r="13" spans="1:2" s="1203" customFormat="1">
      <c r="A13" s="1201" t="s">
        <v>529</v>
      </c>
      <c r="B13" s="1202" t="str">
        <f>'预评函-1'!A18</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153414</v>
      </c>
    </row>
    <row r="21" spans="1:2" s="1203" customFormat="1">
      <c r="A21" s="1201" t="s">
        <v>537</v>
      </c>
      <c r="B21" s="1202">
        <f ca="1">'预评函-2'!D7</f>
        <v>56199</v>
      </c>
    </row>
    <row r="22" spans="1:2" s="1203" customFormat="1">
      <c r="A22" s="1201" t="s">
        <v>538</v>
      </c>
      <c r="B22" s="1202" t="str">
        <f ca="1">'预评函-2'!D6</f>
        <v>壹拾伍亿叁仟肆佰壹拾肆万元整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153414</v>
      </c>
    </row>
    <row r="31" spans="1:2" s="1203" customFormat="1">
      <c r="A31" s="1201" t="s">
        <v>576</v>
      </c>
      <c r="B31" s="1202">
        <f ca="1">'预评函-2'!D15</f>
        <v>56199</v>
      </c>
    </row>
    <row r="32" spans="1:2" s="1203" customFormat="1">
      <c r="A32" s="1201" t="s">
        <v>543</v>
      </c>
      <c r="B32" s="1202" t="str">
        <f ca="1">'预评函-2'!D14</f>
        <v>壹拾伍亿叁仟肆佰壹拾肆万元整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135935</v>
      </c>
    </row>
    <row r="39" spans="1:2" s="1203" customFormat="1">
      <c r="A39" s="1201" t="s">
        <v>545</v>
      </c>
      <c r="B39" s="1202">
        <f ca="1">'预评函-2'!D21</f>
        <v>49796</v>
      </c>
    </row>
    <row r="40" spans="1:2" s="1203" customFormat="1">
      <c r="A40" s="1201" t="s">
        <v>546</v>
      </c>
      <c r="B40" s="1202" t="str">
        <f ca="1">'预评函-2'!D20</f>
        <v>壹拾叁亿伍仟玖佰叁拾伍万元整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27298.22</v>
      </c>
    </row>
    <row r="44" spans="1:2" s="1203" customFormat="1">
      <c r="A44" s="1201" t="s">
        <v>575</v>
      </c>
      <c r="B44" s="1202" t="str">
        <f>'预评函-3'!C2</f>
        <v>(分摊)土地面积</v>
      </c>
    </row>
    <row r="45" spans="1:2" s="1203" customFormat="1">
      <c r="A45" s="1201" t="s">
        <v>547</v>
      </c>
      <c r="B45" s="1202">
        <f>'预评函-3'!C4</f>
        <v>6123.19</v>
      </c>
    </row>
    <row r="46" spans="1:2" s="1203" customFormat="1">
      <c r="A46" s="1201" t="s">
        <v>573</v>
      </c>
      <c r="B46" s="1202" t="str">
        <f>'预评函-3'!D2</f>
        <v>出让国有建设用地使用权价值</v>
      </c>
    </row>
    <row r="47" spans="1:2" s="1203" customFormat="1">
      <c r="A47" s="1201" t="s">
        <v>548</v>
      </c>
      <c r="B47" s="1202">
        <f ca="1">'预评函-3'!D4</f>
        <v>134544</v>
      </c>
    </row>
    <row r="48" spans="1:2" s="1203" customFormat="1">
      <c r="A48" s="1201" t="s">
        <v>549</v>
      </c>
      <c r="B48" s="1202">
        <f ca="1">'预评函-3'!E4</f>
        <v>49286</v>
      </c>
    </row>
    <row r="49" spans="1:2" s="1203" customFormat="1">
      <c r="A49" s="1201" t="s">
        <v>550</v>
      </c>
      <c r="B49" s="1202" t="str">
        <f ca="1">'预评函-3'!D5</f>
        <v>壹拾叁亿肆仟伍佰肆拾肆万元整</v>
      </c>
    </row>
    <row r="50" spans="1:2" s="1203" customFormat="1">
      <c r="A50" s="1201" t="s">
        <v>574</v>
      </c>
      <c r="B50" s="1202" t="str">
        <f>'预评函-3'!F2</f>
        <v>在建建筑物价值</v>
      </c>
    </row>
    <row r="51" spans="1:2" s="1203" customFormat="1">
      <c r="A51" s="1201" t="s">
        <v>551</v>
      </c>
      <c r="B51" s="1202">
        <f ca="1">'预评函-3'!F4</f>
        <v>18870</v>
      </c>
    </row>
    <row r="52" spans="1:2" s="1203" customFormat="1">
      <c r="A52" s="1201" t="s">
        <v>552</v>
      </c>
      <c r="B52" s="1202">
        <f ca="1">'预评函-3'!G4</f>
        <v>6913</v>
      </c>
    </row>
    <row r="53" spans="1:2" s="1203" customFormat="1">
      <c r="A53" s="1201" t="s">
        <v>580</v>
      </c>
      <c r="B53" s="1202" t="str">
        <f ca="1">'预评函-3'!F5</f>
        <v>壹亿捌仟捌佰柒拾万元整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4" sqref="G24"/>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2579</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2580</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3908</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7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8"/>
      <c r="B54" s="1554" t="s">
        <v>385</v>
      </c>
      <c r="C54" s="1551" t="s">
        <v>583</v>
      </c>
    </row>
    <row r="55" spans="1:4">
      <c r="A55" s="3578"/>
      <c r="B55" s="1554" t="s">
        <v>386</v>
      </c>
      <c r="C55" s="1551" t="s">
        <v>584</v>
      </c>
    </row>
    <row r="56" spans="1:4">
      <c r="A56" s="3578"/>
      <c r="B56" s="1554" t="s">
        <v>387</v>
      </c>
      <c r="C56" s="1551" t="s">
        <v>588</v>
      </c>
    </row>
    <row r="57" spans="1:4">
      <c r="A57" s="357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8"/>
    <col min="8" max="8" width="5.5" style="2998" customWidth="1"/>
    <col min="9" max="13" width="9.5" style="3040" customWidth="1"/>
    <col min="14" max="18" width="9.5" style="2998" customWidth="1"/>
    <col min="19" max="16384" width="15.25" style="2998"/>
  </cols>
  <sheetData>
    <row r="1" spans="1:18">
      <c r="A1" s="2995" t="s">
        <v>2502</v>
      </c>
      <c r="B1" s="2996"/>
      <c r="C1" s="2996"/>
      <c r="D1" s="2996"/>
      <c r="E1" s="2996"/>
      <c r="F1" s="2997"/>
      <c r="I1" s="3419" t="s">
        <v>2595</v>
      </c>
      <c r="J1" s="3208"/>
      <c r="K1" s="3208"/>
      <c r="L1" s="3208"/>
      <c r="M1" s="3208"/>
      <c r="N1" s="3420"/>
      <c r="O1" s="3420"/>
      <c r="P1" s="3420"/>
      <c r="Q1" s="3420"/>
      <c r="R1" s="3420"/>
    </row>
    <row r="2" spans="1:18">
      <c r="A2" s="2999"/>
      <c r="B2" s="3000"/>
      <c r="C2" s="3000"/>
      <c r="D2" s="3000"/>
      <c r="E2" s="3000"/>
      <c r="F2" s="3001"/>
      <c r="I2" s="3579" t="s">
        <v>2582</v>
      </c>
      <c r="J2" s="3579"/>
      <c r="K2" s="3579"/>
      <c r="L2" s="3579"/>
      <c r="M2" s="3579"/>
      <c r="N2" s="3579"/>
      <c r="O2" s="3579"/>
      <c r="P2" s="3579"/>
      <c r="Q2" s="3579"/>
      <c r="R2" s="3579"/>
    </row>
    <row r="3" spans="1:18">
      <c r="A3" s="3002" t="s">
        <v>2503</v>
      </c>
      <c r="B3" s="3003">
        <f>项目基本情况!D3</f>
        <v>45009</v>
      </c>
      <c r="C3" s="3005"/>
      <c r="D3" s="3005"/>
      <c r="E3" s="3005"/>
      <c r="F3" s="3001"/>
      <c r="I3" s="3421"/>
      <c r="J3" s="3421" t="s">
        <v>2586</v>
      </c>
      <c r="K3" s="3421" t="s">
        <v>2587</v>
      </c>
      <c r="L3" s="3421" t="s">
        <v>2588</v>
      </c>
      <c r="M3" s="3421" t="s">
        <v>2589</v>
      </c>
      <c r="N3" s="3422" t="s">
        <v>2590</v>
      </c>
      <c r="O3" s="3422" t="s">
        <v>2591</v>
      </c>
      <c r="P3" s="3422" t="s">
        <v>2592</v>
      </c>
      <c r="Q3" s="3422" t="s">
        <v>2593</v>
      </c>
      <c r="R3" s="3422" t="s">
        <v>2594</v>
      </c>
    </row>
    <row r="4" spans="1:18">
      <c r="A4" s="3002" t="s">
        <v>2504</v>
      </c>
      <c r="B4" s="3005" t="s">
        <v>2505</v>
      </c>
      <c r="C4" s="3005" t="s">
        <v>2506</v>
      </c>
      <c r="D4" s="3005" t="s">
        <v>2507</v>
      </c>
      <c r="E4" s="3005" t="s">
        <v>2508</v>
      </c>
      <c r="F4" s="3001"/>
      <c r="I4" s="3421" t="s">
        <v>2583</v>
      </c>
      <c r="J4" s="3421">
        <v>80</v>
      </c>
      <c r="K4" s="3421">
        <v>70</v>
      </c>
      <c r="L4" s="3421">
        <v>20</v>
      </c>
      <c r="M4" s="3421">
        <v>30</v>
      </c>
      <c r="N4" s="3005">
        <v>45</v>
      </c>
      <c r="O4" s="3005">
        <v>60</v>
      </c>
      <c r="P4" s="3005">
        <v>50</v>
      </c>
      <c r="Q4" s="3005">
        <v>20</v>
      </c>
      <c r="R4" s="3005">
        <v>375</v>
      </c>
    </row>
    <row r="5" spans="1:18">
      <c r="A5" s="3006">
        <v>40</v>
      </c>
      <c r="B5" s="3003">
        <v>46375</v>
      </c>
      <c r="C5" s="3005">
        <f>ROUNDDOWN(MIN((B5-B3)/365,A5),2)</f>
        <v>3.74</v>
      </c>
      <c r="D5" s="3007">
        <f>IF(ISERROR(ROUND(POWER(1+E5,A5-C5)*(POWER(1+E5,C5)-1)/(POWER(1+E5,A5)-1),3)),0,ROUND(POWER(1+E5,A5-C5)*(POWER(1+E5,C5)-1)/(POWER(1+E5,A5)-1),4))</f>
        <v>0.17230000000000001</v>
      </c>
      <c r="E5" s="3008">
        <v>0.04</v>
      </c>
      <c r="F5" s="3001"/>
      <c r="I5" s="3421" t="s">
        <v>2584</v>
      </c>
      <c r="J5" s="3421">
        <v>70</v>
      </c>
      <c r="K5" s="3421">
        <v>60</v>
      </c>
      <c r="L5" s="3421">
        <v>15</v>
      </c>
      <c r="M5" s="3421">
        <v>25</v>
      </c>
      <c r="N5" s="3005">
        <v>40</v>
      </c>
      <c r="O5" s="3005">
        <v>50</v>
      </c>
      <c r="P5" s="3005">
        <v>40</v>
      </c>
      <c r="Q5" s="3005">
        <v>15</v>
      </c>
      <c r="R5" s="3005">
        <v>315</v>
      </c>
    </row>
    <row r="6" spans="1:18">
      <c r="A6" s="3006">
        <v>50</v>
      </c>
      <c r="B6" s="3003">
        <v>50028</v>
      </c>
      <c r="C6" s="3005">
        <f>ROUNDDOWN(MIN((B6-B3)/365,A6),2)</f>
        <v>13.75</v>
      </c>
      <c r="D6" s="3007">
        <f>IF(ISERROR(ROUND(POWER(1+E6,A6-C6)*(POWER(1+E6,C6)-1)/(POWER(1+E6,A6)-1),3)),0,ROUND(POWER(1+E6,A6-C6)*(POWER(1+E6,C6)-1)/(POWER(1+E6,A6)-1),4))</f>
        <v>0.48509999999999998</v>
      </c>
      <c r="E6" s="3008">
        <v>0.04</v>
      </c>
      <c r="F6" s="3001"/>
      <c r="I6" s="3421" t="s">
        <v>2585</v>
      </c>
      <c r="J6" s="3421">
        <v>60</v>
      </c>
      <c r="K6" s="3421">
        <v>50</v>
      </c>
      <c r="L6" s="3421">
        <v>10</v>
      </c>
      <c r="M6" s="3421">
        <v>20</v>
      </c>
      <c r="N6" s="3005">
        <v>35</v>
      </c>
      <c r="O6" s="3005">
        <v>40</v>
      </c>
      <c r="P6" s="3005">
        <v>30</v>
      </c>
      <c r="Q6" s="3005">
        <v>10</v>
      </c>
      <c r="R6" s="3005">
        <v>255</v>
      </c>
    </row>
    <row r="7" spans="1:18">
      <c r="A7" s="3006">
        <v>70</v>
      </c>
      <c r="B7" s="3003">
        <v>57333</v>
      </c>
      <c r="C7" s="3005">
        <f>ROUNDDOWN(MIN((B7-B3)/365,A7),2)</f>
        <v>33.76</v>
      </c>
      <c r="D7" s="3007">
        <f>IF(ISERROR(ROUND(POWER(1+E7,A7-C7)*(POWER(1+E7,C7)-1)/(POWER(1+E7,A7)-1),3)),0,ROUND(POWER(1+E7,A7-C7)*(POWER(1+E7,C7)-1)/(POWER(1+E7,A7)-1),4))</f>
        <v>0.7843</v>
      </c>
      <c r="E7" s="3008">
        <v>0.04</v>
      </c>
      <c r="F7" s="3001"/>
    </row>
    <row r="8" spans="1:18">
      <c r="A8" s="2999"/>
      <c r="B8" s="3000"/>
      <c r="C8" s="3000"/>
      <c r="D8" s="3000"/>
      <c r="E8" s="3000"/>
      <c r="F8" s="3001"/>
    </row>
    <row r="9" spans="1:18">
      <c r="A9" s="3002" t="s">
        <v>2509</v>
      </c>
      <c r="B9" s="3005"/>
      <c r="C9" s="3005"/>
      <c r="D9" s="3005"/>
      <c r="E9" s="3005"/>
      <c r="F9" s="3009"/>
    </row>
    <row r="10" spans="1:18">
      <c r="A10" s="3002" t="s">
        <v>2510</v>
      </c>
      <c r="B10" s="3005"/>
      <c r="C10" s="3005"/>
      <c r="D10" s="3005" t="s">
        <v>2508</v>
      </c>
      <c r="E10" s="3005"/>
      <c r="F10" s="3009" t="s">
        <v>2507</v>
      </c>
    </row>
    <row r="11" spans="1:18">
      <c r="A11" s="3002" t="s">
        <v>2511</v>
      </c>
      <c r="B11" s="3010">
        <v>70</v>
      </c>
      <c r="C11" s="3005" t="s">
        <v>2512</v>
      </c>
      <c r="D11" s="3011">
        <v>4.4999999999999998E-2</v>
      </c>
      <c r="E11" s="3005" t="s">
        <v>2513</v>
      </c>
      <c r="F11" s="3012">
        <f>ROUND(1-(1/(POWER(1+D11,B11))),4)</f>
        <v>0.95409999999999995</v>
      </c>
    </row>
    <row r="12" spans="1:18">
      <c r="A12" s="3002" t="s">
        <v>2514</v>
      </c>
      <c r="B12" s="3010">
        <v>40</v>
      </c>
      <c r="C12" s="3005" t="s">
        <v>2515</v>
      </c>
      <c r="D12" s="3011">
        <v>4.4999999999999998E-2</v>
      </c>
      <c r="E12" s="3005" t="s">
        <v>2516</v>
      </c>
      <c r="F12" s="3012">
        <f>ROUND(1-(1/(POWER(1+D12,B12))),4)</f>
        <v>0.82809999999999995</v>
      </c>
    </row>
    <row r="13" spans="1:18">
      <c r="A13" s="3002" t="s">
        <v>2517</v>
      </c>
      <c r="B13" s="3005"/>
      <c r="C13" s="3005"/>
      <c r="D13" s="3000"/>
      <c r="E13" s="3000"/>
      <c r="F13" s="3001"/>
    </row>
    <row r="14" spans="1:18">
      <c r="A14" s="3002" t="s">
        <v>2518</v>
      </c>
      <c r="B14" s="3010">
        <v>5000</v>
      </c>
      <c r="C14" s="3004"/>
      <c r="D14" s="3000"/>
      <c r="E14" s="3000"/>
      <c r="F14" s="3001"/>
    </row>
    <row r="15" spans="1:18">
      <c r="A15" s="3002" t="s">
        <v>2519</v>
      </c>
      <c r="B15" s="3005">
        <f>ROUND(B14*F12/F11,2)</f>
        <v>4339.6899999999996</v>
      </c>
      <c r="C15" s="3005">
        <f>ROUND(F12/F11,4)</f>
        <v>0.8679</v>
      </c>
      <c r="D15" s="3000"/>
      <c r="E15" s="3000"/>
      <c r="F15" s="3001"/>
    </row>
    <row r="16" spans="1:18">
      <c r="A16" s="3002" t="s">
        <v>2520</v>
      </c>
      <c r="B16" s="3005"/>
      <c r="C16" s="3005"/>
      <c r="D16" s="3000"/>
      <c r="E16" s="3000"/>
      <c r="F16" s="3001"/>
    </row>
    <row r="17" spans="1:13">
      <c r="A17" s="3002" t="s">
        <v>2519</v>
      </c>
      <c r="B17" s="3011">
        <v>4810</v>
      </c>
      <c r="C17" s="3004"/>
      <c r="D17" s="3000"/>
      <c r="E17" s="3000"/>
      <c r="F17" s="3001"/>
    </row>
    <row r="18" spans="1:13" ht="14.25" thickBot="1">
      <c r="A18" s="3013" t="s">
        <v>2518</v>
      </c>
      <c r="B18" s="3014">
        <f>ROUND(B17*F11/F12,2)</f>
        <v>5541.87</v>
      </c>
      <c r="C18" s="3014">
        <f>ROUND(F11/F12,4)</f>
        <v>1.1521999999999999</v>
      </c>
      <c r="D18" s="3015"/>
      <c r="E18" s="3015"/>
      <c r="F18" s="3016"/>
    </row>
    <row r="19" spans="1:13" ht="14.25" thickBot="1"/>
    <row r="20" spans="1:13" s="3051" customFormat="1" ht="14.25" thickTop="1">
      <c r="A20" s="3048" t="s">
        <v>2521</v>
      </c>
      <c r="B20" s="3049"/>
      <c r="C20" s="3049"/>
      <c r="D20" s="3049"/>
      <c r="E20" s="3049"/>
      <c r="F20" s="3049"/>
      <c r="G20" s="3050"/>
      <c r="I20" s="3052" t="s">
        <v>2566</v>
      </c>
      <c r="J20" s="3052" t="s">
        <v>2571</v>
      </c>
      <c r="K20" s="3052"/>
      <c r="L20" s="3052"/>
      <c r="M20" s="3052"/>
    </row>
    <row r="21" spans="1:13">
      <c r="A21" s="3017"/>
      <c r="B21" s="3018" t="s">
        <v>2522</v>
      </c>
      <c r="C21" s="3018" t="s">
        <v>2523</v>
      </c>
      <c r="D21" s="3018" t="s">
        <v>2524</v>
      </c>
      <c r="E21" s="3018" t="s">
        <v>2525</v>
      </c>
      <c r="F21" s="3018" t="s">
        <v>2526</v>
      </c>
      <c r="G21" s="3019" t="s">
        <v>2527</v>
      </c>
      <c r="I21" s="3040">
        <v>5</v>
      </c>
      <c r="J21" s="3040">
        <v>54.2</v>
      </c>
    </row>
    <row r="22" spans="1:13">
      <c r="A22" s="3017" t="s">
        <v>2528</v>
      </c>
      <c r="B22" s="3020">
        <v>70</v>
      </c>
      <c r="C22" s="3020">
        <v>30</v>
      </c>
      <c r="D22" s="3021">
        <v>0.04</v>
      </c>
      <c r="E22" s="3018">
        <f>ROUND(POWER(1+D22,B22-C22)*(POWER(1+D22,C22)-1)/(POWER(1+D22,B22)-1),3)</f>
        <v>0.73899999999999999</v>
      </c>
      <c r="F22" s="3021">
        <v>0.7</v>
      </c>
      <c r="G22" s="3019">
        <f>ROUND(100*(1-(1-E22)*F22),1)</f>
        <v>81.7</v>
      </c>
      <c r="I22" s="3040">
        <v>10</v>
      </c>
      <c r="J22" s="3040">
        <v>65.400000000000006</v>
      </c>
      <c r="K22" s="3040">
        <f>J22-J21</f>
        <v>11.200000000000003</v>
      </c>
    </row>
    <row r="23" spans="1:13">
      <c r="A23" s="3017" t="s">
        <v>2529</v>
      </c>
      <c r="B23" s="3020">
        <v>70</v>
      </c>
      <c r="C23" s="3020">
        <v>40</v>
      </c>
      <c r="D23" s="3021">
        <v>0.04</v>
      </c>
      <c r="E23" s="3018">
        <f t="shared" ref="E23:E25" si="0">ROUND(POWER(1+D23,B23-C23)*(POWER(1+D23,C23)-1)/(POWER(1+D23,B23)-1),3)</f>
        <v>0.84599999999999997</v>
      </c>
      <c r="F23" s="3021">
        <f>F22</f>
        <v>0.7</v>
      </c>
      <c r="G23" s="3019">
        <f t="shared" ref="G23:G25" si="1">ROUND(100*(1-(1-E23)*F23),1)</f>
        <v>89.2</v>
      </c>
      <c r="I23" s="3040">
        <v>15</v>
      </c>
      <c r="J23" s="3040">
        <v>74.099999999999994</v>
      </c>
      <c r="K23" s="3040">
        <f t="shared" ref="K23:K30" si="2">J23-J22</f>
        <v>8.6999999999999886</v>
      </c>
      <c r="L23" s="3040" t="s">
        <v>2569</v>
      </c>
      <c r="M23" s="3040" t="s">
        <v>2570</v>
      </c>
    </row>
    <row r="24" spans="1:13">
      <c r="A24" s="3017" t="s">
        <v>2530</v>
      </c>
      <c r="B24" s="3020">
        <v>70</v>
      </c>
      <c r="C24" s="3020">
        <v>50</v>
      </c>
      <c r="D24" s="3021">
        <v>0.04</v>
      </c>
      <c r="E24" s="3018">
        <f t="shared" si="0"/>
        <v>0.91800000000000004</v>
      </c>
      <c r="F24" s="3021">
        <f>F23</f>
        <v>0.7</v>
      </c>
      <c r="G24" s="3019">
        <f t="shared" si="1"/>
        <v>94.3</v>
      </c>
      <c r="I24" s="3040">
        <v>20</v>
      </c>
      <c r="J24" s="3040">
        <v>81</v>
      </c>
      <c r="K24" s="3040">
        <f t="shared" si="2"/>
        <v>6.9000000000000057</v>
      </c>
      <c r="L24" s="3040" t="s">
        <v>2568</v>
      </c>
      <c r="M24" s="3040">
        <v>10</v>
      </c>
    </row>
    <row r="25" spans="1:13">
      <c r="A25" s="3017" t="s">
        <v>2531</v>
      </c>
      <c r="B25" s="3020">
        <v>70</v>
      </c>
      <c r="C25" s="3020">
        <v>60</v>
      </c>
      <c r="D25" s="3021">
        <v>0.04</v>
      </c>
      <c r="E25" s="3018">
        <f t="shared" si="0"/>
        <v>0.96699999999999997</v>
      </c>
      <c r="F25" s="3021">
        <f>F24</f>
        <v>0.7</v>
      </c>
      <c r="G25" s="3019">
        <f t="shared" si="1"/>
        <v>97.7</v>
      </c>
      <c r="I25" s="3040">
        <v>25</v>
      </c>
      <c r="J25" s="3040">
        <v>86.3</v>
      </c>
      <c r="K25" s="3040">
        <f t="shared" si="2"/>
        <v>5.2999999999999972</v>
      </c>
      <c r="L25" s="3040" t="s">
        <v>2572</v>
      </c>
      <c r="M25" s="3040">
        <v>8</v>
      </c>
    </row>
    <row r="26" spans="1:13">
      <c r="A26" s="3022"/>
      <c r="B26" s="3023"/>
      <c r="C26" s="3023"/>
      <c r="D26" s="3023"/>
      <c r="E26" s="3023"/>
      <c r="F26" s="3023"/>
      <c r="G26" s="3024"/>
      <c r="I26" s="3040">
        <v>30</v>
      </c>
      <c r="J26" s="3040">
        <v>90.5</v>
      </c>
      <c r="K26" s="3040">
        <f t="shared" si="2"/>
        <v>4.2000000000000028</v>
      </c>
      <c r="L26" s="3040" t="s">
        <v>2573</v>
      </c>
      <c r="M26" s="3040">
        <v>5</v>
      </c>
    </row>
    <row r="27" spans="1:13">
      <c r="A27" s="3022" t="s">
        <v>2532</v>
      </c>
      <c r="B27" s="3023"/>
      <c r="C27" s="3023"/>
      <c r="D27" s="3023"/>
      <c r="E27" s="3023"/>
      <c r="F27" s="3023"/>
      <c r="G27" s="3024"/>
      <c r="I27" s="3040">
        <v>35</v>
      </c>
      <c r="J27" s="3040">
        <v>93.8</v>
      </c>
      <c r="K27" s="3040">
        <f t="shared" si="2"/>
        <v>3.2999999999999972</v>
      </c>
      <c r="L27" s="3040" t="s">
        <v>2574</v>
      </c>
      <c r="M27" s="3040">
        <v>3</v>
      </c>
    </row>
    <row r="28" spans="1:13">
      <c r="A28" s="3022" t="s">
        <v>2533</v>
      </c>
      <c r="B28" s="3023"/>
      <c r="C28" s="3023"/>
      <c r="D28" s="3023"/>
      <c r="E28" s="3023"/>
      <c r="F28" s="3023"/>
      <c r="G28" s="3024"/>
      <c r="I28" s="3040">
        <v>40</v>
      </c>
      <c r="J28" s="3040">
        <v>96.4</v>
      </c>
      <c r="K28" s="3040">
        <f t="shared" si="2"/>
        <v>2.6000000000000085</v>
      </c>
      <c r="L28" s="3040" t="s">
        <v>2575</v>
      </c>
      <c r="M28" s="3040">
        <v>2</v>
      </c>
    </row>
    <row r="29" spans="1:13">
      <c r="A29" s="3022" t="s">
        <v>2534</v>
      </c>
      <c r="B29" s="3023"/>
      <c r="C29" s="3023"/>
      <c r="D29" s="3023"/>
      <c r="E29" s="3023"/>
      <c r="F29" s="3023"/>
      <c r="G29" s="3024"/>
      <c r="I29" s="3040">
        <v>45</v>
      </c>
      <c r="J29" s="3040">
        <v>98.4</v>
      </c>
      <c r="K29" s="3040">
        <f t="shared" si="2"/>
        <v>2</v>
      </c>
    </row>
    <row r="30" spans="1:13">
      <c r="A30" s="3022" t="s">
        <v>2535</v>
      </c>
      <c r="B30" s="3023"/>
      <c r="C30" s="3023"/>
      <c r="D30" s="3023"/>
      <c r="E30" s="3023"/>
      <c r="F30" s="3023"/>
      <c r="G30" s="3024"/>
      <c r="I30" s="3040">
        <v>50</v>
      </c>
      <c r="J30" s="3040">
        <v>100</v>
      </c>
      <c r="K30" s="3040">
        <f t="shared" si="2"/>
        <v>1.5999999999999943</v>
      </c>
    </row>
    <row r="31" spans="1:13">
      <c r="A31" s="3022" t="s">
        <v>2536</v>
      </c>
      <c r="B31" s="3023"/>
      <c r="C31" s="3023"/>
      <c r="D31" s="3023"/>
      <c r="E31" s="3023"/>
      <c r="F31" s="3023"/>
      <c r="G31" s="3024"/>
      <c r="I31" s="3040" t="s">
        <v>2567</v>
      </c>
    </row>
    <row r="32" spans="1:13">
      <c r="A32" s="3022" t="s">
        <v>2537</v>
      </c>
      <c r="B32" s="3023"/>
      <c r="C32" s="3023"/>
      <c r="D32" s="3023"/>
      <c r="E32" s="3023"/>
      <c r="F32" s="3023"/>
      <c r="G32" s="3024"/>
    </row>
    <row r="33" spans="1:13">
      <c r="A33" s="3022" t="s">
        <v>2538</v>
      </c>
      <c r="B33" s="3023"/>
      <c r="C33" s="3023"/>
      <c r="D33" s="3023"/>
      <c r="E33" s="3023"/>
      <c r="F33" s="3023"/>
      <c r="G33" s="3024"/>
      <c r="I33" s="3040" t="s">
        <v>2566</v>
      </c>
      <c r="J33" s="3040" t="s">
        <v>2576</v>
      </c>
    </row>
    <row r="34" spans="1:13">
      <c r="A34" s="3022" t="s">
        <v>2539</v>
      </c>
      <c r="B34" s="3023"/>
      <c r="C34" s="3023"/>
      <c r="D34" s="3023"/>
      <c r="E34" s="3023"/>
      <c r="F34" s="3023"/>
      <c r="G34" s="3024"/>
      <c r="I34" s="3040">
        <v>5</v>
      </c>
      <c r="J34" s="3040">
        <v>55.1</v>
      </c>
    </row>
    <row r="35" spans="1:13">
      <c r="A35" s="3022" t="s">
        <v>2540</v>
      </c>
      <c r="B35" s="3023"/>
      <c r="C35" s="3023"/>
      <c r="D35" s="3023"/>
      <c r="E35" s="3023"/>
      <c r="F35" s="3023"/>
      <c r="G35" s="3024"/>
      <c r="I35" s="3040">
        <v>10</v>
      </c>
      <c r="J35" s="3040">
        <v>67</v>
      </c>
      <c r="K35" s="3040">
        <f>J35-J34</f>
        <v>11.899999999999999</v>
      </c>
    </row>
    <row r="36" spans="1:13">
      <c r="A36" s="3022" t="s">
        <v>2541</v>
      </c>
      <c r="B36" s="3023"/>
      <c r="C36" s="3023"/>
      <c r="D36" s="3023"/>
      <c r="E36" s="3023"/>
      <c r="F36" s="3023"/>
      <c r="G36" s="3024"/>
      <c r="I36" s="3040">
        <v>15</v>
      </c>
      <c r="J36" s="3040">
        <v>76.3</v>
      </c>
      <c r="K36" s="3040">
        <f t="shared" ref="K36:K41" si="3">J36-J35</f>
        <v>9.2999999999999972</v>
      </c>
      <c r="L36" s="3040" t="s">
        <v>2569</v>
      </c>
      <c r="M36" s="3040" t="s">
        <v>2570</v>
      </c>
    </row>
    <row r="37" spans="1:13">
      <c r="A37" s="3022" t="s">
        <v>2542</v>
      </c>
      <c r="B37" s="3023"/>
      <c r="C37" s="3023"/>
      <c r="D37" s="3023"/>
      <c r="E37" s="3023"/>
      <c r="F37" s="3023"/>
      <c r="G37" s="3024"/>
      <c r="I37" s="3040">
        <v>20</v>
      </c>
      <c r="J37" s="3040">
        <v>83.6</v>
      </c>
      <c r="K37" s="3040">
        <f t="shared" si="3"/>
        <v>7.2999999999999972</v>
      </c>
      <c r="L37" s="3040" t="s">
        <v>2568</v>
      </c>
      <c r="M37" s="3040">
        <v>10</v>
      </c>
    </row>
    <row r="38" spans="1:13">
      <c r="A38" s="3022" t="s">
        <v>2543</v>
      </c>
      <c r="B38" s="3023"/>
      <c r="C38" s="3023"/>
      <c r="D38" s="3023"/>
      <c r="E38" s="3023"/>
      <c r="F38" s="3023"/>
      <c r="G38" s="3024"/>
      <c r="I38" s="3040">
        <v>25</v>
      </c>
      <c r="J38" s="3040">
        <v>89.3</v>
      </c>
      <c r="K38" s="3040">
        <f t="shared" si="3"/>
        <v>5.7000000000000028</v>
      </c>
      <c r="L38" s="3040" t="s">
        <v>2572</v>
      </c>
      <c r="M38" s="3040">
        <v>8</v>
      </c>
    </row>
    <row r="39" spans="1:13">
      <c r="A39" s="3022"/>
      <c r="B39" s="3023"/>
      <c r="C39" s="3023"/>
      <c r="D39" s="3023"/>
      <c r="E39" s="3023"/>
      <c r="F39" s="3023"/>
      <c r="G39" s="3024"/>
      <c r="I39" s="3040">
        <v>30</v>
      </c>
      <c r="J39" s="3040">
        <v>93.8</v>
      </c>
      <c r="K39" s="3040">
        <f t="shared" si="3"/>
        <v>4.5</v>
      </c>
      <c r="L39" s="3040" t="s">
        <v>2573</v>
      </c>
      <c r="M39" s="3040">
        <v>6</v>
      </c>
    </row>
    <row r="40" spans="1:13">
      <c r="A40" s="3025" t="s">
        <v>2544</v>
      </c>
      <c r="B40" s="3026"/>
      <c r="C40" s="3026"/>
      <c r="D40" s="3026"/>
      <c r="E40" s="3026"/>
      <c r="F40" s="3026"/>
      <c r="G40" s="3027"/>
      <c r="I40" s="3040">
        <v>35</v>
      </c>
      <c r="J40" s="3040">
        <v>97.2</v>
      </c>
      <c r="K40" s="3040">
        <f t="shared" si="3"/>
        <v>3.4000000000000057</v>
      </c>
      <c r="L40" s="3040" t="s">
        <v>2574</v>
      </c>
      <c r="M40" s="3040">
        <v>3</v>
      </c>
    </row>
    <row r="41" spans="1:13">
      <c r="A41" s="3028" t="s">
        <v>2545</v>
      </c>
      <c r="B41" s="3029" t="s">
        <v>2546</v>
      </c>
      <c r="C41" s="3030" t="s">
        <v>2547</v>
      </c>
      <c r="D41" s="3030" t="s">
        <v>2548</v>
      </c>
      <c r="E41" s="3031"/>
      <c r="F41" s="3032"/>
      <c r="G41" s="3033"/>
      <c r="I41" s="3040">
        <v>40</v>
      </c>
      <c r="J41" s="3040">
        <v>100</v>
      </c>
      <c r="K41" s="3040">
        <f t="shared" si="3"/>
        <v>2.7999999999999972</v>
      </c>
    </row>
    <row r="42" spans="1:13">
      <c r="A42" s="3028" t="s">
        <v>2549</v>
      </c>
      <c r="B42" s="3029" t="s">
        <v>2550</v>
      </c>
      <c r="C42" s="3030" t="s">
        <v>2551</v>
      </c>
      <c r="D42" s="3034" t="s">
        <v>2552</v>
      </c>
      <c r="E42" s="3026" t="s">
        <v>2553</v>
      </c>
      <c r="F42" s="3026"/>
      <c r="G42" s="3027"/>
    </row>
    <row r="43" spans="1:13">
      <c r="A43" s="3028" t="s">
        <v>2554</v>
      </c>
      <c r="B43" s="3029" t="s">
        <v>2555</v>
      </c>
      <c r="C43" s="3030" t="s">
        <v>2556</v>
      </c>
      <c r="D43" s="3030" t="s">
        <v>2557</v>
      </c>
      <c r="E43" s="3031" t="s">
        <v>2558</v>
      </c>
      <c r="F43" s="3032"/>
      <c r="G43" s="3033"/>
      <c r="I43" s="3040" t="s">
        <v>2566</v>
      </c>
      <c r="J43" s="3040" t="s">
        <v>2577</v>
      </c>
    </row>
    <row r="44" spans="1:13">
      <c r="A44" s="3028" t="s">
        <v>2559</v>
      </c>
      <c r="B44" s="3029" t="s">
        <v>2560</v>
      </c>
      <c r="C44" s="3030" t="s">
        <v>2561</v>
      </c>
      <c r="D44" s="3034">
        <v>0.5</v>
      </c>
      <c r="E44" s="3031" t="s">
        <v>2562</v>
      </c>
      <c r="F44" s="3032"/>
      <c r="G44" s="3033"/>
      <c r="I44" s="3040">
        <v>30</v>
      </c>
      <c r="J44" s="3040">
        <v>81.7</v>
      </c>
    </row>
    <row r="45" spans="1:13" ht="14.25" thickBot="1">
      <c r="A45" s="3035" t="s">
        <v>2563</v>
      </c>
      <c r="B45" s="3036" t="s">
        <v>2550</v>
      </c>
      <c r="C45" s="3037" t="s">
        <v>2550</v>
      </c>
      <c r="D45" s="3037" t="s">
        <v>2564</v>
      </c>
      <c r="E45" s="3038" t="s">
        <v>2565</v>
      </c>
      <c r="F45" s="3038"/>
      <c r="G45" s="3039"/>
      <c r="I45" s="3040">
        <v>40</v>
      </c>
      <c r="J45" s="3040">
        <v>89.2</v>
      </c>
      <c r="K45" s="3040">
        <f>J45-J44</f>
        <v>7.5</v>
      </c>
    </row>
    <row r="46" spans="1:13">
      <c r="I46" s="3040">
        <v>50</v>
      </c>
      <c r="J46" s="3040">
        <v>94.3</v>
      </c>
      <c r="K46" s="3040">
        <f t="shared" ref="K46:K47" si="4">J46-J45</f>
        <v>5.0999999999999943</v>
      </c>
    </row>
    <row r="47" spans="1:13">
      <c r="I47" s="3040">
        <v>60</v>
      </c>
      <c r="J47" s="3040">
        <v>97.7</v>
      </c>
      <c r="K47" s="3040">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31" sqref="K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10" customWidth="1"/>
    <col min="12" max="13" width="10" style="2611"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80" t="str">
        <f>IF(B10="北京市","北京市",C10)&amp;F10&amp;IF(结果表!G1="在建","出让国有建设用地使用权及在建建筑物",IF(结果表!G1="土地","出让国有建设用地使用权",))&amp;B9&amp;"预评估"</f>
        <v>北京市房地产抵押价值预评估</v>
      </c>
      <c r="C1" s="3581"/>
      <c r="D1" s="3581"/>
      <c r="E1" s="3581"/>
      <c r="F1" s="3581"/>
      <c r="G1" s="3581"/>
      <c r="H1" s="3581"/>
      <c r="I1" s="358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52"/>
      <c r="E2" s="2644"/>
      <c r="F2" s="2644"/>
      <c r="G2" s="2645"/>
      <c r="H2" s="2645"/>
      <c r="I2" s="2645"/>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45009</v>
      </c>
      <c r="E3" s="2645"/>
      <c r="F3" s="2645"/>
      <c r="G3" s="2645"/>
      <c r="H3" s="2645"/>
      <c r="I3" s="2645"/>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46"/>
      <c r="F5" s="2646"/>
      <c r="G5" s="2646"/>
      <c r="H5" s="2646"/>
      <c r="I5" s="2646"/>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44"/>
      <c r="F6" s="2646"/>
      <c r="G6" s="2646"/>
      <c r="H6" s="2646"/>
      <c r="I6" s="2646"/>
      <c r="J6" s="2439"/>
      <c r="K6" s="2597" t="str">
        <f>IF(COUNTIF(B6,"*上海银行*"),"上海银行","")</f>
        <v/>
      </c>
      <c r="L6" s="2595"/>
      <c r="M6" s="2595"/>
      <c r="N6" s="2439"/>
      <c r="O6" s="2450"/>
      <c r="P6" s="2439"/>
      <c r="Q6" s="2439"/>
      <c r="R6" s="2439"/>
    </row>
    <row r="7" spans="1:30">
      <c r="A7" s="2383" t="s">
        <v>2174</v>
      </c>
      <c r="B7" s="2387"/>
      <c r="C7" s="2385"/>
      <c r="D7" s="2386"/>
      <c r="E7" s="2644"/>
      <c r="F7" s="2646"/>
      <c r="G7" s="2646"/>
      <c r="H7" s="2646"/>
      <c r="I7" s="2646"/>
      <c r="J7" s="2439"/>
      <c r="K7" s="2598"/>
      <c r="L7" s="2595"/>
      <c r="M7" s="2595"/>
      <c r="N7" s="2439"/>
      <c r="O7" s="2450"/>
      <c r="P7" s="2439"/>
      <c r="Q7" s="2439"/>
      <c r="R7" s="2439"/>
    </row>
    <row r="8" spans="1:30">
      <c r="A8" s="2388" t="s">
        <v>2175</v>
      </c>
      <c r="B8" s="2389" t="s">
        <v>3378</v>
      </c>
      <c r="C8" s="2390"/>
      <c r="D8" s="3583" t="s">
        <v>2176</v>
      </c>
      <c r="E8" s="2391" t="s">
        <v>3379</v>
      </c>
      <c r="F8" s="2392"/>
      <c r="G8" s="2645"/>
      <c r="H8" s="2645"/>
      <c r="I8" s="2645"/>
      <c r="J8" s="2439"/>
      <c r="K8" s="2596"/>
      <c r="L8" s="2595"/>
      <c r="M8" s="2595"/>
      <c r="N8" s="2439"/>
      <c r="O8" s="2450"/>
      <c r="P8" s="2439"/>
      <c r="Q8" s="2439"/>
      <c r="R8" s="2439"/>
    </row>
    <row r="9" spans="1:30" ht="13.5" thickBot="1">
      <c r="A9" s="2393" t="s">
        <v>2177</v>
      </c>
      <c r="B9" s="2394" t="s">
        <v>3379</v>
      </c>
      <c r="C9" s="2395"/>
      <c r="D9" s="3584"/>
      <c r="E9" s="2394" t="s">
        <v>587</v>
      </c>
      <c r="F9" s="2396"/>
      <c r="G9" s="2647"/>
      <c r="H9" s="2647"/>
      <c r="I9" s="2647"/>
      <c r="J9" s="2439"/>
      <c r="K9" s="2598"/>
      <c r="L9" s="2595"/>
      <c r="M9" s="2595"/>
      <c r="N9" s="2439"/>
      <c r="O9" s="2450"/>
      <c r="P9" s="2439"/>
      <c r="Q9" s="2439"/>
      <c r="R9" s="2439"/>
    </row>
    <row r="10" spans="1:30" ht="13.5" thickTop="1">
      <c r="A10" s="2397" t="s">
        <v>2178</v>
      </c>
      <c r="B10" s="2398" t="s">
        <v>3380</v>
      </c>
      <c r="C10" s="2399"/>
      <c r="D10" s="2382"/>
      <c r="E10" s="2400" t="s">
        <v>2179</v>
      </c>
      <c r="F10" s="2648"/>
      <c r="G10" s="2649"/>
      <c r="H10" s="2650"/>
      <c r="I10" s="2651"/>
      <c r="J10" s="2439"/>
      <c r="K10" s="2598"/>
      <c r="L10" s="2595"/>
      <c r="M10" s="2595"/>
      <c r="N10" s="2439"/>
      <c r="O10" s="2450"/>
      <c r="P10" s="2439"/>
      <c r="Q10" s="2439"/>
      <c r="R10" s="2439"/>
    </row>
    <row r="11" spans="1:30">
      <c r="A11" s="2401" t="s">
        <v>2180</v>
      </c>
      <c r="B11" s="2402" t="s">
        <v>3381</v>
      </c>
      <c r="C11" s="2403"/>
      <c r="D11" s="2404"/>
      <c r="E11" s="2370"/>
      <c r="F11" s="2370"/>
      <c r="G11" s="2370"/>
      <c r="H11" s="2370"/>
      <c r="I11" s="2370"/>
      <c r="J11" s="3043"/>
      <c r="K11" s="3042"/>
      <c r="L11" s="2595"/>
      <c r="M11" s="2595"/>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41" t="s">
        <v>2578</v>
      </c>
      <c r="J12" s="3044"/>
      <c r="K12" s="2595"/>
      <c r="L12" s="2595"/>
      <c r="M12" s="2439"/>
      <c r="N12" s="2450"/>
      <c r="O12" s="2439"/>
      <c r="P12" s="2439"/>
      <c r="Q12" s="2439"/>
      <c r="AD12" s="1745"/>
    </row>
    <row r="13" spans="1:30">
      <c r="A13" s="3405" t="s">
        <v>3338</v>
      </c>
      <c r="B13" s="2407" t="s">
        <v>2189</v>
      </c>
      <c r="C13" s="856"/>
      <c r="D13" s="856">
        <v>52112</v>
      </c>
      <c r="E13" s="856"/>
      <c r="F13" s="856">
        <v>55765</v>
      </c>
      <c r="G13" s="856"/>
      <c r="H13" s="856"/>
      <c r="I13" s="856"/>
      <c r="J13" s="3044"/>
      <c r="K13" s="2595"/>
      <c r="L13" s="2595"/>
      <c r="M13" s="2439"/>
      <c r="N13" s="2450"/>
      <c r="O13" s="2439"/>
      <c r="P13" s="2439"/>
      <c r="Q13" s="2439"/>
      <c r="AD13" s="1745"/>
    </row>
    <row r="14" spans="1:30">
      <c r="A14" s="1081"/>
      <c r="B14" s="2407" t="s">
        <v>2190</v>
      </c>
      <c r="C14" s="2408"/>
      <c r="D14" s="2408">
        <v>40</v>
      </c>
      <c r="E14" s="2408"/>
      <c r="F14" s="2408">
        <v>50</v>
      </c>
      <c r="G14" s="2408"/>
      <c r="H14" s="2408"/>
      <c r="I14" s="2408"/>
      <c r="J14" s="3045"/>
      <c r="K14" s="2595"/>
      <c r="L14" s="2595"/>
      <c r="M14" s="2439"/>
      <c r="N14" s="2450"/>
      <c r="O14" s="2439"/>
      <c r="P14" s="2439"/>
      <c r="Q14" s="2439"/>
      <c r="AD14" s="1745"/>
    </row>
    <row r="15" spans="1:30">
      <c r="A15" s="320"/>
      <c r="B15" s="2409" t="s">
        <v>2191</v>
      </c>
      <c r="C15" s="2410" t="str">
        <f>IF(A13="出让",IF(C13="","",ROUNDDOWN(MIN((C13-$D$3)/365,C14),2)),C14)</f>
        <v/>
      </c>
      <c r="D15" s="2410">
        <f>IF(A13="出让",IF(D13="","",ROUNDDOWN(MIN((D13-$D$3)/365,D14),2)),D14)</f>
        <v>19.46</v>
      </c>
      <c r="E15" s="2410" t="str">
        <f>IF(A13="出让",IF(E13="","",ROUNDDOWN(MIN((E13-$D$3)/365,E14),2)),E14)</f>
        <v/>
      </c>
      <c r="F15" s="2410">
        <f>IF(A13="出让",IF(F13="","",ROUNDDOWN(MIN((F13-$D$3)/365,F14),2)),F14)</f>
        <v>29.46</v>
      </c>
      <c r="G15" s="2410" t="str">
        <f>IF(A13="出让",IF(G13="","",ROUNDDOWN(MIN((G13-$D$3)/365,G14),2)),G14)</f>
        <v/>
      </c>
      <c r="H15" s="2410" t="str">
        <f>IF(A13="出让",IF(H13="","",ROUNDDOWN(MIN((H13-$D$3)/365,H14),2)),H14)</f>
        <v/>
      </c>
      <c r="I15" s="2410" t="str">
        <f>IF(A13="出让",IF(I13="","",ROUNDDOWN(MIN((I13-$D$3)/365,I14),2)),I14)</f>
        <v/>
      </c>
      <c r="J15" s="3046"/>
      <c r="K15" s="2451"/>
      <c r="L15" s="2451"/>
      <c r="M15" s="2509"/>
      <c r="N15" s="2451"/>
      <c r="O15" s="2509"/>
      <c r="P15" s="2439"/>
      <c r="Q15" s="2439"/>
      <c r="AD15" s="1745"/>
    </row>
    <row r="16" spans="1:30">
      <c r="A16" s="2400" t="s">
        <v>2192</v>
      </c>
      <c r="B16" s="3590"/>
      <c r="C16" s="3591"/>
      <c r="D16" s="3592"/>
      <c r="E16" s="2413" t="s">
        <v>2193</v>
      </c>
      <c r="F16" s="3593"/>
      <c r="G16" s="3594"/>
      <c r="H16" s="3594"/>
      <c r="I16" s="3595"/>
      <c r="J16" s="2439"/>
      <c r="K16" s="2599"/>
      <c r="L16" s="2451"/>
      <c r="M16" s="2451"/>
      <c r="N16" s="2509"/>
      <c r="O16" s="2451"/>
      <c r="P16" s="2509"/>
      <c r="Q16" s="2439"/>
      <c r="R16" s="2439"/>
    </row>
    <row r="17" spans="1:28">
      <c r="A17" s="313" t="s">
        <v>2194</v>
      </c>
      <c r="B17" s="302" t="s">
        <v>2195</v>
      </c>
      <c r="C17" s="8">
        <f>'数据-汇总表'!E3</f>
        <v>27298.22</v>
      </c>
      <c r="D17" s="2322" t="s">
        <v>2196</v>
      </c>
      <c r="E17" s="3596" t="s">
        <v>2197</v>
      </c>
      <c r="F17" s="3597"/>
      <c r="G17" s="3597"/>
      <c r="H17" s="3597"/>
      <c r="I17" s="3598"/>
      <c r="J17" s="2439"/>
      <c r="K17" s="2600"/>
      <c r="L17" s="2451"/>
      <c r="M17" s="2451"/>
      <c r="N17" s="2509"/>
      <c r="O17" s="2451"/>
      <c r="P17" s="2509"/>
      <c r="Q17" s="2439"/>
      <c r="R17" s="2439"/>
      <c r="S17" s="2439"/>
      <c r="T17" s="2439"/>
      <c r="U17" s="2439"/>
      <c r="V17" s="2439"/>
    </row>
    <row r="18" spans="1:28" ht="24.75" thickBot="1">
      <c r="A18" s="2414" t="s">
        <v>2198</v>
      </c>
      <c r="B18" s="1090" t="s">
        <v>2199</v>
      </c>
      <c r="C18" s="2415">
        <f>'数据-汇总表'!D3</f>
        <v>6123.19</v>
      </c>
      <c r="D18" s="1092" t="s">
        <v>2200</v>
      </c>
      <c r="E18" s="3599" t="s">
        <v>2201</v>
      </c>
      <c r="F18" s="3600"/>
      <c r="G18" s="3600"/>
      <c r="H18" s="3600"/>
      <c r="I18" s="3601"/>
      <c r="J18" s="2439"/>
      <c r="K18" s="2600"/>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46"/>
      <c r="I19" s="2646"/>
      <c r="J19" s="2439"/>
      <c r="K19" s="2598"/>
      <c r="L19" s="2595"/>
      <c r="M19" s="2595"/>
      <c r="N19" s="2509"/>
      <c r="O19" s="2451"/>
      <c r="P19" s="2509"/>
      <c r="Q19" s="2439"/>
      <c r="R19" s="2439"/>
      <c r="S19" s="2439"/>
      <c r="T19" s="2439"/>
      <c r="U19" s="2439"/>
      <c r="V19" s="2439"/>
    </row>
    <row r="20" spans="1:28">
      <c r="A20" s="2614" t="s">
        <v>2204</v>
      </c>
      <c r="B20" s="3586" t="s">
        <v>2205</v>
      </c>
      <c r="C20" s="3587"/>
      <c r="D20" s="3588" t="s">
        <v>2206</v>
      </c>
      <c r="E20" s="3589"/>
      <c r="F20" s="2629" t="s">
        <v>1056</v>
      </c>
      <c r="G20" s="2646"/>
      <c r="H20" s="2646"/>
      <c r="I20" s="2646"/>
      <c r="J20" s="2439"/>
      <c r="K20" s="358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14"/>
      <c r="B21" s="2615" t="s">
        <v>2208</v>
      </c>
      <c r="C21" s="2616" t="s">
        <v>1057</v>
      </c>
      <c r="D21" s="1568" t="s">
        <v>2209</v>
      </c>
      <c r="E21" s="2617" t="s">
        <v>1057</v>
      </c>
      <c r="F21" s="2630"/>
      <c r="G21" s="2646"/>
      <c r="H21" s="2646"/>
      <c r="I21" s="2646"/>
      <c r="J21" s="2439"/>
      <c r="K21" s="358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14"/>
      <c r="B22" s="2618" t="s">
        <v>2210</v>
      </c>
      <c r="C22" s="2616" t="s">
        <v>1058</v>
      </c>
      <c r="D22" s="2645"/>
      <c r="E22" s="2645"/>
      <c r="F22" s="2645"/>
      <c r="G22" s="2646"/>
      <c r="H22" s="2646"/>
      <c r="I22" s="2646"/>
      <c r="J22" s="2439"/>
      <c r="K22" s="358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19" t="s">
        <v>2211</v>
      </c>
      <c r="B23" s="2502" t="s">
        <v>2212</v>
      </c>
      <c r="C23" s="2620"/>
      <c r="D23" s="2621" t="s">
        <v>2212</v>
      </c>
      <c r="E23" s="2622"/>
      <c r="F23" s="2645"/>
      <c r="G23" s="2646"/>
      <c r="H23" s="2646"/>
      <c r="I23" s="2646"/>
      <c r="J23" s="2439"/>
      <c r="K23" s="2601"/>
      <c r="L23" s="2475"/>
      <c r="M23" s="2595"/>
      <c r="N23" s="2509"/>
      <c r="O23" s="2451"/>
      <c r="P23" s="2509"/>
      <c r="Q23" s="2439"/>
      <c r="R23" s="2439"/>
      <c r="S23" s="2439"/>
      <c r="T23" s="2439"/>
      <c r="U23" s="2439"/>
      <c r="V23" s="2439"/>
    </row>
    <row r="24" spans="1:28">
      <c r="A24" s="2619"/>
      <c r="B24" s="2502" t="s">
        <v>1059</v>
      </c>
      <c r="C24" s="2623"/>
      <c r="D24" s="2619" t="s">
        <v>1059</v>
      </c>
      <c r="E24" s="2624"/>
      <c r="F24" s="2645"/>
      <c r="G24" s="2646"/>
      <c r="H24" s="2646"/>
      <c r="I24" s="2646"/>
      <c r="J24" s="2439"/>
      <c r="K24" s="2601"/>
      <c r="L24" s="2475"/>
      <c r="M24" s="2595"/>
      <c r="N24" s="2509"/>
      <c r="O24" s="2451"/>
      <c r="P24" s="2509"/>
      <c r="Q24" s="2439"/>
      <c r="R24" s="2439"/>
      <c r="S24" s="2439"/>
      <c r="T24" s="2439"/>
      <c r="U24" s="2439"/>
      <c r="V24" s="2439"/>
    </row>
    <row r="25" spans="1:28">
      <c r="A25" s="2619"/>
      <c r="B25" s="2502" t="s">
        <v>1060</v>
      </c>
      <c r="C25" s="2623"/>
      <c r="D25" s="2619" t="s">
        <v>1060</v>
      </c>
      <c r="E25" s="2624"/>
      <c r="F25" s="2645"/>
      <c r="G25" s="2646"/>
      <c r="H25" s="2646"/>
      <c r="I25" s="2646"/>
      <c r="J25" s="2439"/>
      <c r="K25" s="2598"/>
      <c r="L25" s="2595"/>
      <c r="M25" s="2595"/>
      <c r="N25" s="2509"/>
      <c r="O25" s="2451"/>
      <c r="P25" s="2509"/>
      <c r="Q25" s="2439"/>
      <c r="R25" s="2439"/>
      <c r="S25" s="2439"/>
      <c r="T25" s="2439"/>
      <c r="U25" s="2439"/>
      <c r="V25" s="2439"/>
    </row>
    <row r="26" spans="1:28" ht="13.5" thickBot="1">
      <c r="A26" s="2625"/>
      <c r="B26" s="2626" t="s">
        <v>1061</v>
      </c>
      <c r="C26" s="2627"/>
      <c r="D26" s="2625" t="s">
        <v>1061</v>
      </c>
      <c r="E26" s="2628"/>
      <c r="F26" s="2647"/>
      <c r="G26" s="2647"/>
      <c r="H26" s="2647"/>
      <c r="I26" s="2647"/>
      <c r="J26" s="2439"/>
      <c r="K26" s="2598"/>
      <c r="L26" s="2595"/>
      <c r="M26" s="2595"/>
      <c r="N26" s="2509"/>
      <c r="O26" s="2451"/>
      <c r="P26" s="2509"/>
      <c r="Q26" s="2439"/>
      <c r="R26" s="2439"/>
      <c r="S26" s="2439"/>
      <c r="T26" s="2439"/>
      <c r="U26" s="2439"/>
      <c r="V26" s="2439"/>
    </row>
    <row r="27" spans="1:28" ht="13.5" thickTop="1">
      <c r="A27" s="3603" t="s">
        <v>2213</v>
      </c>
      <c r="B27" s="320" t="s">
        <v>2214</v>
      </c>
      <c r="C27" s="2416"/>
      <c r="D27" s="2417"/>
      <c r="E27" s="2646"/>
      <c r="F27" s="2646"/>
      <c r="G27" s="2646"/>
      <c r="H27" s="2646"/>
      <c r="I27" s="2646"/>
      <c r="J27" s="2439"/>
      <c r="K27" s="2599"/>
      <c r="L27" s="2451"/>
      <c r="M27" s="2451"/>
      <c r="N27" s="2509"/>
      <c r="O27" s="2451"/>
      <c r="P27" s="2509"/>
      <c r="Q27" s="2439"/>
      <c r="R27" s="2439"/>
      <c r="S27" s="2439"/>
      <c r="T27" s="2439"/>
      <c r="U27" s="2439"/>
      <c r="V27" s="2439"/>
    </row>
    <row r="28" spans="1:28">
      <c r="A28" s="3603"/>
      <c r="B28" s="302" t="s">
        <v>2215</v>
      </c>
      <c r="C28" s="2418"/>
      <c r="D28" s="2419"/>
      <c r="E28" s="2646"/>
      <c r="F28" s="2646"/>
      <c r="G28" s="2646"/>
      <c r="H28" s="2646"/>
      <c r="I28" s="2646"/>
      <c r="J28" s="2439"/>
      <c r="K28" s="2598"/>
      <c r="L28" s="2595"/>
      <c r="M28" s="2595"/>
      <c r="N28" s="2439"/>
      <c r="O28" s="2450"/>
      <c r="P28" s="2439"/>
      <c r="Q28" s="2439"/>
      <c r="R28" s="2439"/>
      <c r="S28" s="2439"/>
      <c r="T28" s="2439"/>
      <c r="U28" s="2439"/>
      <c r="V28" s="2439"/>
    </row>
    <row r="29" spans="1:28">
      <c r="A29" s="3603"/>
      <c r="B29" s="302" t="s">
        <v>2216</v>
      </c>
      <c r="C29" s="2420"/>
      <c r="D29" s="2421"/>
      <c r="E29" s="2646"/>
      <c r="F29" s="2646"/>
      <c r="G29" s="2646"/>
      <c r="H29" s="2646"/>
      <c r="I29" s="2646"/>
      <c r="J29" s="2439"/>
      <c r="K29" s="2598"/>
      <c r="L29" s="2595"/>
      <c r="M29" s="2595"/>
      <c r="N29" s="2439"/>
      <c r="O29" s="2450"/>
      <c r="P29" s="2439"/>
      <c r="Q29" s="2439"/>
      <c r="R29" s="2439"/>
      <c r="S29" s="2439"/>
      <c r="T29" s="2439"/>
      <c r="U29" s="2439"/>
      <c r="V29" s="2439"/>
    </row>
    <row r="30" spans="1:28">
      <c r="A30" s="3604"/>
      <c r="B30" s="302" t="s">
        <v>2217</v>
      </c>
      <c r="C30" s="3605"/>
      <c r="D30" s="3606"/>
      <c r="E30" s="2646"/>
      <c r="F30" s="2646"/>
      <c r="G30" s="2646"/>
      <c r="H30" s="2646"/>
      <c r="I30" s="2646"/>
      <c r="J30" s="2439"/>
      <c r="K30" s="2598"/>
      <c r="L30" s="2595"/>
      <c r="M30" s="2595"/>
      <c r="N30" s="2439"/>
      <c r="O30" s="2450"/>
      <c r="P30" s="2439"/>
      <c r="Q30" s="2439"/>
      <c r="R30" s="2439"/>
      <c r="S30" s="2439"/>
      <c r="T30" s="2439"/>
      <c r="U30" s="2439"/>
      <c r="V30" s="2439"/>
    </row>
    <row r="31" spans="1:28">
      <c r="A31" s="3607" t="s">
        <v>2218</v>
      </c>
      <c r="B31" s="2422"/>
      <c r="C31" s="2323" t="str">
        <f>IF(B31="现房","成新及维护状况正常否",IF(B31="在建","工程状态是否正常",IF(B31="土地","是否闲置","-")))</f>
        <v>-</v>
      </c>
      <c r="D31" s="1373"/>
      <c r="E31" s="2423"/>
      <c r="F31" s="2646"/>
      <c r="G31" s="2646"/>
      <c r="H31" s="2646"/>
      <c r="I31" s="2646"/>
      <c r="J31" s="2439"/>
      <c r="K31" s="2597"/>
      <c r="L31" s="2595"/>
      <c r="M31" s="2595"/>
      <c r="N31" s="2439"/>
      <c r="O31" s="2450"/>
      <c r="P31" s="2439"/>
      <c r="Q31" s="2439"/>
      <c r="R31" s="2439"/>
      <c r="S31" s="2439"/>
      <c r="T31" s="2439"/>
      <c r="U31" s="2439"/>
      <c r="V31" s="2439"/>
    </row>
    <row r="32" spans="1:28">
      <c r="A32" s="3608"/>
      <c r="B32" s="2422"/>
      <c r="C32" s="2323" t="str">
        <f>IF(B32="现房","成新及维护状况是否正常",IF(B32="在建","工程状态是否正常",IF(B32="土地","是否闲置","-")))</f>
        <v>-</v>
      </c>
      <c r="D32" s="1373"/>
      <c r="E32" s="2423"/>
      <c r="F32" s="2646"/>
      <c r="G32" s="2646"/>
      <c r="H32" s="2646"/>
      <c r="I32" s="2646"/>
      <c r="J32" s="2439"/>
      <c r="K32" s="2598"/>
      <c r="L32" s="2595"/>
      <c r="M32" s="2595"/>
      <c r="N32" s="2439"/>
      <c r="O32" s="2450"/>
      <c r="P32" s="2439"/>
      <c r="Q32" s="2439"/>
      <c r="R32" s="2439"/>
      <c r="S32" s="2439"/>
      <c r="T32" s="2439"/>
      <c r="U32" s="2439"/>
      <c r="V32" s="2439"/>
    </row>
    <row r="33" spans="1:30">
      <c r="A33" s="3608"/>
      <c r="B33" s="2425"/>
      <c r="C33" s="1590" t="str">
        <f>IF(B33="现房","成新及维护状况是否正常",IF(B33="在建","工程状态是否正常",IF(B33="土地","是否闲置","-")))</f>
        <v>-</v>
      </c>
      <c r="D33" s="1365"/>
      <c r="E33" s="2426"/>
      <c r="F33" s="2646"/>
      <c r="G33" s="2646"/>
      <c r="H33" s="2646"/>
      <c r="I33" s="2646"/>
      <c r="J33" s="2439"/>
      <c r="K33" s="2598"/>
      <c r="L33" s="2595"/>
      <c r="M33" s="2595"/>
      <c r="N33" s="2439"/>
      <c r="O33" s="2450"/>
      <c r="P33" s="2439"/>
      <c r="Q33" s="2439"/>
      <c r="R33" s="2439"/>
      <c r="S33" s="2439"/>
      <c r="T33" s="2439"/>
      <c r="U33" s="2439"/>
      <c r="V33" s="2439"/>
    </row>
    <row r="34" spans="1:30">
      <c r="A34" s="302" t="s">
        <v>2219</v>
      </c>
      <c r="B34" s="2026"/>
      <c r="C34" s="2026"/>
      <c r="D34" s="2026"/>
      <c r="E34" s="2026"/>
      <c r="F34" s="2026"/>
      <c r="G34" s="2026"/>
      <c r="H34" s="2026"/>
      <c r="I34" s="2646"/>
      <c r="J34" s="2439"/>
      <c r="K34" s="2427">
        <f>COUNTIF(B34:H34,"——")</f>
        <v>0</v>
      </c>
      <c r="L34" s="323" t="s">
        <v>2220</v>
      </c>
      <c r="M34" s="323" t="s">
        <v>2221</v>
      </c>
      <c r="N34" s="323" t="s">
        <v>2222</v>
      </c>
      <c r="O34" s="323" t="s">
        <v>2223</v>
      </c>
      <c r="P34" s="323" t="s">
        <v>2224</v>
      </c>
      <c r="Q34" s="323" t="s">
        <v>2225</v>
      </c>
      <c r="R34" s="323" t="s">
        <v>2226</v>
      </c>
      <c r="S34" s="3602" t="s">
        <v>2227</v>
      </c>
      <c r="T34" s="2428" t="str">
        <f>NUMBERSTRING(7-K34,1)&amp;"通"</f>
        <v>七通</v>
      </c>
      <c r="U34" s="2439"/>
      <c r="V34" s="2439"/>
    </row>
    <row r="35" spans="1:30">
      <c r="A35" s="2429"/>
      <c r="B35" s="3609" t="s">
        <v>2228</v>
      </c>
      <c r="C35" s="3609"/>
      <c r="D35" s="3609"/>
      <c r="E35" s="3609"/>
      <c r="F35" s="664">
        <f>C10</f>
        <v>0</v>
      </c>
      <c r="G35" s="2646"/>
      <c r="H35" s="2646"/>
      <c r="I35" s="2646"/>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02"/>
      <c r="T35" s="329" t="str">
        <f>IF(T34="一通",L35,IF(T34="二通",M35,IF(T34="三通",N35,IF(T34="四通",O35,IF(T34="五通",P35,IF(T34="六通",Q35,R35))))))</f>
        <v>、、、、、、</v>
      </c>
      <c r="U35" s="2439"/>
      <c r="V35" s="2439"/>
    </row>
    <row r="36" spans="1:30">
      <c r="A36" s="2430"/>
      <c r="B36" s="664" t="s">
        <v>2184</v>
      </c>
      <c r="C36" s="664" t="s">
        <v>2185</v>
      </c>
      <c r="D36" s="664" t="s">
        <v>2183</v>
      </c>
      <c r="E36" s="664" t="s">
        <v>2188</v>
      </c>
      <c r="F36" s="3047" t="s">
        <v>2581</v>
      </c>
      <c r="G36" s="2646"/>
      <c r="H36" s="2646"/>
      <c r="I36" s="2646"/>
      <c r="J36" s="2439"/>
      <c r="K36" s="2598"/>
      <c r="L36" s="2595"/>
      <c r="M36" s="2595"/>
      <c r="N36" s="2439"/>
      <c r="O36" s="2450"/>
      <c r="P36" s="2439"/>
      <c r="Q36" s="2439"/>
      <c r="R36" s="2439"/>
      <c r="S36" s="2439"/>
      <c r="T36" s="2439"/>
      <c r="U36" s="2439"/>
      <c r="V36" s="2439"/>
    </row>
    <row r="37" spans="1:30">
      <c r="A37" s="2612" t="s">
        <v>2229</v>
      </c>
      <c r="B37" s="2431" t="s">
        <v>184</v>
      </c>
      <c r="C37" s="2431"/>
      <c r="D37" s="2431"/>
      <c r="E37" s="2431"/>
      <c r="F37" s="2431"/>
      <c r="G37" s="2646"/>
      <c r="H37" s="2646"/>
      <c r="I37" s="2646"/>
      <c r="J37" s="2439"/>
      <c r="K37" s="2598"/>
      <c r="L37" s="2595"/>
      <c r="M37" s="2595"/>
      <c r="N37" s="2439"/>
      <c r="O37" s="2450"/>
      <c r="P37" s="2439"/>
      <c r="Q37" s="2439"/>
      <c r="R37" s="2439"/>
      <c r="S37" s="2439"/>
      <c r="T37" s="2439"/>
      <c r="U37" s="2439"/>
      <c r="V37" s="2439"/>
    </row>
    <row r="38" spans="1:30" ht="13.5" thickBot="1">
      <c r="A38" s="2613" t="s">
        <v>2230</v>
      </c>
      <c r="B38" s="2432" t="s">
        <v>4105</v>
      </c>
      <c r="C38" s="2432"/>
      <c r="D38" s="2432"/>
      <c r="E38" s="2432"/>
      <c r="F38" s="2432"/>
      <c r="G38" s="2647"/>
      <c r="H38" s="2647"/>
      <c r="I38" s="2647"/>
      <c r="J38" s="2439"/>
      <c r="K38" s="2598"/>
      <c r="L38" s="2595"/>
      <c r="M38" s="2595"/>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04"/>
      <c r="K39" s="2605"/>
      <c r="L39" s="2604"/>
      <c r="M39" s="2604"/>
      <c r="N39" s="2604"/>
      <c r="O39" s="2606"/>
      <c r="P39" s="2604"/>
      <c r="Q39" s="2604"/>
      <c r="R39" s="2604"/>
      <c r="S39" s="2604"/>
      <c r="T39" s="2604"/>
      <c r="U39" s="2604"/>
      <c r="V39" s="2604"/>
      <c r="W39" s="2607"/>
      <c r="X39" s="2607"/>
      <c r="Y39" s="2607"/>
      <c r="Z39" s="2607"/>
      <c r="AA39" s="2607"/>
      <c r="AB39" s="2607"/>
      <c r="AC39" s="2607"/>
      <c r="AD39" s="2607"/>
    </row>
    <row r="40" spans="1:30">
      <c r="A40" s="2370"/>
      <c r="B40" s="2370"/>
      <c r="C40" s="2370"/>
      <c r="D40" s="2370"/>
      <c r="E40" s="2370"/>
      <c r="F40" s="2370"/>
      <c r="G40" s="2370"/>
      <c r="H40" s="2370"/>
      <c r="I40" s="1578"/>
      <c r="J40" s="2509"/>
      <c r="K40" s="2597"/>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598"/>
      <c r="L41" s="2595"/>
      <c r="M41" s="2595"/>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08" t="s">
        <v>2242</v>
      </c>
      <c r="K42" s="2609" t="s">
        <v>2243</v>
      </c>
      <c r="L42" s="2609" t="s">
        <v>2244</v>
      </c>
      <c r="M42" s="2609" t="s">
        <v>2245</v>
      </c>
      <c r="N42" s="2602" t="s">
        <v>2246</v>
      </c>
      <c r="O42" s="2602" t="s">
        <v>2247</v>
      </c>
      <c r="P42" s="2602" t="s">
        <v>2248</v>
      </c>
      <c r="Q42" s="2603" t="s">
        <v>2249</v>
      </c>
      <c r="R42" s="2603"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G41" sqref="G4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6123.19</v>
      </c>
      <c r="B3" s="11">
        <f>IF(C3="否",G5-AT5,G5)</f>
        <v>27298.22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27298.22</v>
      </c>
      <c r="H5" s="13">
        <f t="shared" ref="H5:AT5" si="0">SUM(H13:H656)</f>
        <v>27298.22</v>
      </c>
      <c r="I5" s="13">
        <f t="shared" si="0"/>
        <v>14866.55</v>
      </c>
      <c r="J5" s="13">
        <f t="shared" si="0"/>
        <v>0</v>
      </c>
      <c r="K5" s="13">
        <f t="shared" si="0"/>
        <v>3821.91</v>
      </c>
      <c r="L5" s="13">
        <f t="shared" si="0"/>
        <v>0</v>
      </c>
      <c r="M5" s="13">
        <f t="shared" si="0"/>
        <v>8609.76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27298.22</v>
      </c>
      <c r="BA5" s="15">
        <f t="shared" si="1"/>
        <v>27298.22</v>
      </c>
      <c r="BB5" s="15">
        <f t="shared" si="1"/>
        <v>14866.55</v>
      </c>
      <c r="BC5" s="15">
        <f t="shared" si="1"/>
        <v>3821.91</v>
      </c>
      <c r="BD5" s="15">
        <f t="shared" si="1"/>
        <v>8609.76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6123.1900000000005</v>
      </c>
      <c r="F6" s="13" t="s">
        <v>0</v>
      </c>
      <c r="G6" s="13" t="s">
        <v>1</v>
      </c>
      <c r="H6" s="17">
        <f>SUMIF(I$12:AB$12,"总值",I6:AB6)</f>
        <v>6123.1900000000005</v>
      </c>
      <c r="I6" s="13">
        <f t="shared" ref="I6:AB6" si="2">ROUND($A$3*I5/$B$3,2)</f>
        <v>3334.68</v>
      </c>
      <c r="J6" s="13">
        <f t="shared" si="2"/>
        <v>0</v>
      </c>
      <c r="K6" s="13">
        <f t="shared" si="2"/>
        <v>857.28</v>
      </c>
      <c r="L6" s="13">
        <f t="shared" si="2"/>
        <v>0</v>
      </c>
      <c r="M6" s="13">
        <f t="shared" si="2"/>
        <v>1931.23</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6123.19</v>
      </c>
      <c r="AZ6" s="13" t="s">
        <v>2</v>
      </c>
      <c r="BA6" s="13">
        <f>ROUND($AY$6*BA5/$AZ$5,2)</f>
        <v>6123.19</v>
      </c>
      <c r="BB6" s="13">
        <f>ROUND($AY$6*BB5/$AZ$5,2)</f>
        <v>3334.68</v>
      </c>
      <c r="BC6" s="13">
        <f t="shared" ref="BC6:BH6" si="4">ROUND($AY$6*BC5/$AZ$5,2)</f>
        <v>857.28</v>
      </c>
      <c r="BD6" s="13">
        <f t="shared" si="4"/>
        <v>1931.23</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t="s">
        <v>3384</v>
      </c>
      <c r="L9" s="809"/>
      <c r="M9" s="1603" t="s">
        <v>3384</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3385</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车库—商业</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6123.19</v>
      </c>
      <c r="F13" s="29"/>
      <c r="G13" s="30">
        <f>H13+AC13+AT13</f>
        <v>27298.22</v>
      </c>
      <c r="H13" s="17">
        <f>SUMIF(I$12:AB$12,"总值",I13:AB13)</f>
        <v>27298.22</v>
      </c>
      <c r="I13" s="1626">
        <v>14866.55</v>
      </c>
      <c r="J13" s="1626"/>
      <c r="K13" s="1626">
        <v>3821.91</v>
      </c>
      <c r="L13" s="1626"/>
      <c r="M13" s="1626">
        <v>8609.76</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6123.19</v>
      </c>
      <c r="AZ13" s="13">
        <f>BA13+BL13</f>
        <v>27298.22</v>
      </c>
      <c r="BA13" s="13">
        <f>SUM(BB13:BK13)</f>
        <v>27298.22</v>
      </c>
      <c r="BB13" s="13">
        <f>IF($D13="是",I13-J13,0)</f>
        <v>14866.55</v>
      </c>
      <c r="BC13" s="13">
        <f>IF($D13="是",K13-L13,0)</f>
        <v>3821.91</v>
      </c>
      <c r="BD13" s="13">
        <f>IF($D13="是",M13-N13,0)</f>
        <v>8609.76</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70" zoomScaleNormal="100" zoomScaleSheetLayoutView="7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31"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19" t="s">
        <v>1131</v>
      </c>
      <c r="B2" s="3619"/>
      <c r="C2" s="3619"/>
      <c r="D2" s="796" t="s">
        <v>1107</v>
      </c>
      <c r="E2" s="1639" t="s">
        <v>1108</v>
      </c>
      <c r="F2" s="2641"/>
      <c r="G2" s="2632"/>
      <c r="H2" s="2633"/>
      <c r="I2" s="2325" t="s">
        <v>1132</v>
      </c>
      <c r="J2" s="2641"/>
      <c r="K2" s="2641"/>
      <c r="L2" s="2641"/>
      <c r="M2" s="2641"/>
      <c r="N2" s="2643"/>
      <c r="O2" s="2641"/>
      <c r="P2" s="2641"/>
    </row>
    <row r="3" spans="1:16" ht="15.75" thickBot="1">
      <c r="A3" s="3620" t="s">
        <v>1105</v>
      </c>
      <c r="B3" s="3620"/>
      <c r="C3" s="3620"/>
      <c r="D3" s="43">
        <f>'数据-基础表'!AY6</f>
        <v>6123.19</v>
      </c>
      <c r="E3" s="43">
        <f>'数据-基础表'!AZ5</f>
        <v>27298.22</v>
      </c>
      <c r="F3" s="2641"/>
      <c r="G3" s="1145"/>
      <c r="H3" s="1026" t="s">
        <v>1106</v>
      </c>
      <c r="I3" s="855">
        <f>ROUND('数据-基础表'!B3/'数据-基础表'!A3,2)</f>
        <v>4.46</v>
      </c>
      <c r="J3" s="2641"/>
      <c r="K3" s="2641"/>
      <c r="L3" s="2641"/>
      <c r="M3" s="2641"/>
      <c r="N3" s="2643"/>
      <c r="O3" s="2641"/>
      <c r="P3" s="2641"/>
    </row>
    <row r="4" spans="1:16" ht="15">
      <c r="A4" s="3621"/>
      <c r="B4" s="3622"/>
      <c r="C4" s="3623"/>
      <c r="D4" s="1641" t="s">
        <v>1107</v>
      </c>
      <c r="E4" s="1642" t="s">
        <v>1108</v>
      </c>
      <c r="F4" s="2641"/>
      <c r="G4" s="2634" t="s">
        <v>1133</v>
      </c>
      <c r="H4" s="1026" t="s">
        <v>1113</v>
      </c>
      <c r="I4" s="855">
        <f>ROUND(SUMIF('数据-基础表'!I9:AS9,"地上",'数据-基础表'!I5:AS5)/'数据-基础表'!A3,2)</f>
        <v>2.4300000000000002</v>
      </c>
      <c r="J4" s="2641"/>
      <c r="K4" s="2641"/>
      <c r="L4" s="2641"/>
      <c r="M4" s="2641"/>
      <c r="N4" s="2643"/>
      <c r="O4" s="2641"/>
      <c r="P4" s="2641"/>
    </row>
    <row r="5" spans="1:16">
      <c r="A5" s="44" t="s">
        <v>1109</v>
      </c>
      <c r="B5" s="3624" t="s">
        <v>1110</v>
      </c>
      <c r="C5" s="3624"/>
      <c r="D5" s="45">
        <f>ROUND($D$3*E5/$E$3,2)</f>
        <v>0</v>
      </c>
      <c r="E5" s="46">
        <f>SUMIF('数据-基础表'!$11:$11,"住宅",'数据-基础表'!$5:$5)</f>
        <v>0</v>
      </c>
      <c r="F5" s="2641"/>
      <c r="G5" s="1145"/>
      <c r="H5" s="1026" t="s">
        <v>1106</v>
      </c>
      <c r="I5" s="855">
        <f>ROUND(E31/D31,2)</f>
        <v>4.46</v>
      </c>
      <c r="J5" s="2641"/>
      <c r="K5" s="2641"/>
      <c r="L5" s="2641"/>
      <c r="M5" s="2641"/>
      <c r="N5" s="2641"/>
      <c r="O5" s="2641"/>
      <c r="P5" s="2641"/>
    </row>
    <row r="6" spans="1:16" ht="15" thickBot="1">
      <c r="A6" s="1644"/>
      <c r="B6" s="3624" t="s">
        <v>1111</v>
      </c>
      <c r="C6" s="3624"/>
      <c r="D6" s="45">
        <f>ROUND($D$3*E6/$E$3,2)</f>
        <v>6123.19</v>
      </c>
      <c r="E6" s="46">
        <f>E3-E5</f>
        <v>27298.22</v>
      </c>
      <c r="F6" s="2641"/>
      <c r="G6" s="2635" t="s">
        <v>1112</v>
      </c>
      <c r="H6" s="1146" t="s">
        <v>1113</v>
      </c>
      <c r="I6" s="2636">
        <f>ROUND(F31/D31,2)</f>
        <v>2.4300000000000002</v>
      </c>
      <c r="J6" s="2641"/>
      <c r="K6" s="2641"/>
      <c r="L6" s="2641"/>
      <c r="M6" s="2641"/>
      <c r="N6" s="2641"/>
      <c r="O6" s="2641"/>
      <c r="P6" s="2641"/>
    </row>
    <row r="7" spans="1:16" ht="15.75" thickBot="1">
      <c r="A7" s="3616"/>
      <c r="B7" s="3617"/>
      <c r="C7" s="3618"/>
      <c r="D7" s="1641" t="s">
        <v>1107</v>
      </c>
      <c r="E7" s="1645" t="s">
        <v>1114</v>
      </c>
      <c r="F7" s="2641"/>
      <c r="G7" s="2637" t="s">
        <v>1115</v>
      </c>
      <c r="H7" s="2638"/>
      <c r="I7" s="2639"/>
      <c r="J7" s="2641"/>
      <c r="K7" s="2641"/>
      <c r="L7" s="2641"/>
      <c r="M7" s="2641"/>
      <c r="N7" s="2641"/>
      <c r="O7" s="2641"/>
      <c r="P7" s="2641"/>
    </row>
    <row r="8" spans="1:16">
      <c r="A8" s="44" t="s">
        <v>1116</v>
      </c>
      <c r="B8" s="47" t="s">
        <v>1117</v>
      </c>
      <c r="C8" s="45" t="s">
        <v>1118</v>
      </c>
      <c r="D8" s="45">
        <f t="shared" ref="D8:D15" si="0">ROUND($D$3*E8/$E$3,2)</f>
        <v>3334.68</v>
      </c>
      <c r="E8" s="48">
        <f>SUMIF('数据-基础表'!BB10:BK10,"地上",'数据-基础表'!BB5:BK5)</f>
        <v>14866.55</v>
      </c>
      <c r="F8" s="2641"/>
      <c r="G8" s="2642"/>
      <c r="H8" s="2642"/>
      <c r="I8" s="2641"/>
      <c r="J8" s="2641"/>
      <c r="K8" s="2641"/>
      <c r="L8" s="2641"/>
      <c r="M8" s="2641"/>
      <c r="N8" s="2641"/>
      <c r="O8" s="2641"/>
      <c r="P8" s="2641"/>
    </row>
    <row r="9" spans="1:16">
      <c r="A9" s="1646"/>
      <c r="B9" s="1647"/>
      <c r="C9" s="45" t="s">
        <v>1119</v>
      </c>
      <c r="D9" s="45">
        <f t="shared" si="0"/>
        <v>0</v>
      </c>
      <c r="E9" s="49">
        <v>0</v>
      </c>
      <c r="F9" s="2641"/>
      <c r="G9" s="2642"/>
      <c r="H9" s="2642"/>
      <c r="I9" s="2641"/>
      <c r="J9" s="2641"/>
      <c r="K9" s="2641"/>
      <c r="L9" s="2641"/>
      <c r="M9" s="2641"/>
      <c r="N9" s="2641"/>
      <c r="O9" s="2641"/>
      <c r="P9" s="2641"/>
    </row>
    <row r="10" spans="1:16">
      <c r="A10" s="1646"/>
      <c r="B10" s="1647"/>
      <c r="C10" s="45" t="s">
        <v>1128</v>
      </c>
      <c r="D10" s="45">
        <f t="shared" si="0"/>
        <v>857.28</v>
      </c>
      <c r="E10" s="48">
        <f>SUMPRODUCT(('数据-基础表'!BB10:BK10="地下")*('数据-基础表'!BB11:BK11="商业")*('数据-基础表'!BB5:BK5))</f>
        <v>3821.91</v>
      </c>
      <c r="F10" s="2641"/>
      <c r="G10" s="2642"/>
      <c r="H10" s="2642"/>
      <c r="I10" s="2641"/>
      <c r="J10" s="2641"/>
      <c r="K10" s="2641"/>
      <c r="L10" s="2641"/>
      <c r="M10" s="2641"/>
      <c r="N10" s="2641"/>
      <c r="O10" s="2641"/>
      <c r="P10" s="2641"/>
    </row>
    <row r="11" spans="1:16">
      <c r="A11" s="1646"/>
      <c r="B11" s="1647"/>
      <c r="C11" s="45" t="s">
        <v>1120</v>
      </c>
      <c r="D11" s="45">
        <f t="shared" si="0"/>
        <v>0</v>
      </c>
      <c r="E11" s="48">
        <f>SUMPRODUCT(('数据-基础表'!BB10:BK10="地下")*('数据-基础表'!BB11:BK11="办公")*('数据-基础表'!BB5:BK5))+'数据-基础表'!BP5</f>
        <v>0</v>
      </c>
      <c r="F11" s="2641"/>
      <c r="G11" s="2642"/>
      <c r="H11" s="2642"/>
      <c r="I11" s="2641"/>
      <c r="J11" s="2641"/>
      <c r="K11" s="2641"/>
      <c r="L11" s="2641"/>
      <c r="M11" s="2641"/>
      <c r="N11" s="2641"/>
      <c r="O11" s="2641"/>
      <c r="P11" s="2641"/>
    </row>
    <row r="12" spans="1:16">
      <c r="A12" s="1646"/>
      <c r="B12" s="1647"/>
      <c r="C12" s="45" t="s">
        <v>1121</v>
      </c>
      <c r="D12" s="45">
        <f t="shared" si="0"/>
        <v>0</v>
      </c>
      <c r="E12" s="48">
        <f>SUMPRODUCT(('数据-基础表'!BB10:BK10="地下")*('数据-基础表'!BB11:BK11="仓储")*('数据-基础表'!BB5:BK5))</f>
        <v>0</v>
      </c>
      <c r="F12" s="2641"/>
      <c r="G12" s="2642"/>
      <c r="H12" s="2642"/>
      <c r="I12" s="2641"/>
      <c r="J12" s="2641"/>
      <c r="K12" s="2641"/>
      <c r="L12" s="2641"/>
      <c r="M12" s="2641"/>
      <c r="N12" s="2641"/>
      <c r="O12" s="2641"/>
      <c r="P12" s="2641"/>
    </row>
    <row r="13" spans="1:16">
      <c r="A13" s="1646"/>
      <c r="B13" s="1647"/>
      <c r="C13" s="45" t="s">
        <v>1122</v>
      </c>
      <c r="D13" s="45">
        <f t="shared" si="0"/>
        <v>0</v>
      </c>
      <c r="E13" s="48">
        <f>SUMPRODUCT(('数据-基础表'!BB10:BK10="地下")*('数据-基础表'!BB11:BK11="车库")*('数据-基础表'!BB5:BK5))</f>
        <v>0</v>
      </c>
      <c r="F13" s="2641"/>
      <c r="G13" s="2642"/>
      <c r="H13" s="2642"/>
      <c r="I13" s="2641"/>
      <c r="J13" s="2641"/>
      <c r="K13" s="2641"/>
      <c r="L13" s="2641"/>
      <c r="M13" s="2641"/>
      <c r="N13" s="2641"/>
      <c r="O13" s="2641"/>
      <c r="P13" s="2641"/>
    </row>
    <row r="14" spans="1:16">
      <c r="A14" s="1646"/>
      <c r="B14" s="1647"/>
      <c r="C14" s="45" t="s">
        <v>1134</v>
      </c>
      <c r="D14" s="45">
        <f t="shared" si="0"/>
        <v>1931.23</v>
      </c>
      <c r="E14" s="48">
        <f>SUMPRODUCT(('数据-基础表'!BB10:BK10="地下")*('数据-基础表'!BB11:BK11="车库—商业")*('数据-基础表'!BB5:BK5))</f>
        <v>8609.76</v>
      </c>
      <c r="F14" s="2641"/>
      <c r="G14" s="2642"/>
      <c r="H14" s="2642"/>
      <c r="I14" s="2641"/>
      <c r="J14" s="2641"/>
      <c r="K14" s="2641"/>
      <c r="L14" s="2641"/>
      <c r="M14" s="2641"/>
      <c r="N14" s="2641"/>
      <c r="O14" s="2641"/>
      <c r="P14" s="2641"/>
    </row>
    <row r="15" spans="1:16" ht="15" thickBot="1">
      <c r="A15" s="1646"/>
      <c r="B15" s="1647"/>
      <c r="C15" s="45" t="s">
        <v>1129</v>
      </c>
      <c r="D15" s="45">
        <f t="shared" si="0"/>
        <v>0</v>
      </c>
      <c r="E15" s="48">
        <f>SUMPRODUCT(('数据-基础表'!BB10:BK10="地下")*('数据-基础表'!BB11:BK11="车库—办公")*('数据-基础表'!BB5:BK5))</f>
        <v>0</v>
      </c>
      <c r="F15" s="2641"/>
      <c r="G15" s="2642"/>
      <c r="H15" s="2642"/>
      <c r="I15" s="2641"/>
      <c r="J15" s="2641"/>
      <c r="K15" s="2641"/>
      <c r="L15" s="2641"/>
      <c r="M15" s="2641"/>
      <c r="N15" s="2641"/>
      <c r="O15" s="2641"/>
      <c r="P15" s="2641"/>
    </row>
    <row r="16" spans="1:16" ht="15.75" thickBot="1">
      <c r="A16" s="1644"/>
      <c r="B16" s="1647"/>
      <c r="C16" s="47" t="s">
        <v>1123</v>
      </c>
      <c r="D16" s="47">
        <f>SUM(D8:D15)</f>
        <v>6123.1900000000005</v>
      </c>
      <c r="E16" s="50">
        <f>SUM(E8:E15)</f>
        <v>27298.22</v>
      </c>
      <c r="F16" s="2641"/>
      <c r="G16" s="2642"/>
      <c r="H16" s="1648" t="s">
        <v>1135</v>
      </c>
      <c r="I16" s="1649"/>
      <c r="J16" s="1139"/>
      <c r="K16" s="3613" t="s">
        <v>1135</v>
      </c>
      <c r="L16" s="3614"/>
      <c r="M16" s="3614"/>
      <c r="N16" s="3614"/>
      <c r="O16" s="3614"/>
      <c r="P16" s="3615"/>
    </row>
    <row r="17" spans="1:19" ht="15">
      <c r="A17" s="1650" t="s">
        <v>1136</v>
      </c>
      <c r="B17" s="1651" t="s">
        <v>1137</v>
      </c>
      <c r="C17" s="1652" t="s">
        <v>1138</v>
      </c>
      <c r="D17" s="1653" t="s">
        <v>1126</v>
      </c>
      <c r="E17" s="1654" t="s">
        <v>1127</v>
      </c>
      <c r="F17" s="1655"/>
      <c r="G17" s="1656"/>
      <c r="H17" s="1657" t="s">
        <v>1139</v>
      </c>
      <c r="I17" s="1658" t="s">
        <v>1124</v>
      </c>
      <c r="J17" s="1139"/>
      <c r="K17" s="3610" t="s">
        <v>1140</v>
      </c>
      <c r="L17" s="3611"/>
      <c r="M17" s="3612"/>
      <c r="N17" s="3610" t="s">
        <v>1141</v>
      </c>
      <c r="O17" s="3611"/>
      <c r="P17" s="361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399" t="s">
        <v>3386</v>
      </c>
      <c r="D19" s="45">
        <f>ROUND($D$3*E19/$E$3,2)</f>
        <v>6123.19</v>
      </c>
      <c r="E19" s="53">
        <f t="shared" ref="E19:E26" si="1">SUM(F19:G19)</f>
        <v>27298.22</v>
      </c>
      <c r="F19" s="2777">
        <f>'数据-基础表'!I13</f>
        <v>14866.55</v>
      </c>
      <c r="G19" s="2778">
        <f>'数据-基础表'!K13+'数据-基础表'!M13</f>
        <v>12431.67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6123.19</v>
      </c>
      <c r="S19" s="1027">
        <f t="shared" si="5"/>
        <v>27298.22</v>
      </c>
    </row>
    <row r="20" spans="1:19">
      <c r="A20" s="1670"/>
      <c r="B20" s="47" t="s">
        <v>1153</v>
      </c>
      <c r="C20" s="3399"/>
      <c r="D20" s="45">
        <f t="shared" ref="D20:D26" si="6">ROUND($D$3*E20/$E$3,2)</f>
        <v>0</v>
      </c>
      <c r="E20" s="53">
        <f t="shared" si="1"/>
        <v>0</v>
      </c>
      <c r="F20" s="2777"/>
      <c r="G20" s="2778"/>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399"/>
      <c r="D21" s="45">
        <f t="shared" si="6"/>
        <v>0</v>
      </c>
      <c r="E21" s="53">
        <f t="shared" si="1"/>
        <v>0</v>
      </c>
      <c r="F21" s="2777"/>
      <c r="G21" s="2778"/>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00"/>
      <c r="D22" s="45">
        <f t="shared" si="6"/>
        <v>0</v>
      </c>
      <c r="E22" s="53">
        <f t="shared" si="1"/>
        <v>0</v>
      </c>
      <c r="F22" s="2779"/>
      <c r="G22" s="2780"/>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00"/>
      <c r="D23" s="45">
        <f>ROUND($D$3*E23/$E$3,2)</f>
        <v>0</v>
      </c>
      <c r="E23" s="53">
        <f>SUM(F23:G23)</f>
        <v>0</v>
      </c>
      <c r="F23" s="2779"/>
      <c r="G23" s="2780"/>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00"/>
      <c r="D24" s="45">
        <f>ROUND($D$3*E24/$E$3,2)</f>
        <v>0</v>
      </c>
      <c r="E24" s="53">
        <f>SUM(F24:G24)</f>
        <v>0</v>
      </c>
      <c r="F24" s="2779"/>
      <c r="G24" s="2780"/>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00"/>
      <c r="D25" s="45">
        <f t="shared" si="6"/>
        <v>0</v>
      </c>
      <c r="E25" s="53">
        <f t="shared" si="1"/>
        <v>0</v>
      </c>
      <c r="F25" s="2779"/>
      <c r="G25" s="2780"/>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79"/>
      <c r="G26" s="2780"/>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6123.19</v>
      </c>
      <c r="E27" s="1141">
        <f>IF(SUM(E19:E26)='数据-基础表'!BA5,SUM(E19:E26),IF(F27="地上面积有误","面积有误","地下面积有误"))</f>
        <v>27298.22</v>
      </c>
      <c r="F27" s="1140">
        <f>IF(SUM(F19:F26)=E8,SUM(F19:F26),"地上面积有误")</f>
        <v>14866.55</v>
      </c>
      <c r="G27" s="1142">
        <f>SUM(G19:G26)</f>
        <v>12431.67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6123.19</v>
      </c>
      <c r="S27" s="1026">
        <f>IF(SUM(S19:S26)=$E$3,SUM(S19:S26),SUM(S19:S26)&amp;"误差"&amp;ROUND(SUM(S19:S26)-E3,2))</f>
        <v>27298.22</v>
      </c>
    </row>
    <row r="28" spans="1:19">
      <c r="A28" s="1670"/>
      <c r="B28" s="47" t="s">
        <v>1155</v>
      </c>
      <c r="C28" s="1038" t="s">
        <v>1156</v>
      </c>
      <c r="D28" s="45">
        <f>ROUND($D$3*E28/$E$3,2)</f>
        <v>0</v>
      </c>
      <c r="E28" s="53">
        <f>SUM(F28:G28)</f>
        <v>0</v>
      </c>
      <c r="F28" s="56">
        <f>'数据-基础表'!BQ5+'数据-基础表'!BS5</f>
        <v>0</v>
      </c>
      <c r="G28" s="57">
        <f>'数据-基础表'!BR5+'数据-基础表'!BT5</f>
        <v>0</v>
      </c>
      <c r="H28" s="2641"/>
      <c r="I28" s="2641"/>
      <c r="J28" s="2641"/>
      <c r="K28" s="2641"/>
      <c r="L28" s="2641"/>
      <c r="M28" s="2641"/>
      <c r="N28" s="2641"/>
      <c r="O28" s="2641"/>
      <c r="P28" s="2641"/>
    </row>
    <row r="29" spans="1:19">
      <c r="A29" s="1670"/>
      <c r="B29" s="47" t="s">
        <v>1155</v>
      </c>
      <c r="C29" s="1674" t="s">
        <v>1157</v>
      </c>
      <c r="D29" s="45">
        <f>ROUND($D$3*E29/$E$3,2)</f>
        <v>0</v>
      </c>
      <c r="E29" s="53">
        <f>SUM(F29:G29)</f>
        <v>0</v>
      </c>
      <c r="F29" s="58">
        <f>'数据-基础表'!BM5+'数据-基础表'!BO5</f>
        <v>0</v>
      </c>
      <c r="G29" s="59">
        <f>'数据-基础表'!BN5+'数据-基础表'!BP5</f>
        <v>0</v>
      </c>
      <c r="H29" s="2641"/>
      <c r="I29" s="2641"/>
      <c r="J29" s="2641"/>
      <c r="K29" s="2641"/>
      <c r="L29" s="2641"/>
      <c r="M29" s="2641"/>
      <c r="N29" s="2641"/>
      <c r="O29" s="2641"/>
      <c r="P29" s="2641"/>
    </row>
    <row r="30" spans="1:19" ht="15">
      <c r="A30" s="1670"/>
      <c r="B30" s="47"/>
      <c r="C30" s="1675" t="s">
        <v>1154</v>
      </c>
      <c r="D30" s="1140">
        <f>SUM(D28:D29)</f>
        <v>0</v>
      </c>
      <c r="E30" s="1140">
        <f>SUM(E28:E29)</f>
        <v>0</v>
      </c>
      <c r="F30" s="1140">
        <f>SUM(F28:F29)</f>
        <v>0</v>
      </c>
      <c r="G30" s="1142">
        <f>SUM(G28:G29)</f>
        <v>0</v>
      </c>
      <c r="H30" s="2641"/>
      <c r="I30" s="2641"/>
      <c r="J30" s="2641"/>
      <c r="K30" s="2641"/>
      <c r="L30" s="2641"/>
      <c r="M30" s="2641"/>
      <c r="N30" s="2641"/>
      <c r="O30" s="2641"/>
      <c r="P30" s="2641"/>
    </row>
    <row r="31" spans="1:19" ht="15.75" thickBot="1">
      <c r="A31" s="1676"/>
      <c r="B31" s="1677"/>
      <c r="C31" s="835" t="s">
        <v>1158</v>
      </c>
      <c r="D31" s="676">
        <f>D27+D30</f>
        <v>6123.19</v>
      </c>
      <c r="E31" s="676">
        <f>E27+E30</f>
        <v>27298.22</v>
      </c>
      <c r="F31" s="677">
        <f>F27+F30</f>
        <v>14866.55</v>
      </c>
      <c r="G31" s="678">
        <f>G27+G30</f>
        <v>12431.67</v>
      </c>
      <c r="H31" s="2641"/>
      <c r="I31" s="2641"/>
      <c r="J31" s="2641"/>
      <c r="K31" s="2641"/>
      <c r="L31" s="2641"/>
      <c r="M31" s="2641"/>
      <c r="N31" s="2641"/>
      <c r="O31" s="2641"/>
      <c r="P31" s="2641"/>
    </row>
    <row r="32" spans="1:19">
      <c r="A32" s="1643"/>
      <c r="B32" s="1643" t="s">
        <v>1159</v>
      </c>
      <c r="C32" s="1643"/>
      <c r="D32" s="1643"/>
      <c r="E32" s="1053">
        <f>SUMIF(C19:C26,"*住宅*",E19:E26)</f>
        <v>0</v>
      </c>
      <c r="F32" s="1643"/>
      <c r="G32" s="1643"/>
      <c r="H32" s="2641"/>
      <c r="I32" s="2641"/>
      <c r="J32" s="2641"/>
      <c r="K32" s="2641"/>
      <c r="L32" s="2641"/>
      <c r="M32" s="2641"/>
      <c r="N32" s="2641"/>
      <c r="O32" s="2641"/>
      <c r="P32" s="2641"/>
    </row>
    <row r="33" spans="4:7">
      <c r="D33" s="1678"/>
    </row>
    <row r="35" spans="4:7">
      <c r="G35" s="1638">
        <f>'数据-基础表'!M13/'数据-基础表'!G13</f>
        <v>0.31539638848247248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570" priority="1" stopIfTrue="1" operator="containsText" text="面积有误">
      <formula>NOT(ISERROR(SEARCH("面积有误",E27)))</formula>
    </cfRule>
    <cfRule type="cellIs" dxfId="569" priority="3" stopIfTrue="1" operator="equal">
      <formula>"地下面积有误"</formula>
    </cfRule>
  </conditionalFormatting>
  <conditionalFormatting sqref="F27">
    <cfRule type="cellIs" dxfId="5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5.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53"/>
      <c r="AO1" s="2653"/>
      <c r="AP1" s="2653"/>
      <c r="AQ1" s="2653"/>
      <c r="AR1" s="2653"/>
    </row>
    <row r="2" spans="1:67" s="1559" customFormat="1" ht="15.75" thickBot="1">
      <c r="A2" s="1683" t="s">
        <v>1161</v>
      </c>
      <c r="B2" s="1045">
        <f>项目基本情况!D3</f>
        <v>45009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5"/>
      <c r="AO2" s="2655"/>
      <c r="AP2" s="2655"/>
      <c r="AQ2" s="2655"/>
      <c r="AR2" s="2655"/>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5"/>
      <c r="AO3" s="2655"/>
      <c r="AP3" s="2655"/>
      <c r="AQ3" s="2655"/>
      <c r="AR3" s="2655"/>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40"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55"/>
      <c r="AO4" s="2655"/>
      <c r="AP4" s="2655"/>
      <c r="AQ4" s="2655"/>
      <c r="AR4" s="2655"/>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52112</v>
      </c>
      <c r="F6" s="64">
        <f>SUMIF(项目基本情况!C$12:I$12,C6,项目基本情况!C$15:I$15)</f>
        <v>19.46</v>
      </c>
      <c r="G6" s="65">
        <f>IF(ISERROR(ROUND(POWER(1+H6,D6-F6)*(POWER(1+H6,F6)-1)/(POWER(1+H6,D6)-1),3)),0,ROUND(POWER(1+H6,D6-F6)*(POWER(1+H6,F6)-1)/(POWER(1+H6,D6)-1),3))</f>
        <v>0.71499999999999997</v>
      </c>
      <c r="H6" s="732">
        <v>0.05</v>
      </c>
      <c r="I6" s="732">
        <v>5.5E-2</v>
      </c>
      <c r="J6" s="66">
        <v>7.0000000000000007E-2</v>
      </c>
      <c r="K6" s="1030">
        <f>SUMIF('数据-汇总表'!C$19:C$33,A6,'数据-汇总表'!E$19:E$33)</f>
        <v>27298.22</v>
      </c>
      <c r="L6" s="733">
        <v>5027</v>
      </c>
      <c r="M6" s="67">
        <f t="shared" ref="M6:M14" si="0">ROUND(K6*L6/10000,0)</f>
        <v>13723</v>
      </c>
      <c r="N6" s="731">
        <f>ROUND((N22+N23)/2,2)</f>
        <v>0.8</v>
      </c>
      <c r="O6" s="67" t="str">
        <f>IF($N$5="成新度","——",ROUND(M6*N6,0))</f>
        <v>——</v>
      </c>
      <c r="P6" s="68" t="str">
        <f>IF($N$5="成新度","——",M6-O6)</f>
        <v>——</v>
      </c>
      <c r="Q6" s="734">
        <v>0.2</v>
      </c>
      <c r="R6" s="69">
        <f ca="1">SUMIF('数据-汇总表'!C$19:C$33,A6,'数据-汇总表'!R$19:R$27)</f>
        <v>6123.19</v>
      </c>
      <c r="S6" s="51">
        <f>IF('数据-汇总表'!$I$17="按面积比例",SUMIF('数据-汇总表'!C$19:C$33,A6,'数据-汇总表'!K$19:K$33),SUMIF('数据-汇总表'!C$19:C$33,A6,'数据-汇总表'!N$19:N$33))</f>
        <v>0</v>
      </c>
      <c r="T6" s="1172">
        <f>ROUND($L$14*S6/10000,0)</f>
        <v>0</v>
      </c>
      <c r="U6" s="3410">
        <v>135000000</v>
      </c>
      <c r="V6" s="70">
        <v>2.5000000000000001E-2</v>
      </c>
      <c r="W6" s="70">
        <v>0.1</v>
      </c>
      <c r="X6" s="1040"/>
      <c r="Y6" s="71">
        <f>N6</f>
        <v>0.8</v>
      </c>
      <c r="Z6" s="72"/>
      <c r="AA6" s="66"/>
      <c r="AB6" s="66"/>
      <c r="AC6" s="1040"/>
      <c r="AD6" s="73"/>
      <c r="AE6" s="1041">
        <f ca="1">IF(AN6="",0,SUMIF(INDIRECT("'"&amp;AN6&amp;"'"&amp;"!E:E"),$AE$5,INDIRECT("'"&amp;AN6&amp;"'"&amp;"!F:F")))</f>
        <v>19.46</v>
      </c>
      <c r="AF6" s="1348"/>
      <c r="AG6" s="138">
        <f>IF(AF6="",0,AE6-AF6)</f>
        <v>0</v>
      </c>
      <c r="AH6" s="74">
        <v>1</v>
      </c>
      <c r="AI6" s="76">
        <v>1</v>
      </c>
      <c r="AJ6" s="77"/>
      <c r="AK6" s="78">
        <v>0.01</v>
      </c>
      <c r="AL6" s="79">
        <v>1E-3</v>
      </c>
      <c r="AM6" s="80">
        <v>0.05</v>
      </c>
      <c r="AN6" s="1715" t="s">
        <v>3392</v>
      </c>
      <c r="AO6" s="52">
        <f ca="1">SUMIF(INDIRECT("'"&amp;AN6&amp;"'"&amp;"!A:A"),"总价",INDIRECT("'"&amp;AN6&amp;"'"&amp;"!B:B"))</f>
        <v>134957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1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1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1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1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1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1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1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53"/>
      <c r="AO14" s="2655"/>
      <c r="AP14" s="2655"/>
      <c r="AQ14" s="2655"/>
      <c r="AR14" s="2655"/>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53"/>
      <c r="AO15" s="2655"/>
      <c r="AP15" s="2655"/>
      <c r="AQ15" s="2655"/>
      <c r="AR15" s="2655"/>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0.71499999999999997</v>
      </c>
      <c r="H16" s="90">
        <f>ROUND(SUMPRODUCT(H6:H13,K6:K13)/SUMPRODUCT((H6:H13&gt;0)*(K6:K13)),3)</f>
        <v>0.05</v>
      </c>
      <c r="I16" s="91"/>
      <c r="J16" s="91"/>
      <c r="K16" s="92">
        <f>SUM(K6:K15)</f>
        <v>27298.22</v>
      </c>
      <c r="L16" s="93">
        <f>ROUND(M16*10000/SUM(K6:K14),0)</f>
        <v>5027</v>
      </c>
      <c r="M16" s="93">
        <f>SUM(M6:M14)</f>
        <v>13723</v>
      </c>
      <c r="N16" s="94">
        <f>ROUND(SUMPRODUCT(M6:M14,N6:N14)/M16,3)</f>
        <v>0.8</v>
      </c>
      <c r="O16" s="93">
        <f>SUM(O6:O14)</f>
        <v>0</v>
      </c>
      <c r="P16" s="93">
        <f>SUM(P6:P14)</f>
        <v>0</v>
      </c>
      <c r="Q16" s="95">
        <f>ROUND(SUMPRODUCT(Q6:Q13,K6:K13)/SUMPRODUCT((Q6:Q13&gt;0)*(K6:K13)),2)</f>
        <v>0.2</v>
      </c>
      <c r="R16" s="1034">
        <f ca="1">SUM(R6:R13)</f>
        <v>6123.19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3"/>
      <c r="AO16" s="2655"/>
      <c r="AP16" s="2655"/>
      <c r="AQ16" s="2655"/>
      <c r="AR16" s="2655"/>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64"/>
      <c r="C17" s="2653"/>
      <c r="D17" s="2657"/>
      <c r="E17" s="2657"/>
      <c r="F17" s="2653"/>
      <c r="G17" s="2653"/>
      <c r="H17" s="2653"/>
      <c r="I17" s="2653"/>
      <c r="J17" s="2653"/>
      <c r="K17" s="2654"/>
      <c r="L17" s="2654"/>
      <c r="M17" s="2653"/>
      <c r="N17" s="2653"/>
      <c r="O17" s="2653"/>
      <c r="P17" s="2653"/>
      <c r="Q17" s="2653"/>
      <c r="R17" s="2653"/>
      <c r="S17" s="2653"/>
      <c r="T17" s="2653"/>
      <c r="U17" s="2653"/>
      <c r="V17" s="2653"/>
      <c r="W17" s="2653"/>
      <c r="X17" s="2653"/>
      <c r="Y17" s="2653"/>
      <c r="Z17" s="2653"/>
      <c r="AA17" s="2653"/>
      <c r="AB17" s="2653"/>
      <c r="AC17" s="2653"/>
      <c r="AD17" s="2653"/>
      <c r="AE17" s="2653"/>
      <c r="AF17" s="2653"/>
      <c r="AG17" s="2653"/>
      <c r="AH17" s="2653"/>
      <c r="AI17" s="2653"/>
      <c r="AJ17" s="2653"/>
      <c r="AK17" s="2653"/>
      <c r="AL17" s="2653"/>
      <c r="AM17" s="2653"/>
      <c r="AN17" s="2653"/>
      <c r="AO17" s="2653"/>
      <c r="AP17" s="2653"/>
      <c r="AQ17" s="2653"/>
      <c r="AR17" s="2653"/>
    </row>
    <row r="18" spans="1:67" ht="15" thickBot="1">
      <c r="A18" s="60" t="s">
        <v>1210</v>
      </c>
      <c r="B18" s="2667"/>
      <c r="C18" s="2655"/>
      <c r="D18" s="2658"/>
      <c r="E18" s="2655"/>
      <c r="F18" s="2655"/>
      <c r="G18" s="2655"/>
      <c r="H18" s="2655"/>
      <c r="I18" s="2655"/>
      <c r="J18" s="2655"/>
      <c r="K18" s="2654"/>
      <c r="L18" s="2654"/>
      <c r="M18" s="2653"/>
      <c r="N18" s="2653"/>
      <c r="O18" s="2653"/>
      <c r="P18" s="2653"/>
      <c r="Q18" s="2653"/>
      <c r="R18" s="2653"/>
      <c r="S18" s="2653"/>
      <c r="T18" s="2653"/>
      <c r="U18" s="2653"/>
      <c r="V18" s="2653"/>
      <c r="W18" s="2653"/>
      <c r="X18" s="2653"/>
      <c r="Y18" s="2653"/>
      <c r="Z18" s="2653"/>
      <c r="AA18" s="2653"/>
      <c r="AB18" s="2653"/>
      <c r="AC18" s="2653"/>
      <c r="AD18" s="2653"/>
      <c r="AE18" s="2653"/>
      <c r="AF18" s="2653"/>
      <c r="AG18" s="2653"/>
      <c r="AH18" s="2653"/>
      <c r="AI18" s="2653"/>
      <c r="AJ18" s="2653"/>
      <c r="AK18" s="2653"/>
      <c r="AL18" s="2653"/>
      <c r="AM18" s="2653"/>
      <c r="AN18" s="2653"/>
      <c r="AO18" s="2653"/>
      <c r="AP18" s="2653"/>
      <c r="AQ18" s="2653"/>
      <c r="AR18" s="2653"/>
    </row>
    <row r="19" spans="1:67" ht="14.25">
      <c r="A19" s="1722" t="s">
        <v>1211</v>
      </c>
      <c r="B19" s="103">
        <v>0</v>
      </c>
      <c r="C19" s="2781" t="s">
        <v>2304</v>
      </c>
      <c r="D19" s="2658"/>
      <c r="E19" s="2655"/>
      <c r="F19" s="2655"/>
      <c r="G19" s="2655"/>
      <c r="H19" s="2655"/>
      <c r="I19" s="2655"/>
      <c r="J19" s="2655"/>
      <c r="K19" s="2654"/>
      <c r="L19" s="2654"/>
      <c r="M19" s="2653"/>
      <c r="N19" s="2653"/>
      <c r="O19" s="2653"/>
      <c r="P19" s="2653"/>
      <c r="Q19" s="2653"/>
      <c r="R19" s="2653"/>
      <c r="S19" s="2653"/>
      <c r="T19" s="2653"/>
      <c r="U19" s="2653"/>
      <c r="V19" s="2653"/>
      <c r="W19" s="2653"/>
      <c r="X19" s="2653"/>
      <c r="Y19" s="2653"/>
      <c r="Z19" s="2653"/>
      <c r="AA19" s="2653"/>
      <c r="AB19" s="2653"/>
      <c r="AC19" s="2653"/>
      <c r="AD19" s="2653"/>
      <c r="AE19" s="2653"/>
      <c r="AF19" s="2653"/>
      <c r="AG19" s="2653"/>
      <c r="AH19" s="2653"/>
      <c r="AI19" s="2653"/>
      <c r="AJ19" s="2653"/>
      <c r="AK19" s="2653"/>
      <c r="AL19" s="2653"/>
      <c r="AM19" s="2653"/>
      <c r="AN19" s="2653"/>
      <c r="AO19" s="2653"/>
      <c r="AP19" s="2653"/>
      <c r="AQ19" s="2653"/>
      <c r="AR19" s="2653"/>
    </row>
    <row r="20" spans="1:67" ht="14.25">
      <c r="A20" s="1723" t="s">
        <v>1212</v>
      </c>
      <c r="B20" s="104">
        <v>2</v>
      </c>
      <c r="C20" s="2782" t="s">
        <v>2302</v>
      </c>
      <c r="D20" s="2658"/>
      <c r="E20" s="2655"/>
      <c r="F20" s="2655"/>
      <c r="G20" s="2655"/>
      <c r="H20" s="2655"/>
      <c r="I20" s="2655"/>
      <c r="J20" s="2655"/>
      <c r="K20" s="2654"/>
      <c r="L20" s="2654"/>
      <c r="M20" s="2653"/>
      <c r="N20" s="2653"/>
      <c r="O20" s="2653"/>
      <c r="P20" s="2653"/>
      <c r="Q20" s="2653"/>
      <c r="R20" s="2653"/>
      <c r="S20" s="2653"/>
      <c r="T20" s="2653"/>
      <c r="U20" s="2653"/>
      <c r="V20" s="2653"/>
      <c r="W20" s="2653"/>
      <c r="X20" s="2653"/>
      <c r="Y20" s="2653"/>
      <c r="Z20" s="2653"/>
      <c r="AA20" s="2653"/>
      <c r="AB20" s="2653"/>
      <c r="AC20" s="2653"/>
      <c r="AD20" s="2653"/>
      <c r="AE20" s="2653"/>
      <c r="AF20" s="2653"/>
      <c r="AG20" s="2653"/>
      <c r="AH20" s="2653"/>
      <c r="AI20" s="2653"/>
      <c r="AJ20" s="2653"/>
      <c r="AK20" s="2653"/>
      <c r="AL20" s="2653"/>
      <c r="AM20" s="2653"/>
      <c r="AN20" s="2653"/>
      <c r="AO20" s="2653"/>
      <c r="AP20" s="2653"/>
      <c r="AQ20" s="2653"/>
      <c r="AR20" s="2653"/>
    </row>
    <row r="21" spans="1:67" ht="14.25">
      <c r="A21" s="1724" t="s">
        <v>1213</v>
      </c>
      <c r="B21" s="104">
        <v>2</v>
      </c>
      <c r="C21" s="2655"/>
      <c r="D21" s="2658"/>
      <c r="E21" s="2655"/>
      <c r="F21" s="2655"/>
      <c r="G21" s="2655"/>
      <c r="H21" s="2655"/>
      <c r="I21" s="2655"/>
      <c r="J21" s="2655"/>
      <c r="K21" s="2654"/>
      <c r="L21" s="2654"/>
      <c r="M21" s="2653"/>
      <c r="N21" s="2653">
        <v>2005</v>
      </c>
      <c r="O21" s="2653"/>
      <c r="P21" s="2653"/>
      <c r="Q21" s="2653"/>
      <c r="R21" s="2653"/>
      <c r="S21" s="2653"/>
      <c r="T21" s="2653"/>
      <c r="U21" s="2653"/>
      <c r="V21" s="2653"/>
      <c r="W21" s="2653"/>
      <c r="X21" s="2653"/>
      <c r="Y21" s="2653"/>
      <c r="Z21" s="2653"/>
      <c r="AA21" s="2653"/>
      <c r="AB21" s="2653"/>
      <c r="AC21" s="2653"/>
      <c r="AD21" s="2653"/>
      <c r="AE21" s="2653"/>
      <c r="AF21" s="2653"/>
      <c r="AG21" s="2653"/>
      <c r="AH21" s="2653"/>
      <c r="AI21" s="2653"/>
      <c r="AJ21" s="2653"/>
      <c r="AK21" s="2653"/>
      <c r="AL21" s="2653"/>
      <c r="AM21" s="2653"/>
      <c r="AN21" s="2653"/>
      <c r="AO21" s="2653"/>
      <c r="AP21" s="2653"/>
      <c r="AQ21" s="2653"/>
      <c r="AR21" s="2653"/>
    </row>
    <row r="22" spans="1:67" ht="14.25">
      <c r="A22" s="1723" t="s">
        <v>1214</v>
      </c>
      <c r="B22" s="105">
        <f>B19+B20</f>
        <v>2</v>
      </c>
      <c r="C22" s="2655"/>
      <c r="D22" s="2658"/>
      <c r="E22" s="2655"/>
      <c r="F22" s="2655"/>
      <c r="G22" s="2655"/>
      <c r="H22" s="2655"/>
      <c r="I22" s="2655"/>
      <c r="J22" s="2655"/>
      <c r="K22" s="2654"/>
      <c r="L22" s="2654"/>
      <c r="M22" s="2653"/>
      <c r="N22" s="2653">
        <f>ROUND(1-(2023-N21)/60,2)</f>
        <v>0.7</v>
      </c>
      <c r="O22" s="2653"/>
      <c r="P22" s="2653"/>
      <c r="Q22" s="2653"/>
      <c r="R22" s="2653"/>
      <c r="S22" s="2653"/>
      <c r="T22" s="2653"/>
      <c r="U22" s="2653"/>
      <c r="V22" s="2653"/>
      <c r="W22" s="2653"/>
      <c r="X22" s="2653"/>
      <c r="Y22" s="2653"/>
      <c r="Z22" s="2653"/>
      <c r="AA22" s="2653"/>
      <c r="AB22" s="2653"/>
      <c r="AC22" s="2653"/>
      <c r="AD22" s="2653"/>
      <c r="AE22" s="2653"/>
      <c r="AF22" s="2653"/>
      <c r="AG22" s="2653"/>
      <c r="AH22" s="2653"/>
      <c r="AI22" s="2653"/>
      <c r="AJ22" s="2653"/>
      <c r="AK22" s="2653"/>
      <c r="AL22" s="2653"/>
      <c r="AM22" s="2653"/>
      <c r="AN22" s="2653"/>
      <c r="AO22" s="2653"/>
      <c r="AP22" s="2653"/>
      <c r="AQ22" s="2653"/>
      <c r="AR22" s="2653"/>
    </row>
    <row r="23" spans="1:67" ht="14.25">
      <c r="A23" s="1724" t="s">
        <v>1215</v>
      </c>
      <c r="B23" s="105">
        <f>B19+B21</f>
        <v>2</v>
      </c>
      <c r="C23" s="2655"/>
      <c r="D23" s="2658"/>
      <c r="E23" s="2655"/>
      <c r="F23" s="2655"/>
      <c r="G23" s="2655"/>
      <c r="H23" s="2655"/>
      <c r="I23" s="2655"/>
      <c r="J23" s="2655"/>
      <c r="K23" s="2654"/>
      <c r="L23" s="2654"/>
      <c r="M23" s="2653"/>
      <c r="N23" s="2653">
        <v>0.9</v>
      </c>
      <c r="O23" s="2653"/>
      <c r="P23" s="2653"/>
      <c r="Q23" s="2653"/>
      <c r="R23" s="2653"/>
      <c r="S23" s="2653"/>
      <c r="T23" s="2653"/>
      <c r="U23" s="2653"/>
      <c r="V23" s="2653"/>
      <c r="W23" s="2653"/>
      <c r="X23" s="2653"/>
      <c r="Y23" s="2653"/>
      <c r="Z23" s="2653"/>
      <c r="AA23" s="2653"/>
      <c r="AB23" s="2653"/>
      <c r="AC23" s="2653"/>
      <c r="AD23" s="2653"/>
      <c r="AE23" s="2653"/>
      <c r="AF23" s="2653"/>
      <c r="AG23" s="2653"/>
      <c r="AH23" s="2653"/>
      <c r="AI23" s="2653"/>
      <c r="AJ23" s="2653"/>
      <c r="AK23" s="2653"/>
      <c r="AL23" s="2653"/>
      <c r="AM23" s="2653"/>
      <c r="AN23" s="2653"/>
      <c r="AO23" s="2653"/>
      <c r="AP23" s="2653"/>
      <c r="AQ23" s="2653"/>
      <c r="AR23" s="2653"/>
    </row>
    <row r="24" spans="1:67" ht="15" thickBot="1">
      <c r="A24" s="1725" t="s">
        <v>1216</v>
      </c>
      <c r="B24" s="106">
        <f>B20-B21</f>
        <v>0</v>
      </c>
      <c r="C24" s="2655"/>
      <c r="D24" s="2658"/>
      <c r="E24" s="2655"/>
      <c r="F24" s="2655"/>
      <c r="G24" s="2655"/>
      <c r="H24" s="2655"/>
      <c r="I24" s="2655"/>
      <c r="J24" s="2655"/>
      <c r="K24" s="2654"/>
      <c r="L24" s="2654"/>
      <c r="M24" s="2653"/>
      <c r="N24" s="2653"/>
      <c r="O24" s="2653"/>
      <c r="P24" s="2653"/>
      <c r="Q24" s="2653"/>
      <c r="R24" s="2653"/>
      <c r="S24" s="2653"/>
      <c r="T24" s="2653"/>
      <c r="U24" s="2653"/>
      <c r="V24" s="2653"/>
      <c r="W24" s="2653"/>
      <c r="X24" s="2653"/>
      <c r="Y24" s="2653"/>
      <c r="Z24" s="2653"/>
      <c r="AA24" s="2653"/>
      <c r="AB24" s="2653"/>
      <c r="AC24" s="2653"/>
      <c r="AD24" s="2653"/>
      <c r="AE24" s="2653"/>
      <c r="AF24" s="2653"/>
      <c r="AG24" s="2653"/>
      <c r="AH24" s="2653"/>
      <c r="AI24" s="2653"/>
      <c r="AJ24" s="2653"/>
      <c r="AK24" s="2653"/>
      <c r="AL24" s="2653"/>
      <c r="AM24" s="2653"/>
      <c r="AN24" s="2653"/>
      <c r="AO24" s="2653"/>
      <c r="AP24" s="2653"/>
      <c r="AQ24" s="2653"/>
      <c r="AR24" s="2653"/>
    </row>
    <row r="25" spans="1:67" ht="15" thickBot="1">
      <c r="A25" s="1557"/>
      <c r="B25" s="1687"/>
      <c r="C25" s="2655"/>
      <c r="D25" s="2658"/>
      <c r="E25" s="2655"/>
      <c r="F25" s="2655"/>
      <c r="G25" s="2655"/>
      <c r="H25" s="2655"/>
      <c r="I25" s="2655"/>
      <c r="J25" s="2655"/>
      <c r="K25" s="2654"/>
      <c r="L25" s="2654"/>
      <c r="M25" s="2653"/>
      <c r="N25" s="2653"/>
      <c r="O25" s="2653"/>
      <c r="P25" s="2653"/>
      <c r="Q25" s="2653"/>
      <c r="R25" s="2653"/>
      <c r="S25" s="2653"/>
      <c r="T25" s="2653"/>
      <c r="U25" s="2653"/>
      <c r="V25" s="2653"/>
      <c r="W25" s="2653"/>
      <c r="X25" s="2653"/>
      <c r="Y25" s="2653"/>
      <c r="Z25" s="2653"/>
      <c r="AA25" s="2653"/>
      <c r="AB25" s="2653"/>
      <c r="AC25" s="2653"/>
      <c r="AD25" s="2653"/>
      <c r="AE25" s="2653"/>
      <c r="AF25" s="2653"/>
      <c r="AG25" s="2653"/>
      <c r="AH25" s="2653"/>
      <c r="AI25" s="2653"/>
      <c r="AJ25" s="2653"/>
      <c r="AK25" s="2653"/>
      <c r="AL25" s="2653"/>
      <c r="AM25" s="2653"/>
      <c r="AN25" s="2653"/>
      <c r="AO25" s="2653"/>
      <c r="AP25" s="2653"/>
      <c r="AQ25" s="2653"/>
      <c r="AR25" s="2653"/>
    </row>
    <row r="26" spans="1:67" ht="15" thickBot="1">
      <c r="A26" s="1683" t="s">
        <v>1217</v>
      </c>
      <c r="B26" s="1726" t="s">
        <v>1218</v>
      </c>
      <c r="C26" s="2659" t="s">
        <v>1219</v>
      </c>
      <c r="D26" s="2658"/>
      <c r="E26" s="2655"/>
      <c r="F26" s="2655"/>
      <c r="G26" s="2655"/>
      <c r="H26" s="2655"/>
      <c r="I26" s="2655"/>
      <c r="J26" s="2655"/>
      <c r="K26" s="2654"/>
      <c r="L26" s="3435" t="s">
        <v>3388</v>
      </c>
      <c r="M26" s="2653">
        <f>'数据-汇总表'!F19</f>
        <v>14866.55</v>
      </c>
      <c r="N26" s="2653">
        <v>5500</v>
      </c>
      <c r="O26" s="2653">
        <f>M26*N26</f>
        <v>81766025</v>
      </c>
      <c r="P26" s="2653"/>
      <c r="Q26" s="2653"/>
      <c r="R26" s="2653"/>
      <c r="S26" s="2653"/>
      <c r="T26" s="2653"/>
      <c r="U26" s="2653"/>
      <c r="V26" s="2653"/>
      <c r="W26" s="2653"/>
      <c r="X26" s="2653"/>
      <c r="Y26" s="2653"/>
      <c r="Z26" s="2653"/>
      <c r="AA26" s="2653"/>
      <c r="AB26" s="2653"/>
      <c r="AC26" s="2653"/>
      <c r="AD26" s="2653"/>
      <c r="AE26" s="2653"/>
      <c r="AF26" s="2653"/>
      <c r="AG26" s="2653"/>
      <c r="AH26" s="2653"/>
      <c r="AI26" s="2653"/>
      <c r="AJ26" s="2653"/>
      <c r="AK26" s="2653"/>
      <c r="AL26" s="2653"/>
      <c r="AM26" s="2653"/>
      <c r="AN26" s="2653"/>
      <c r="AO26" s="2653"/>
      <c r="AP26" s="2653"/>
      <c r="AQ26" s="2653"/>
      <c r="AR26" s="2653"/>
    </row>
    <row r="27" spans="1:67" s="1728" customFormat="1" ht="27.75">
      <c r="A27" s="1727" t="s">
        <v>1220</v>
      </c>
      <c r="B27" s="107"/>
      <c r="C27" s="2783" t="s">
        <v>2306</v>
      </c>
      <c r="D27" s="2661"/>
      <c r="E27" s="2643"/>
      <c r="F27" s="2643"/>
      <c r="G27" s="2655"/>
      <c r="H27" s="2655"/>
      <c r="I27" s="2655"/>
      <c r="J27" s="2655"/>
      <c r="K27" s="2654"/>
      <c r="L27" s="3435" t="s">
        <v>3389</v>
      </c>
      <c r="M27" s="2653">
        <f>'数据-基础表'!K13</f>
        <v>3821.91</v>
      </c>
      <c r="N27" s="2653">
        <v>5500</v>
      </c>
      <c r="O27" s="2653">
        <f t="shared" ref="O27:O28" si="12">M27*N27</f>
        <v>21020505</v>
      </c>
      <c r="P27" s="2653"/>
      <c r="Q27" s="2653"/>
      <c r="R27" s="2653"/>
      <c r="S27" s="2653"/>
      <c r="T27" s="2653"/>
      <c r="U27" s="2653"/>
      <c r="V27" s="2653"/>
      <c r="W27" s="2653"/>
      <c r="X27" s="2653"/>
      <c r="Y27" s="2653"/>
      <c r="Z27" s="2653"/>
      <c r="AA27" s="2653"/>
      <c r="AB27" s="2653"/>
      <c r="AC27" s="2653"/>
      <c r="AD27" s="2653"/>
      <c r="AE27" s="2653"/>
      <c r="AF27" s="2653"/>
      <c r="AG27" s="2653"/>
      <c r="AH27" s="2653"/>
      <c r="AI27" s="2653"/>
      <c r="AJ27" s="2653"/>
      <c r="AK27" s="2653"/>
      <c r="AL27" s="2653"/>
      <c r="AM27" s="2653"/>
      <c r="AN27" s="2653"/>
      <c r="AO27" s="2653"/>
      <c r="AP27" s="2653"/>
      <c r="AQ27" s="2653"/>
      <c r="AR27" s="2653"/>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62"/>
      <c r="D28" s="2661"/>
      <c r="E28" s="2643"/>
      <c r="F28" s="2643"/>
      <c r="G28" s="2655"/>
      <c r="H28" s="2655"/>
      <c r="I28" s="2655"/>
      <c r="J28" s="2655"/>
      <c r="K28" s="2654"/>
      <c r="L28" s="3435" t="s">
        <v>3390</v>
      </c>
      <c r="M28" s="2653">
        <f>'数据-基础表'!M13</f>
        <v>8609.76</v>
      </c>
      <c r="N28" s="2653">
        <v>4000</v>
      </c>
      <c r="O28" s="2653">
        <f t="shared" si="12"/>
        <v>34439040</v>
      </c>
      <c r="P28" s="2653"/>
      <c r="Q28" s="2653"/>
      <c r="R28" s="2653"/>
      <c r="S28" s="2653"/>
      <c r="T28" s="2653"/>
      <c r="U28" s="2653"/>
      <c r="V28" s="2653"/>
      <c r="W28" s="2653"/>
      <c r="X28" s="2653"/>
      <c r="Y28" s="2653"/>
      <c r="Z28" s="2653"/>
      <c r="AA28" s="2653"/>
      <c r="AB28" s="2653"/>
      <c r="AC28" s="2653"/>
      <c r="AD28" s="2653"/>
      <c r="AE28" s="2653"/>
      <c r="AF28" s="2653"/>
      <c r="AG28" s="2653"/>
      <c r="AH28" s="2653"/>
      <c r="AI28" s="2653"/>
      <c r="AJ28" s="2653"/>
      <c r="AK28" s="2653"/>
      <c r="AL28" s="2653"/>
      <c r="AM28" s="2653"/>
      <c r="AN28" s="2653"/>
      <c r="AO28" s="2653"/>
      <c r="AP28" s="2653"/>
      <c r="AQ28" s="2653"/>
      <c r="AR28" s="2653"/>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546</v>
      </c>
      <c r="C29" s="2784" t="s">
        <v>2293</v>
      </c>
      <c r="D29" s="2661"/>
      <c r="E29" s="2643"/>
      <c r="F29" s="2643"/>
      <c r="G29" s="2655"/>
      <c r="H29" s="2655"/>
      <c r="I29" s="2655"/>
      <c r="J29" s="2655"/>
      <c r="K29" s="2654"/>
      <c r="L29" s="2654"/>
      <c r="M29" s="2653">
        <f t="shared" ref="M29" si="13">M26+M27+M28</f>
        <v>27298.22</v>
      </c>
      <c r="N29" s="2653">
        <f>O29/M29</f>
        <v>5026.9054172762908</v>
      </c>
      <c r="O29" s="2653">
        <f>O26+O27+O28</f>
        <v>137225570</v>
      </c>
      <c r="P29" s="2653"/>
      <c r="Q29" s="2653"/>
      <c r="R29" s="2653"/>
      <c r="S29" s="2653"/>
      <c r="T29" s="2653"/>
      <c r="U29" s="2653"/>
      <c r="V29" s="2653"/>
      <c r="W29" s="2653"/>
      <c r="X29" s="2653"/>
      <c r="Y29" s="2653"/>
      <c r="Z29" s="2653"/>
      <c r="AA29" s="2653"/>
      <c r="AB29" s="2653"/>
      <c r="AC29" s="2653"/>
      <c r="AD29" s="2653"/>
      <c r="AE29" s="2653"/>
      <c r="AF29" s="2653"/>
      <c r="AG29" s="2653"/>
      <c r="AH29" s="2653"/>
      <c r="AI29" s="2653"/>
      <c r="AJ29" s="2653"/>
      <c r="AK29" s="2653"/>
      <c r="AL29" s="2653"/>
      <c r="AM29" s="2653"/>
      <c r="AN29" s="2653"/>
      <c r="AO29" s="2653"/>
      <c r="AP29" s="2653"/>
      <c r="AQ29" s="2653"/>
      <c r="AR29" s="2653"/>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62"/>
      <c r="D30" s="2661"/>
      <c r="E30" s="2643"/>
      <c r="F30" s="2643"/>
      <c r="G30" s="2655"/>
      <c r="H30" s="2655"/>
      <c r="I30" s="2655"/>
      <c r="J30" s="2655"/>
      <c r="K30" s="2654"/>
      <c r="L30" s="2654"/>
      <c r="M30" s="2653"/>
      <c r="N30" s="2653"/>
      <c r="O30" s="2653"/>
      <c r="P30" s="2653"/>
      <c r="Q30" s="2653"/>
      <c r="R30" s="2653"/>
      <c r="S30" s="2653"/>
      <c r="T30" s="2653"/>
      <c r="U30" s="2653"/>
      <c r="V30" s="2653"/>
      <c r="W30" s="2653"/>
      <c r="X30" s="2653"/>
      <c r="Y30" s="2653"/>
      <c r="Z30" s="2653"/>
      <c r="AA30" s="2653"/>
      <c r="AB30" s="2653"/>
      <c r="AC30" s="2653"/>
      <c r="AD30" s="2653"/>
      <c r="AE30" s="2653"/>
      <c r="AF30" s="2653"/>
      <c r="AG30" s="2653"/>
      <c r="AH30" s="2653"/>
      <c r="AI30" s="2653"/>
      <c r="AJ30" s="2653"/>
      <c r="AK30" s="2653"/>
      <c r="AL30" s="2653"/>
      <c r="AM30" s="2653"/>
      <c r="AN30" s="2653"/>
      <c r="AO30" s="2653"/>
      <c r="AP30" s="2653"/>
      <c r="AQ30" s="2653"/>
      <c r="AR30" s="2653"/>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60"/>
      <c r="D31" s="2661"/>
      <c r="E31" s="2643"/>
      <c r="F31" s="2643"/>
      <c r="G31" s="2655"/>
      <c r="H31" s="2655"/>
      <c r="I31" s="2655"/>
      <c r="J31" s="2655"/>
      <c r="K31" s="2654"/>
      <c r="L31" s="2654"/>
      <c r="M31" s="2653"/>
      <c r="N31" s="2653"/>
      <c r="O31" s="2653"/>
      <c r="P31" s="2653"/>
      <c r="Q31" s="2653"/>
      <c r="R31" s="2653"/>
      <c r="S31" s="2653"/>
      <c r="T31" s="2653"/>
      <c r="U31" s="2653"/>
      <c r="V31" s="2653"/>
      <c r="W31" s="2653"/>
      <c r="X31" s="2653"/>
      <c r="Y31" s="2653"/>
      <c r="Z31" s="2653"/>
      <c r="AA31" s="2653"/>
      <c r="AB31" s="2653"/>
      <c r="AC31" s="2653"/>
      <c r="AD31" s="2653"/>
      <c r="AE31" s="2653"/>
      <c r="AF31" s="2653"/>
      <c r="AG31" s="2653"/>
      <c r="AH31" s="2653"/>
      <c r="AI31" s="2653"/>
      <c r="AJ31" s="2653"/>
      <c r="AK31" s="2653"/>
      <c r="AL31" s="2653"/>
      <c r="AM31" s="2653"/>
      <c r="AN31" s="2653"/>
      <c r="AO31" s="2653"/>
      <c r="AP31" s="2653"/>
      <c r="AQ31" s="2653"/>
      <c r="AR31" s="2653"/>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62"/>
      <c r="D32" s="2658"/>
      <c r="E32" s="2655"/>
      <c r="F32" s="2655"/>
      <c r="G32" s="2655"/>
      <c r="H32" s="2655"/>
      <c r="I32" s="2655"/>
      <c r="J32" s="2655"/>
      <c r="K32" s="2654">
        <f ca="1">结果表!G19</f>
        <v>153414</v>
      </c>
      <c r="L32" s="2654"/>
      <c r="M32" s="2653"/>
      <c r="N32" s="2653"/>
      <c r="O32" s="2653"/>
      <c r="P32" s="2653"/>
      <c r="Q32" s="2653"/>
      <c r="R32" s="2653"/>
      <c r="S32" s="2653"/>
      <c r="T32" s="2653"/>
      <c r="U32" s="2653"/>
      <c r="V32" s="2653"/>
      <c r="W32" s="2653"/>
      <c r="X32" s="2653"/>
      <c r="Y32" s="2653"/>
      <c r="Z32" s="2653"/>
      <c r="AA32" s="2653"/>
      <c r="AB32" s="2653"/>
      <c r="AC32" s="2653"/>
      <c r="AD32" s="2653"/>
      <c r="AE32" s="2653"/>
      <c r="AF32" s="2653"/>
      <c r="AG32" s="2653"/>
      <c r="AH32" s="2653"/>
      <c r="AI32" s="2653"/>
      <c r="AJ32" s="2653"/>
      <c r="AK32" s="2653"/>
      <c r="AL32" s="2653"/>
      <c r="AM32" s="2653"/>
      <c r="AN32" s="2653"/>
      <c r="AO32" s="2653"/>
      <c r="AP32" s="2653"/>
      <c r="AQ32" s="2653"/>
      <c r="AR32" s="2653"/>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85" t="s">
        <v>2294</v>
      </c>
      <c r="D33" s="2658"/>
      <c r="E33" s="2655"/>
      <c r="F33" s="2655"/>
      <c r="G33" s="2655"/>
      <c r="H33" s="2655"/>
      <c r="I33" s="2655"/>
      <c r="J33" s="2655"/>
      <c r="K33" s="2654"/>
      <c r="L33" s="2654"/>
      <c r="M33" s="2653"/>
      <c r="N33" s="2653"/>
      <c r="O33" s="2653"/>
      <c r="P33" s="2653"/>
      <c r="Q33" s="2653"/>
      <c r="R33" s="2653"/>
      <c r="S33" s="2653"/>
      <c r="T33" s="2653"/>
      <c r="U33" s="2653"/>
      <c r="V33" s="2653"/>
      <c r="W33" s="2653"/>
      <c r="X33" s="2653"/>
      <c r="Y33" s="2653"/>
      <c r="Z33" s="2653"/>
      <c r="AA33" s="2653"/>
      <c r="AB33" s="2653"/>
      <c r="AC33" s="2653"/>
      <c r="AD33" s="2653"/>
      <c r="AE33" s="2653"/>
      <c r="AF33" s="2653"/>
      <c r="AG33" s="2653"/>
      <c r="AH33" s="2653"/>
      <c r="AI33" s="2653"/>
      <c r="AJ33" s="2653"/>
      <c r="AK33" s="2653"/>
      <c r="AL33" s="2653"/>
      <c r="AM33" s="2653"/>
      <c r="AN33" s="2653"/>
      <c r="AO33" s="2653"/>
      <c r="AP33" s="2653"/>
      <c r="AQ33" s="2653"/>
      <c r="AR33" s="2653"/>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785" t="s">
        <v>2295</v>
      </c>
      <c r="D34" s="2666" t="s">
        <v>2303</v>
      </c>
      <c r="E34" s="2664"/>
      <c r="F34" s="2655"/>
      <c r="G34" s="2655"/>
      <c r="H34" s="2655"/>
      <c r="I34" s="2655"/>
      <c r="J34" s="2655"/>
      <c r="K34" s="2654"/>
      <c r="L34" s="2654"/>
      <c r="M34" s="2653"/>
      <c r="N34" s="2653"/>
      <c r="O34" s="2653"/>
      <c r="P34" s="2653"/>
      <c r="Q34" s="2653"/>
      <c r="R34" s="2653"/>
      <c r="S34" s="2653"/>
      <c r="T34" s="2653"/>
      <c r="U34" s="2653"/>
      <c r="V34" s="2653"/>
      <c r="W34" s="2653"/>
      <c r="X34" s="2653"/>
      <c r="Y34" s="2653"/>
      <c r="Z34" s="2653"/>
      <c r="AA34" s="2653"/>
      <c r="AB34" s="2653"/>
      <c r="AC34" s="2653"/>
      <c r="AD34" s="2653"/>
      <c r="AE34" s="2653"/>
      <c r="AF34" s="2653"/>
      <c r="AG34" s="2653"/>
      <c r="AH34" s="2653"/>
      <c r="AI34" s="2653"/>
      <c r="AJ34" s="2653"/>
      <c r="AK34" s="2653"/>
      <c r="AL34" s="2653"/>
      <c r="AM34" s="2653"/>
      <c r="AN34" s="2653"/>
      <c r="AO34" s="2653"/>
      <c r="AP34" s="2653"/>
      <c r="AQ34" s="2653"/>
      <c r="AR34" s="2653"/>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85" t="s">
        <v>2296</v>
      </c>
      <c r="D35" s="2661"/>
      <c r="E35" s="2643"/>
      <c r="F35" s="2643"/>
      <c r="G35" s="2655"/>
      <c r="H35" s="2655"/>
      <c r="I35" s="2655"/>
      <c r="J35" s="2655"/>
      <c r="K35" s="2654"/>
      <c r="L35" s="2654"/>
      <c r="M35" s="2653"/>
      <c r="N35" s="2653"/>
      <c r="O35" s="2653"/>
      <c r="P35" s="2653"/>
      <c r="Q35" s="2653"/>
      <c r="R35" s="2653"/>
      <c r="S35" s="2653"/>
      <c r="T35" s="2653"/>
      <c r="U35" s="2653"/>
      <c r="V35" s="2653"/>
      <c r="W35" s="2653"/>
      <c r="X35" s="2653"/>
      <c r="Y35" s="2653"/>
      <c r="Z35" s="2653"/>
      <c r="AA35" s="2653"/>
      <c r="AB35" s="2653"/>
      <c r="AC35" s="2653"/>
      <c r="AD35" s="2653"/>
      <c r="AE35" s="2653"/>
      <c r="AF35" s="2653"/>
      <c r="AG35" s="2653"/>
      <c r="AH35" s="2653"/>
      <c r="AI35" s="2653"/>
      <c r="AJ35" s="2653"/>
      <c r="AK35" s="2653"/>
      <c r="AL35" s="2653"/>
      <c r="AM35" s="2653"/>
      <c r="AN35" s="2653"/>
      <c r="AO35" s="2653"/>
      <c r="AP35" s="2653"/>
      <c r="AQ35" s="2653"/>
      <c r="AR35" s="2653"/>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85" t="s">
        <v>2297</v>
      </c>
      <c r="D36" s="2658"/>
      <c r="E36" s="2655"/>
      <c r="F36" s="2655"/>
      <c r="G36" s="2655"/>
      <c r="H36" s="2655"/>
      <c r="I36" s="2655"/>
      <c r="J36" s="2655"/>
      <c r="K36" s="2654"/>
      <c r="L36" s="2654"/>
      <c r="M36" s="2653"/>
      <c r="N36" s="2653"/>
      <c r="O36" s="2653"/>
      <c r="P36" s="2653"/>
      <c r="Q36" s="2653"/>
      <c r="R36" s="2653"/>
      <c r="S36" s="2653"/>
      <c r="T36" s="2653"/>
      <c r="U36" s="2653"/>
      <c r="V36" s="2653"/>
      <c r="W36" s="2653"/>
      <c r="X36" s="2653"/>
      <c r="Y36" s="2653"/>
      <c r="Z36" s="2653"/>
      <c r="AA36" s="2653"/>
      <c r="AB36" s="2653"/>
      <c r="AC36" s="2653"/>
      <c r="AD36" s="2653"/>
      <c r="AE36" s="2653"/>
      <c r="AF36" s="2653"/>
      <c r="AG36" s="2653"/>
      <c r="AH36" s="2653"/>
      <c r="AI36" s="2653"/>
      <c r="AJ36" s="2653"/>
      <c r="AK36" s="2653"/>
      <c r="AL36" s="2653"/>
      <c r="AM36" s="2653"/>
      <c r="AN36" s="2653"/>
      <c r="AO36" s="2653"/>
      <c r="AP36" s="2653"/>
      <c r="AQ36" s="2653"/>
      <c r="AR36" s="2653"/>
    </row>
    <row r="37" spans="1:67" ht="14.25">
      <c r="A37" s="1731" t="s">
        <v>1230</v>
      </c>
      <c r="B37" s="115">
        <v>0.02</v>
      </c>
      <c r="C37" s="2785" t="s">
        <v>2298</v>
      </c>
      <c r="D37" s="2658"/>
      <c r="E37" s="2655"/>
      <c r="F37" s="2655"/>
      <c r="G37" s="2655"/>
      <c r="H37" s="2655"/>
      <c r="I37" s="2655"/>
      <c r="J37" s="2655"/>
      <c r="K37" s="2654"/>
      <c r="L37" s="2654"/>
      <c r="M37" s="2653"/>
      <c r="N37" s="2653"/>
      <c r="O37" s="2653"/>
      <c r="P37" s="2653"/>
      <c r="Q37" s="2653"/>
      <c r="R37" s="2653"/>
      <c r="S37" s="2653"/>
      <c r="T37" s="2653"/>
      <c r="U37" s="2653"/>
      <c r="V37" s="2653"/>
      <c r="W37" s="2653"/>
      <c r="X37" s="2653"/>
      <c r="Y37" s="2653"/>
      <c r="Z37" s="2653"/>
      <c r="AA37" s="2653"/>
      <c r="AB37" s="2653"/>
      <c r="AC37" s="2653"/>
      <c r="AD37" s="2653"/>
      <c r="AE37" s="2653"/>
      <c r="AF37" s="2653"/>
      <c r="AG37" s="2653"/>
      <c r="AH37" s="2653"/>
      <c r="AI37" s="2653"/>
      <c r="AJ37" s="2653"/>
      <c r="AK37" s="2653"/>
      <c r="AL37" s="2653"/>
      <c r="AM37" s="2653"/>
      <c r="AN37" s="2653"/>
      <c r="AO37" s="2653"/>
      <c r="AP37" s="2653"/>
      <c r="AQ37" s="2653"/>
      <c r="AR37" s="2653"/>
    </row>
    <row r="38" spans="1:67" ht="14.25">
      <c r="A38" s="1729" t="s">
        <v>1231</v>
      </c>
      <c r="B38" s="113">
        <v>0.02</v>
      </c>
      <c r="C38" s="2785" t="s">
        <v>2298</v>
      </c>
      <c r="D38" s="2658"/>
      <c r="E38" s="2655"/>
      <c r="F38" s="2655"/>
      <c r="G38" s="2655"/>
      <c r="H38" s="2655"/>
      <c r="I38" s="2655"/>
      <c r="J38" s="2655"/>
      <c r="K38" s="2654"/>
      <c r="L38" s="2654"/>
      <c r="M38" s="2653"/>
      <c r="N38" s="2653"/>
      <c r="O38" s="2653"/>
      <c r="P38" s="2653"/>
      <c r="Q38" s="2653"/>
      <c r="R38" s="2653"/>
      <c r="S38" s="2653"/>
      <c r="T38" s="2653"/>
      <c r="U38" s="2653"/>
      <c r="V38" s="2653"/>
      <c r="W38" s="2653"/>
      <c r="X38" s="2653"/>
      <c r="Y38" s="2653"/>
      <c r="Z38" s="2653"/>
      <c r="AA38" s="2653"/>
      <c r="AB38" s="2653"/>
      <c r="AC38" s="2653"/>
      <c r="AD38" s="2653"/>
      <c r="AE38" s="2653"/>
      <c r="AF38" s="2653"/>
      <c r="AG38" s="2653"/>
      <c r="AH38" s="2653"/>
      <c r="AI38" s="2653"/>
      <c r="AJ38" s="2653"/>
      <c r="AK38" s="2653"/>
      <c r="AL38" s="2653"/>
      <c r="AM38" s="2653"/>
      <c r="AN38" s="2653"/>
      <c r="AO38" s="2653"/>
      <c r="AP38" s="2653"/>
      <c r="AQ38" s="2653"/>
      <c r="AR38" s="2653"/>
    </row>
    <row r="39" spans="1:67" ht="14.25">
      <c r="A39" s="1732" t="s">
        <v>1232</v>
      </c>
      <c r="B39" s="317">
        <f ca="1">存贷款利率!I1</f>
        <v>1.4999999999999999E-2</v>
      </c>
      <c r="C39" s="2663"/>
      <c r="D39" s="2658"/>
      <c r="E39" s="2655"/>
      <c r="F39" s="2655"/>
      <c r="G39" s="2655"/>
      <c r="H39" s="2655"/>
      <c r="I39" s="2655"/>
      <c r="J39" s="2655"/>
      <c r="K39" s="2654"/>
      <c r="L39" s="2654"/>
      <c r="M39" s="2653"/>
      <c r="N39" s="2653"/>
      <c r="O39" s="2653"/>
      <c r="P39" s="2653"/>
      <c r="Q39" s="2653"/>
      <c r="R39" s="2653"/>
      <c r="S39" s="2653"/>
      <c r="T39" s="2653"/>
      <c r="U39" s="2653"/>
      <c r="V39" s="2653"/>
      <c r="W39" s="2653"/>
      <c r="X39" s="2653"/>
      <c r="Y39" s="2653"/>
      <c r="Z39" s="2653"/>
      <c r="AA39" s="2653"/>
      <c r="AB39" s="2653"/>
      <c r="AC39" s="2653"/>
      <c r="AD39" s="2653"/>
      <c r="AE39" s="2653"/>
      <c r="AF39" s="2653"/>
      <c r="AG39" s="2653"/>
      <c r="AH39" s="2653"/>
      <c r="AI39" s="2653"/>
      <c r="AJ39" s="2653"/>
      <c r="AK39" s="2653"/>
      <c r="AL39" s="2653"/>
      <c r="AM39" s="2653"/>
      <c r="AN39" s="2653"/>
      <c r="AO39" s="2653"/>
      <c r="AP39" s="2653"/>
      <c r="AQ39" s="2653"/>
      <c r="AR39" s="2653"/>
    </row>
    <row r="40" spans="1:67" ht="29.25" thickBot="1">
      <c r="A40" s="2797" t="s">
        <v>3387</v>
      </c>
      <c r="B40" s="1078">
        <f ca="1">IF(A40="利息：取LPR",存贷款利率!G1,存贷款利率!G1+C40)</f>
        <v>4.1499999999999995E-2</v>
      </c>
      <c r="C40" s="2796">
        <v>5.0000000000000001E-3</v>
      </c>
      <c r="D40" s="2653"/>
      <c r="E40" s="2658"/>
      <c r="F40" s="2655"/>
      <c r="G40" s="2655"/>
      <c r="H40" s="2655"/>
      <c r="I40" s="2655"/>
      <c r="J40" s="2655"/>
      <c r="K40" s="2654"/>
      <c r="L40" s="2654"/>
      <c r="M40" s="2653"/>
      <c r="N40" s="2653"/>
      <c r="O40" s="2653"/>
      <c r="P40" s="2653"/>
      <c r="Q40" s="2653"/>
      <c r="R40" s="2653"/>
      <c r="S40" s="2653"/>
      <c r="T40" s="2653"/>
      <c r="U40" s="2653"/>
      <c r="V40" s="2653"/>
      <c r="W40" s="2653"/>
      <c r="X40" s="2653"/>
      <c r="Y40" s="2653"/>
      <c r="Z40" s="2653"/>
      <c r="AA40" s="2653"/>
      <c r="AB40" s="2653"/>
      <c r="AC40" s="2653"/>
      <c r="AD40" s="2653"/>
      <c r="AE40" s="2653"/>
      <c r="AF40" s="2653"/>
      <c r="AG40" s="2653"/>
      <c r="AH40" s="2653"/>
      <c r="AI40" s="2653"/>
      <c r="AJ40" s="2653"/>
      <c r="AK40" s="2653"/>
      <c r="AL40" s="2653"/>
      <c r="AM40" s="2653"/>
      <c r="AN40" s="2653"/>
      <c r="AO40" s="2653"/>
      <c r="AP40" s="2653"/>
      <c r="AQ40" s="2653"/>
      <c r="AR40" s="2653"/>
    </row>
    <row r="41" spans="1:67" ht="14.25">
      <c r="A41" s="1727" t="s">
        <v>1233</v>
      </c>
      <c r="B41" s="116">
        <f>B42+B43</f>
        <v>5.6000000000000001E-2</v>
      </c>
      <c r="C41" s="2660"/>
      <c r="D41" s="2653"/>
      <c r="E41" s="2658"/>
      <c r="F41" s="2655"/>
      <c r="G41" s="2655"/>
      <c r="H41" s="2655"/>
      <c r="I41" s="2655"/>
      <c r="J41" s="2655"/>
      <c r="K41" s="2654"/>
      <c r="L41" s="2654"/>
      <c r="M41" s="2653"/>
      <c r="N41" s="2653"/>
      <c r="O41" s="2653"/>
      <c r="P41" s="2653"/>
      <c r="Q41" s="2653"/>
      <c r="R41" s="2653"/>
      <c r="S41" s="2653"/>
      <c r="T41" s="2653"/>
      <c r="U41" s="2653"/>
      <c r="V41" s="2653"/>
      <c r="W41" s="2653"/>
      <c r="X41" s="2653"/>
      <c r="Y41" s="2653"/>
      <c r="Z41" s="2653"/>
      <c r="AA41" s="2653"/>
      <c r="AB41" s="2653"/>
      <c r="AC41" s="2653"/>
      <c r="AD41" s="2653"/>
      <c r="AE41" s="2653"/>
      <c r="AF41" s="2653"/>
      <c r="AG41" s="2653"/>
      <c r="AH41" s="2653"/>
      <c r="AI41" s="2653"/>
      <c r="AJ41" s="2653"/>
      <c r="AK41" s="2653"/>
      <c r="AL41" s="2653"/>
      <c r="AM41" s="2653"/>
      <c r="AN41" s="2653"/>
      <c r="AO41" s="2653"/>
      <c r="AP41" s="2653"/>
      <c r="AQ41" s="2653"/>
      <c r="AR41" s="2653"/>
    </row>
    <row r="42" spans="1:67" ht="14.25">
      <c r="A42" s="1733" t="s">
        <v>1234</v>
      </c>
      <c r="B42" s="117">
        <v>0.05</v>
      </c>
      <c r="C42" s="2665">
        <f>IF(B2&lt;DATE(2016,5,1),0,B42)</f>
        <v>0.05</v>
      </c>
      <c r="D42" s="2658"/>
      <c r="E42" s="2655"/>
      <c r="F42" s="2655"/>
      <c r="G42" s="2655"/>
      <c r="H42" s="2655"/>
      <c r="I42" s="2655"/>
      <c r="J42" s="2655"/>
      <c r="K42" s="2654"/>
      <c r="L42" s="2654"/>
      <c r="M42" s="2653"/>
      <c r="N42" s="2653"/>
      <c r="O42" s="2653"/>
      <c r="P42" s="2653"/>
      <c r="Q42" s="2653"/>
      <c r="R42" s="2653"/>
      <c r="S42" s="2653"/>
      <c r="T42" s="2653"/>
      <c r="U42" s="2653"/>
      <c r="V42" s="2653"/>
      <c r="W42" s="2653"/>
      <c r="X42" s="2653"/>
      <c r="Y42" s="2653"/>
      <c r="Z42" s="2653"/>
      <c r="AA42" s="2653"/>
      <c r="AB42" s="2653"/>
      <c r="AC42" s="2653"/>
      <c r="AD42" s="2653"/>
      <c r="AE42" s="2653"/>
      <c r="AF42" s="2653"/>
      <c r="AG42" s="2653"/>
      <c r="AH42" s="2653"/>
      <c r="AI42" s="2653"/>
      <c r="AJ42" s="2653"/>
      <c r="AK42" s="2653"/>
      <c r="AL42" s="2653"/>
      <c r="AM42" s="2653"/>
      <c r="AN42" s="2653"/>
      <c r="AO42" s="2653"/>
      <c r="AP42" s="2653"/>
      <c r="AQ42" s="2653"/>
      <c r="AR42" s="2653"/>
    </row>
    <row r="43" spans="1:67" ht="14.25">
      <c r="A43" s="1733" t="s">
        <v>1235</v>
      </c>
      <c r="B43" s="118">
        <f>B42*(B44+B45+B46)+B47</f>
        <v>6.000000000000001E-3</v>
      </c>
      <c r="C43" s="2660"/>
      <c r="D43" s="2658"/>
      <c r="E43" s="2655"/>
      <c r="F43" s="2655"/>
      <c r="G43" s="2655"/>
      <c r="H43" s="2655"/>
      <c r="I43" s="2655"/>
      <c r="J43" s="2655"/>
      <c r="K43" s="2654"/>
      <c r="L43" s="2654"/>
      <c r="M43" s="2653"/>
      <c r="N43" s="2653"/>
      <c r="O43" s="2653"/>
      <c r="P43" s="2653"/>
      <c r="Q43" s="2653"/>
      <c r="R43" s="2653"/>
      <c r="S43" s="2653"/>
      <c r="T43" s="2653"/>
      <c r="U43" s="2653"/>
      <c r="V43" s="2653"/>
      <c r="W43" s="2653"/>
      <c r="X43" s="2653"/>
      <c r="Y43" s="2653"/>
      <c r="Z43" s="2653"/>
      <c r="AA43" s="2653"/>
      <c r="AB43" s="2653"/>
      <c r="AC43" s="2653"/>
      <c r="AD43" s="2653"/>
      <c r="AE43" s="2653"/>
      <c r="AF43" s="2653"/>
      <c r="AG43" s="2653"/>
      <c r="AH43" s="2653"/>
      <c r="AI43" s="2653"/>
      <c r="AJ43" s="2653"/>
      <c r="AK43" s="2653"/>
      <c r="AL43" s="2653"/>
      <c r="AM43" s="2653"/>
      <c r="AN43" s="2653"/>
      <c r="AO43" s="2653"/>
      <c r="AP43" s="2653"/>
      <c r="AQ43" s="2653"/>
      <c r="AR43" s="2653"/>
    </row>
    <row r="44" spans="1:67" ht="14.25">
      <c r="A44" s="1734" t="s">
        <v>1236</v>
      </c>
      <c r="B44" s="119">
        <v>7.0000000000000007E-2</v>
      </c>
      <c r="C44" s="2785" t="s">
        <v>2307</v>
      </c>
      <c r="D44" s="2658"/>
      <c r="E44" s="2655"/>
      <c r="F44" s="2655"/>
      <c r="G44" s="2655"/>
      <c r="H44" s="2655"/>
      <c r="I44" s="2655"/>
      <c r="J44" s="2655"/>
      <c r="K44" s="2654"/>
      <c r="L44" s="2654"/>
      <c r="M44" s="2653"/>
      <c r="N44" s="2653"/>
      <c r="O44" s="2653"/>
      <c r="P44" s="2653"/>
      <c r="Q44" s="2653"/>
      <c r="R44" s="2653"/>
      <c r="S44" s="2653"/>
      <c r="T44" s="2653"/>
      <c r="U44" s="2653"/>
      <c r="V44" s="2653"/>
      <c r="W44" s="2653"/>
      <c r="X44" s="2653"/>
      <c r="Y44" s="2653"/>
      <c r="Z44" s="2653"/>
      <c r="AA44" s="2653"/>
      <c r="AB44" s="2653"/>
      <c r="AC44" s="2653"/>
      <c r="AD44" s="2653"/>
      <c r="AE44" s="2653"/>
      <c r="AF44" s="2653"/>
      <c r="AG44" s="2653"/>
      <c r="AH44" s="2653"/>
      <c r="AI44" s="2653"/>
      <c r="AJ44" s="2653"/>
      <c r="AK44" s="2653"/>
      <c r="AL44" s="2653"/>
      <c r="AM44" s="2653"/>
      <c r="AN44" s="2653"/>
      <c r="AO44" s="2653"/>
      <c r="AP44" s="2653"/>
      <c r="AQ44" s="2653"/>
      <c r="AR44" s="2653"/>
    </row>
    <row r="45" spans="1:67" ht="14.25">
      <c r="A45" s="1734" t="s">
        <v>1237</v>
      </c>
      <c r="B45" s="117">
        <v>0.03</v>
      </c>
      <c r="C45" s="2784" t="s">
        <v>2299</v>
      </c>
      <c r="D45" s="2658"/>
      <c r="E45" s="2655"/>
      <c r="F45" s="2655"/>
      <c r="G45" s="2655"/>
      <c r="H45" s="2655"/>
      <c r="I45" s="2655"/>
      <c r="J45" s="2655"/>
      <c r="K45" s="2654"/>
      <c r="L45" s="2654"/>
      <c r="M45" s="2653"/>
      <c r="N45" s="2653"/>
      <c r="O45" s="2653"/>
      <c r="P45" s="2653"/>
      <c r="Q45" s="2653"/>
      <c r="R45" s="2653"/>
      <c r="S45" s="2653"/>
      <c r="T45" s="2653"/>
      <c r="U45" s="2653"/>
      <c r="V45" s="2653"/>
      <c r="W45" s="2653"/>
      <c r="X45" s="2653"/>
      <c r="Y45" s="2653"/>
      <c r="Z45" s="2653"/>
      <c r="AA45" s="2653"/>
      <c r="AB45" s="2653"/>
      <c r="AC45" s="2653"/>
      <c r="AD45" s="2653"/>
      <c r="AE45" s="2653"/>
      <c r="AF45" s="2653"/>
      <c r="AG45" s="2653"/>
      <c r="AH45" s="2653"/>
      <c r="AI45" s="2653"/>
      <c r="AJ45" s="2653"/>
      <c r="AK45" s="2653"/>
      <c r="AL45" s="2653"/>
      <c r="AM45" s="2653"/>
      <c r="AN45" s="2653"/>
      <c r="AO45" s="2653"/>
      <c r="AP45" s="2653"/>
      <c r="AQ45" s="2653"/>
      <c r="AR45" s="2653"/>
    </row>
    <row r="46" spans="1:67" ht="14.25">
      <c r="A46" s="1734" t="s">
        <v>1238</v>
      </c>
      <c r="B46" s="117">
        <v>0.02</v>
      </c>
      <c r="C46" s="2784" t="s">
        <v>2300</v>
      </c>
      <c r="D46" s="2658"/>
      <c r="E46" s="2655"/>
      <c r="F46" s="2655"/>
      <c r="G46" s="2655"/>
      <c r="H46" s="2655"/>
      <c r="I46" s="2655"/>
      <c r="J46" s="2655"/>
      <c r="K46" s="2654"/>
      <c r="L46" s="2654"/>
      <c r="M46" s="2653"/>
      <c r="N46" s="2653"/>
      <c r="O46" s="2653"/>
      <c r="P46" s="2653"/>
      <c r="Q46" s="2653"/>
      <c r="R46" s="2653"/>
      <c r="S46" s="2653"/>
      <c r="T46" s="2653"/>
      <c r="U46" s="2653"/>
      <c r="V46" s="2653"/>
      <c r="W46" s="2653"/>
      <c r="X46" s="2653"/>
      <c r="Y46" s="2653"/>
      <c r="Z46" s="2653"/>
      <c r="AA46" s="2653"/>
      <c r="AB46" s="2653"/>
      <c r="AC46" s="2653"/>
      <c r="AD46" s="2653"/>
      <c r="AE46" s="2653"/>
      <c r="AF46" s="2653"/>
      <c r="AG46" s="2653"/>
      <c r="AH46" s="2653"/>
      <c r="AI46" s="2653"/>
      <c r="AJ46" s="2653"/>
      <c r="AK46" s="2653"/>
      <c r="AL46" s="2653"/>
      <c r="AM46" s="2653"/>
      <c r="AN46" s="2653"/>
      <c r="AO46" s="2653"/>
      <c r="AP46" s="2653"/>
      <c r="AQ46" s="2653"/>
      <c r="AR46" s="2653"/>
    </row>
    <row r="47" spans="1:67" ht="15" thickBot="1">
      <c r="A47" s="1735" t="s">
        <v>1239</v>
      </c>
      <c r="B47" s="120"/>
      <c r="C47" s="2787" t="s">
        <v>2308</v>
      </c>
      <c r="D47" s="2658"/>
      <c r="E47" s="2655"/>
      <c r="F47" s="2655"/>
      <c r="G47" s="2655"/>
      <c r="H47" s="2655"/>
      <c r="I47" s="2655"/>
      <c r="J47" s="2655"/>
      <c r="K47" s="2654"/>
      <c r="L47" s="2654"/>
      <c r="M47" s="2653"/>
      <c r="N47" s="2653"/>
      <c r="O47" s="2653"/>
      <c r="P47" s="2653"/>
      <c r="Q47" s="2653"/>
      <c r="R47" s="2653"/>
      <c r="S47" s="2653"/>
      <c r="T47" s="2653"/>
      <c r="U47" s="2653"/>
      <c r="V47" s="2653"/>
      <c r="W47" s="2653"/>
      <c r="X47" s="2653"/>
      <c r="Y47" s="2653"/>
      <c r="Z47" s="2653"/>
      <c r="AA47" s="2653"/>
      <c r="AB47" s="2653"/>
      <c r="AC47" s="2653"/>
      <c r="AD47" s="2653"/>
      <c r="AE47" s="2653"/>
      <c r="AF47" s="2653"/>
      <c r="AG47" s="2653"/>
      <c r="AH47" s="2653"/>
      <c r="AI47" s="2653"/>
      <c r="AJ47" s="2653"/>
      <c r="AK47" s="2653"/>
      <c r="AL47" s="2653"/>
      <c r="AM47" s="2653"/>
      <c r="AN47" s="2653"/>
      <c r="AO47" s="2653"/>
      <c r="AP47" s="2653"/>
      <c r="AQ47" s="2653"/>
      <c r="AR47" s="2653"/>
    </row>
    <row r="48" spans="1:67" ht="14.25">
      <c r="A48" s="1736" t="s">
        <v>1240</v>
      </c>
      <c r="B48" s="121">
        <v>0.03</v>
      </c>
      <c r="C48" s="2784" t="s">
        <v>2299</v>
      </c>
      <c r="D48" s="2658"/>
      <c r="E48" s="2655"/>
      <c r="F48" s="2655"/>
      <c r="G48" s="2655"/>
      <c r="H48" s="2655"/>
      <c r="I48" s="2655"/>
      <c r="J48" s="2655"/>
      <c r="K48" s="2654"/>
      <c r="L48" s="2654"/>
      <c r="M48" s="2653"/>
      <c r="N48" s="2653"/>
      <c r="O48" s="2653"/>
      <c r="P48" s="2653"/>
      <c r="Q48" s="2653"/>
      <c r="R48" s="2653"/>
      <c r="S48" s="2653"/>
      <c r="T48" s="2653"/>
      <c r="U48" s="2653"/>
      <c r="V48" s="2653"/>
      <c r="W48" s="2653"/>
      <c r="X48" s="2653"/>
      <c r="Y48" s="2653"/>
      <c r="Z48" s="2653"/>
      <c r="AA48" s="2653"/>
      <c r="AB48" s="2653"/>
      <c r="AC48" s="2653"/>
      <c r="AD48" s="2653"/>
      <c r="AE48" s="2653"/>
      <c r="AF48" s="2653"/>
      <c r="AG48" s="2653"/>
      <c r="AH48" s="2653"/>
      <c r="AI48" s="2653"/>
      <c r="AJ48" s="2653"/>
      <c r="AK48" s="2653"/>
      <c r="AL48" s="2653"/>
      <c r="AM48" s="2653"/>
      <c r="AN48" s="2653"/>
      <c r="AO48" s="2653"/>
      <c r="AP48" s="2653"/>
      <c r="AQ48" s="2653"/>
      <c r="AR48" s="2653"/>
    </row>
    <row r="49" spans="1:44" ht="15" thickBot="1">
      <c r="A49" s="1732" t="s">
        <v>1241</v>
      </c>
      <c r="B49" s="117">
        <v>5.0000000000000001E-4</v>
      </c>
      <c r="C49" s="2784" t="s">
        <v>2301</v>
      </c>
      <c r="D49" s="2658"/>
      <c r="E49" s="2655"/>
      <c r="F49" s="2655"/>
      <c r="G49" s="2655"/>
      <c r="H49" s="2655"/>
      <c r="I49" s="2655"/>
      <c r="J49" s="2655"/>
      <c r="K49" s="2654"/>
      <c r="L49" s="2654"/>
      <c r="M49" s="2653"/>
      <c r="N49" s="2653"/>
      <c r="O49" s="2653"/>
      <c r="P49" s="2653"/>
      <c r="Q49" s="2653"/>
      <c r="R49" s="2653"/>
      <c r="S49" s="2653"/>
      <c r="T49" s="2653"/>
      <c r="U49" s="2653"/>
      <c r="V49" s="2653"/>
      <c r="W49" s="2653"/>
      <c r="X49" s="2653"/>
      <c r="Y49" s="2653"/>
      <c r="Z49" s="2653"/>
      <c r="AA49" s="2653"/>
      <c r="AB49" s="2653"/>
      <c r="AC49" s="2653"/>
      <c r="AD49" s="2653"/>
      <c r="AE49" s="2653"/>
      <c r="AF49" s="2653"/>
      <c r="AG49" s="2653"/>
      <c r="AH49" s="2653"/>
      <c r="AI49" s="2653"/>
      <c r="AJ49" s="2653"/>
      <c r="AK49" s="2653"/>
      <c r="AL49" s="2653"/>
      <c r="AM49" s="2653"/>
      <c r="AN49" s="2653"/>
      <c r="AO49" s="2653"/>
      <c r="AP49" s="2653"/>
      <c r="AQ49" s="2653"/>
      <c r="AR49" s="2653"/>
    </row>
    <row r="50" spans="1:44" ht="14.25">
      <c r="A50" s="1737" t="s">
        <v>1242</v>
      </c>
      <c r="B50" s="122">
        <v>1.2E-2</v>
      </c>
      <c r="C50" s="2643"/>
      <c r="D50" s="2658"/>
      <c r="E50" s="2655"/>
      <c r="F50" s="2655"/>
      <c r="G50" s="2655"/>
      <c r="H50" s="2655"/>
      <c r="I50" s="2655"/>
      <c r="J50" s="2655"/>
      <c r="K50" s="2654"/>
      <c r="L50" s="2654"/>
      <c r="M50" s="2653"/>
      <c r="N50" s="2653"/>
      <c r="O50" s="2653"/>
      <c r="P50" s="2653"/>
      <c r="Q50" s="2653"/>
      <c r="R50" s="2653"/>
      <c r="S50" s="2653"/>
      <c r="T50" s="2653"/>
      <c r="U50" s="2653"/>
      <c r="V50" s="2653"/>
      <c r="W50" s="2653"/>
      <c r="X50" s="2653"/>
      <c r="Y50" s="2653"/>
      <c r="Z50" s="2653"/>
      <c r="AA50" s="2653"/>
      <c r="AB50" s="2653"/>
      <c r="AC50" s="2653"/>
      <c r="AD50" s="2653"/>
      <c r="AE50" s="2653"/>
      <c r="AF50" s="2653"/>
      <c r="AG50" s="2653"/>
      <c r="AH50" s="2653"/>
      <c r="AI50" s="2653"/>
      <c r="AJ50" s="2653"/>
      <c r="AK50" s="2653"/>
      <c r="AL50" s="2653"/>
      <c r="AM50" s="2653"/>
      <c r="AN50" s="2653"/>
      <c r="AO50" s="2653"/>
      <c r="AP50" s="2653"/>
      <c r="AQ50" s="2653"/>
      <c r="AR50" s="2653"/>
    </row>
    <row r="51" spans="1:44" ht="15" thickBot="1">
      <c r="A51" s="1730" t="s">
        <v>1243</v>
      </c>
      <c r="B51" s="123">
        <v>0.12</v>
      </c>
      <c r="C51" s="2643"/>
      <c r="D51" s="2658"/>
      <c r="E51" s="2655"/>
      <c r="F51" s="2655"/>
      <c r="G51" s="2655"/>
      <c r="H51" s="2655"/>
      <c r="I51" s="2655"/>
      <c r="J51" s="2655"/>
      <c r="K51" s="2654"/>
      <c r="L51" s="2654"/>
      <c r="M51" s="2653"/>
      <c r="N51" s="2653"/>
      <c r="O51" s="2653"/>
      <c r="P51" s="2653"/>
      <c r="Q51" s="2653"/>
      <c r="R51" s="2653"/>
      <c r="S51" s="2653"/>
      <c r="T51" s="2653"/>
      <c r="U51" s="2653"/>
      <c r="V51" s="2653"/>
      <c r="W51" s="2653"/>
      <c r="X51" s="2653"/>
      <c r="Y51" s="2653"/>
      <c r="Z51" s="2653"/>
      <c r="AA51" s="2653"/>
      <c r="AB51" s="2653"/>
      <c r="AC51" s="2653"/>
      <c r="AD51" s="2653"/>
      <c r="AE51" s="2653"/>
      <c r="AF51" s="2653"/>
      <c r="AG51" s="2653"/>
      <c r="AH51" s="2653"/>
      <c r="AI51" s="2653"/>
      <c r="AJ51" s="2653"/>
      <c r="AK51" s="2653"/>
      <c r="AL51" s="2653"/>
      <c r="AM51" s="2653"/>
      <c r="AN51" s="2653"/>
      <c r="AO51" s="2653"/>
      <c r="AP51" s="2653"/>
      <c r="AQ51" s="2653"/>
      <c r="AR51" s="2653"/>
    </row>
    <row r="52" spans="1:44" ht="14.25">
      <c r="A52" s="1737" t="s">
        <v>1244</v>
      </c>
      <c r="B52" s="124">
        <f>SUMIF(A54:A63,B53,B54:B63)</f>
        <v>24</v>
      </c>
      <c r="C52" s="2643"/>
      <c r="D52" s="2658"/>
      <c r="E52" s="2655"/>
      <c r="F52" s="2655"/>
      <c r="G52" s="2655"/>
      <c r="H52" s="2655"/>
      <c r="I52" s="2655"/>
      <c r="J52" s="2655"/>
      <c r="K52" s="2654"/>
      <c r="L52" s="2654"/>
      <c r="M52" s="2653"/>
      <c r="N52" s="2653"/>
      <c r="O52" s="2653"/>
      <c r="P52" s="2653"/>
      <c r="Q52" s="2653"/>
      <c r="R52" s="2653"/>
      <c r="S52" s="2653"/>
      <c r="T52" s="2653"/>
      <c r="U52" s="2653"/>
      <c r="V52" s="2653"/>
      <c r="W52" s="2653"/>
      <c r="X52" s="2653"/>
      <c r="Y52" s="2653"/>
      <c r="Z52" s="2653"/>
      <c r="AA52" s="2653"/>
      <c r="AB52" s="2653"/>
      <c r="AC52" s="2653"/>
      <c r="AD52" s="2653"/>
      <c r="AE52" s="2653"/>
      <c r="AF52" s="2653"/>
      <c r="AG52" s="2653"/>
      <c r="AH52" s="2653"/>
      <c r="AI52" s="2653"/>
      <c r="AJ52" s="2653"/>
      <c r="AK52" s="2653"/>
      <c r="AL52" s="2653"/>
      <c r="AM52" s="2653"/>
      <c r="AN52" s="2653"/>
      <c r="AO52" s="2653"/>
      <c r="AP52" s="2653"/>
      <c r="AQ52" s="2653"/>
      <c r="AR52" s="2653"/>
    </row>
    <row r="53" spans="1:44" ht="27">
      <c r="A53" s="1729" t="s">
        <v>1245</v>
      </c>
      <c r="B53" s="1738" t="s">
        <v>184</v>
      </c>
      <c r="C53" s="2643" t="s">
        <v>1246</v>
      </c>
      <c r="D53" s="2786" t="s">
        <v>2305</v>
      </c>
      <c r="E53" s="2655"/>
      <c r="F53" s="2655"/>
      <c r="G53" s="2655"/>
      <c r="H53" s="2655"/>
      <c r="I53" s="2655"/>
      <c r="J53" s="2655"/>
      <c r="K53" s="2654"/>
      <c r="L53" s="2654"/>
      <c r="M53" s="2653"/>
      <c r="N53" s="2653"/>
      <c r="O53" s="2653"/>
      <c r="P53" s="2653"/>
      <c r="Q53" s="2653"/>
      <c r="R53" s="2653"/>
      <c r="S53" s="2653"/>
      <c r="T53" s="2653"/>
      <c r="U53" s="2653"/>
      <c r="V53" s="2653"/>
      <c r="W53" s="2653"/>
      <c r="X53" s="2653"/>
      <c r="Y53" s="2653"/>
      <c r="Z53" s="2653"/>
      <c r="AA53" s="2653"/>
      <c r="AB53" s="2653"/>
      <c r="AC53" s="2653"/>
      <c r="AD53" s="2653"/>
      <c r="AE53" s="2653"/>
      <c r="AF53" s="2653"/>
      <c r="AG53" s="2653"/>
      <c r="AH53" s="2653"/>
      <c r="AI53" s="2653"/>
      <c r="AJ53" s="2653"/>
      <c r="AK53" s="2653"/>
      <c r="AL53" s="2653"/>
      <c r="AM53" s="2653"/>
      <c r="AN53" s="2653"/>
      <c r="AO53" s="2653"/>
      <c r="AP53" s="2653"/>
      <c r="AQ53" s="2653"/>
      <c r="AR53" s="2653"/>
    </row>
    <row r="54" spans="1:44" ht="14.25">
      <c r="A54" s="1739" t="s">
        <v>1247</v>
      </c>
      <c r="B54" s="75"/>
      <c r="C54" s="2643">
        <v>30</v>
      </c>
      <c r="D54" s="2658"/>
      <c r="E54" s="2655"/>
      <c r="F54" s="2655"/>
      <c r="G54" s="2655"/>
      <c r="H54" s="2655"/>
      <c r="I54" s="2655"/>
      <c r="J54" s="2655"/>
      <c r="K54" s="2654"/>
      <c r="L54" s="2654"/>
      <c r="M54" s="2653"/>
      <c r="N54" s="2653"/>
      <c r="O54" s="2653"/>
      <c r="P54" s="2653"/>
      <c r="Q54" s="2653"/>
      <c r="R54" s="2653"/>
      <c r="S54" s="2653"/>
      <c r="T54" s="2653"/>
      <c r="U54" s="2653"/>
      <c r="V54" s="2653"/>
      <c r="W54" s="2653"/>
      <c r="X54" s="2653"/>
      <c r="Y54" s="2653"/>
      <c r="Z54" s="2653"/>
      <c r="AA54" s="2653"/>
      <c r="AB54" s="2653"/>
      <c r="AC54" s="2653"/>
      <c r="AD54" s="2653"/>
      <c r="AE54" s="2653"/>
      <c r="AF54" s="2653"/>
      <c r="AG54" s="2653"/>
      <c r="AH54" s="2653"/>
      <c r="AI54" s="2653"/>
      <c r="AJ54" s="2653"/>
      <c r="AK54" s="2653"/>
      <c r="AL54" s="2653"/>
      <c r="AM54" s="2653"/>
      <c r="AN54" s="2653"/>
      <c r="AO54" s="2653"/>
      <c r="AP54" s="2653"/>
      <c r="AQ54" s="2653"/>
      <c r="AR54" s="2653"/>
    </row>
    <row r="55" spans="1:44" ht="14.25">
      <c r="A55" s="1739" t="s">
        <v>1248</v>
      </c>
      <c r="B55" s="75">
        <v>24</v>
      </c>
      <c r="C55" s="2643">
        <v>24</v>
      </c>
      <c r="D55" s="2658"/>
      <c r="E55" s="2655"/>
      <c r="F55" s="2655"/>
      <c r="G55" s="2655"/>
      <c r="H55" s="2655"/>
      <c r="I55" s="2656"/>
      <c r="J55" s="2655"/>
      <c r="K55" s="2654"/>
      <c r="L55" s="2654"/>
      <c r="M55" s="2653"/>
      <c r="N55" s="2653"/>
      <c r="O55" s="2653"/>
      <c r="P55" s="2653"/>
      <c r="Q55" s="2653"/>
      <c r="R55" s="2653"/>
      <c r="S55" s="2653"/>
      <c r="T55" s="2653"/>
      <c r="U55" s="2653"/>
      <c r="V55" s="2653"/>
      <c r="W55" s="2653"/>
      <c r="X55" s="2653"/>
      <c r="Y55" s="2653"/>
      <c r="Z55" s="2653"/>
      <c r="AA55" s="2653"/>
      <c r="AB55" s="2653"/>
      <c r="AC55" s="2653"/>
      <c r="AD55" s="2653"/>
      <c r="AE55" s="2653"/>
      <c r="AF55" s="2653"/>
      <c r="AG55" s="2653"/>
      <c r="AH55" s="2653"/>
      <c r="AI55" s="2653"/>
      <c r="AJ55" s="2653"/>
      <c r="AK55" s="2653"/>
      <c r="AL55" s="2653"/>
      <c r="AM55" s="2653"/>
      <c r="AN55" s="2653"/>
      <c r="AO55" s="2653"/>
      <c r="AP55" s="2653"/>
      <c r="AQ55" s="2653"/>
      <c r="AR55" s="2653"/>
    </row>
    <row r="56" spans="1:44" ht="14.25">
      <c r="A56" s="1739" t="s">
        <v>1249</v>
      </c>
      <c r="B56" s="75"/>
      <c r="C56" s="2643">
        <v>18</v>
      </c>
      <c r="D56" s="2658"/>
      <c r="E56" s="2655"/>
      <c r="F56" s="2655"/>
      <c r="G56" s="2655"/>
      <c r="H56" s="2655"/>
      <c r="I56" s="2655"/>
      <c r="J56" s="2655"/>
      <c r="K56" s="2654"/>
      <c r="L56" s="2654"/>
      <c r="M56" s="2653"/>
      <c r="N56" s="2653"/>
      <c r="O56" s="2653"/>
      <c r="P56" s="2653"/>
      <c r="Q56" s="2653"/>
      <c r="R56" s="2653"/>
      <c r="S56" s="2653"/>
      <c r="T56" s="2653"/>
      <c r="U56" s="2653"/>
      <c r="V56" s="2653"/>
      <c r="W56" s="2653"/>
      <c r="X56" s="2653"/>
      <c r="Y56" s="2653"/>
      <c r="Z56" s="2653"/>
      <c r="AA56" s="2653"/>
      <c r="AB56" s="2653"/>
      <c r="AC56" s="2653"/>
      <c r="AD56" s="2653"/>
      <c r="AE56" s="2653"/>
      <c r="AF56" s="2653"/>
      <c r="AG56" s="2653"/>
      <c r="AH56" s="2653"/>
      <c r="AI56" s="2653"/>
      <c r="AJ56" s="2653"/>
      <c r="AK56" s="2653"/>
      <c r="AL56" s="2653"/>
      <c r="AM56" s="2653"/>
      <c r="AN56" s="2653"/>
      <c r="AO56" s="2653"/>
      <c r="AP56" s="2653"/>
      <c r="AQ56" s="2653"/>
      <c r="AR56" s="2653"/>
    </row>
    <row r="57" spans="1:44" ht="14.25">
      <c r="A57" s="1739" t="s">
        <v>1250</v>
      </c>
      <c r="B57" s="75"/>
      <c r="C57" s="2643">
        <v>12</v>
      </c>
      <c r="D57" s="2658"/>
      <c r="E57" s="2655"/>
      <c r="F57" s="2655"/>
      <c r="G57" s="2655"/>
      <c r="H57" s="2655"/>
      <c r="I57" s="2655"/>
      <c r="J57" s="2655"/>
      <c r="K57" s="2654"/>
      <c r="L57" s="2654"/>
      <c r="M57" s="2653"/>
      <c r="N57" s="2653"/>
      <c r="O57" s="2653"/>
      <c r="P57" s="2653"/>
      <c r="Q57" s="2653"/>
      <c r="R57" s="2653"/>
      <c r="S57" s="2653"/>
      <c r="T57" s="2653"/>
      <c r="U57" s="2653"/>
      <c r="V57" s="2653"/>
      <c r="W57" s="2653"/>
      <c r="X57" s="2653"/>
      <c r="Y57" s="2653"/>
      <c r="Z57" s="2653"/>
      <c r="AA57" s="2653"/>
      <c r="AB57" s="2653"/>
      <c r="AC57" s="2653"/>
      <c r="AD57" s="2653"/>
      <c r="AE57" s="2653"/>
      <c r="AF57" s="2653"/>
      <c r="AG57" s="2653"/>
      <c r="AH57" s="2653"/>
      <c r="AI57" s="2653"/>
      <c r="AJ57" s="2653"/>
      <c r="AK57" s="2653"/>
      <c r="AL57" s="2653"/>
      <c r="AM57" s="2653"/>
      <c r="AN57" s="2653"/>
      <c r="AO57" s="2653"/>
      <c r="AP57" s="2653"/>
      <c r="AQ57" s="2653"/>
      <c r="AR57" s="2653"/>
    </row>
    <row r="58" spans="1:44" ht="14.25">
      <c r="A58" s="1739" t="s">
        <v>1251</v>
      </c>
      <c r="B58" s="75"/>
      <c r="C58" s="2643">
        <v>3</v>
      </c>
      <c r="D58" s="2658"/>
      <c r="E58" s="2655"/>
      <c r="F58" s="2655"/>
      <c r="G58" s="2655"/>
      <c r="H58" s="2655"/>
      <c r="I58" s="2655"/>
      <c r="J58" s="2655"/>
      <c r="K58" s="2654"/>
      <c r="L58" s="2654"/>
      <c r="M58" s="2653"/>
      <c r="N58" s="2653"/>
      <c r="O58" s="2653"/>
      <c r="P58" s="2653"/>
      <c r="Q58" s="2653"/>
      <c r="R58" s="2653"/>
      <c r="S58" s="2653"/>
      <c r="T58" s="2653"/>
      <c r="U58" s="2653"/>
      <c r="V58" s="2653"/>
      <c r="W58" s="2653"/>
      <c r="X58" s="2653"/>
      <c r="Y58" s="2653"/>
      <c r="Z58" s="2653"/>
      <c r="AA58" s="2653"/>
      <c r="AB58" s="2653"/>
      <c r="AC58" s="2653"/>
      <c r="AD58" s="2653"/>
      <c r="AE58" s="2653"/>
      <c r="AF58" s="2653"/>
      <c r="AG58" s="2653"/>
      <c r="AH58" s="2653"/>
      <c r="AI58" s="2653"/>
      <c r="AJ58" s="2653"/>
      <c r="AK58" s="2653"/>
      <c r="AL58" s="2653"/>
      <c r="AM58" s="2653"/>
      <c r="AN58" s="2653"/>
      <c r="AO58" s="2653"/>
      <c r="AP58" s="2653"/>
      <c r="AQ58" s="2653"/>
      <c r="AR58" s="2653"/>
    </row>
    <row r="59" spans="1:44" ht="14.25">
      <c r="A59" s="1739" t="s">
        <v>1252</v>
      </c>
      <c r="B59" s="75"/>
      <c r="C59" s="2643">
        <v>1.5</v>
      </c>
      <c r="D59" s="2658"/>
      <c r="E59" s="2655"/>
      <c r="F59" s="2655"/>
      <c r="G59" s="2655"/>
      <c r="H59" s="2655"/>
      <c r="I59" s="2655"/>
      <c r="J59" s="2655"/>
      <c r="K59" s="2654"/>
      <c r="L59" s="2654"/>
      <c r="M59" s="2653"/>
      <c r="N59" s="2653"/>
      <c r="O59" s="2653"/>
      <c r="P59" s="2653"/>
      <c r="Q59" s="2653"/>
      <c r="R59" s="2653"/>
      <c r="S59" s="2653"/>
      <c r="T59" s="2653"/>
      <c r="U59" s="2653"/>
      <c r="V59" s="2653"/>
      <c r="W59" s="2653"/>
      <c r="X59" s="2653"/>
      <c r="Y59" s="2653"/>
      <c r="Z59" s="2653"/>
      <c r="AA59" s="2653"/>
      <c r="AB59" s="2653"/>
      <c r="AC59" s="2653"/>
      <c r="AD59" s="2653"/>
      <c r="AE59" s="2653"/>
      <c r="AF59" s="2653"/>
      <c r="AG59" s="2653"/>
      <c r="AH59" s="2653"/>
      <c r="AI59" s="2653"/>
      <c r="AJ59" s="2653"/>
      <c r="AK59" s="2653"/>
      <c r="AL59" s="2653"/>
      <c r="AM59" s="2653"/>
      <c r="AN59" s="2653"/>
      <c r="AO59" s="2653"/>
      <c r="AP59" s="2653"/>
      <c r="AQ59" s="2653"/>
      <c r="AR59" s="2653"/>
    </row>
    <row r="60" spans="1:44" ht="14.25">
      <c r="A60" s="1739" t="s">
        <v>1253</v>
      </c>
      <c r="B60" s="75"/>
      <c r="C60" s="2655"/>
      <c r="D60" s="2658"/>
      <c r="E60" s="2655"/>
      <c r="F60" s="2655"/>
      <c r="G60" s="2655"/>
      <c r="H60" s="2655"/>
      <c r="I60" s="2655"/>
      <c r="J60" s="2655"/>
      <c r="K60" s="2654"/>
      <c r="L60" s="2654"/>
      <c r="M60" s="2653"/>
      <c r="N60" s="2653"/>
      <c r="O60" s="2653"/>
      <c r="P60" s="2653"/>
      <c r="Q60" s="2653"/>
      <c r="R60" s="2653"/>
      <c r="S60" s="2653"/>
      <c r="T60" s="2653"/>
      <c r="U60" s="2653"/>
      <c r="V60" s="2653"/>
      <c r="W60" s="2653"/>
      <c r="X60" s="2653"/>
      <c r="Y60" s="2653"/>
      <c r="Z60" s="2653"/>
      <c r="AA60" s="2653"/>
      <c r="AB60" s="2653"/>
      <c r="AC60" s="2653"/>
      <c r="AD60" s="2653"/>
      <c r="AE60" s="2653"/>
      <c r="AF60" s="2653"/>
      <c r="AG60" s="2653"/>
      <c r="AH60" s="2653"/>
      <c r="AI60" s="2653"/>
      <c r="AJ60" s="2653"/>
      <c r="AK60" s="2653"/>
      <c r="AL60" s="2653"/>
      <c r="AM60" s="2653"/>
      <c r="AN60" s="2653"/>
      <c r="AO60" s="2653"/>
      <c r="AP60" s="2653"/>
      <c r="AQ60" s="2653"/>
      <c r="AR60" s="2653"/>
    </row>
    <row r="61" spans="1:44" ht="14.25">
      <c r="A61" s="1739" t="s">
        <v>1254</v>
      </c>
      <c r="B61" s="75"/>
      <c r="C61" s="2655"/>
      <c r="D61" s="2658"/>
      <c r="E61" s="2655"/>
      <c r="F61" s="2655"/>
      <c r="G61" s="2655"/>
      <c r="H61" s="2655"/>
      <c r="I61" s="2655"/>
      <c r="J61" s="2655"/>
      <c r="K61" s="2654"/>
      <c r="L61" s="2654"/>
      <c r="M61" s="2653"/>
      <c r="N61" s="2653"/>
      <c r="O61" s="2653"/>
      <c r="P61" s="2653"/>
      <c r="Q61" s="2653"/>
      <c r="R61" s="2653"/>
      <c r="S61" s="2653"/>
      <c r="T61" s="2653"/>
      <c r="U61" s="2653"/>
      <c r="V61" s="2653"/>
      <c r="W61" s="2653"/>
      <c r="X61" s="2653"/>
      <c r="Y61" s="2653"/>
      <c r="Z61" s="2653"/>
      <c r="AA61" s="2653"/>
      <c r="AB61" s="2653"/>
      <c r="AC61" s="2653"/>
      <c r="AD61" s="2653"/>
      <c r="AE61" s="2653"/>
      <c r="AF61" s="2653"/>
      <c r="AG61" s="2653"/>
      <c r="AH61" s="2653"/>
      <c r="AI61" s="2653"/>
      <c r="AJ61" s="2653"/>
      <c r="AK61" s="2653"/>
      <c r="AL61" s="2653"/>
      <c r="AM61" s="2653"/>
      <c r="AN61" s="2653"/>
      <c r="AO61" s="2653"/>
      <c r="AP61" s="2653"/>
      <c r="AQ61" s="2653"/>
      <c r="AR61" s="2653"/>
    </row>
    <row r="62" spans="1:44" ht="14.25">
      <c r="A62" s="1739" t="s">
        <v>1255</v>
      </c>
      <c r="B62" s="75"/>
      <c r="C62" s="2655"/>
      <c r="D62" s="2658"/>
      <c r="E62" s="2655"/>
      <c r="F62" s="2655"/>
      <c r="G62" s="2655"/>
      <c r="H62" s="2655"/>
      <c r="I62" s="2655"/>
      <c r="J62" s="2655"/>
      <c r="K62" s="2654"/>
      <c r="L62" s="2654"/>
      <c r="M62" s="2653"/>
      <c r="N62" s="2653"/>
      <c r="O62" s="2653"/>
      <c r="P62" s="2653"/>
      <c r="Q62" s="2653"/>
      <c r="R62" s="2653"/>
      <c r="S62" s="2653"/>
      <c r="T62" s="2653"/>
      <c r="U62" s="2653"/>
      <c r="V62" s="2653"/>
      <c r="W62" s="2653"/>
      <c r="X62" s="2653"/>
      <c r="Y62" s="2653"/>
      <c r="Z62" s="2653"/>
      <c r="AA62" s="2653"/>
      <c r="AB62" s="2653"/>
      <c r="AC62" s="2653"/>
      <c r="AD62" s="2653"/>
      <c r="AE62" s="2653"/>
      <c r="AF62" s="2653"/>
      <c r="AG62" s="2653"/>
      <c r="AH62" s="2653"/>
      <c r="AI62" s="2653"/>
      <c r="AJ62" s="2653"/>
      <c r="AK62" s="2653"/>
      <c r="AL62" s="2653"/>
      <c r="AM62" s="2653"/>
      <c r="AN62" s="2653"/>
      <c r="AO62" s="2653"/>
      <c r="AP62" s="2653"/>
      <c r="AQ62" s="2653"/>
      <c r="AR62" s="2653"/>
    </row>
    <row r="63" spans="1:44" ht="15" thickBot="1">
      <c r="A63" s="1740" t="s">
        <v>1256</v>
      </c>
      <c r="B63" s="125"/>
      <c r="C63" s="2655"/>
      <c r="D63" s="2658"/>
      <c r="E63" s="2655"/>
      <c r="F63" s="2655"/>
      <c r="G63" s="2655"/>
      <c r="H63" s="2655"/>
      <c r="I63" s="2655"/>
      <c r="J63" s="2655"/>
      <c r="K63" s="2654"/>
      <c r="L63" s="2654"/>
      <c r="M63" s="2653"/>
      <c r="N63" s="2653"/>
      <c r="O63" s="2653"/>
      <c r="P63" s="2653"/>
      <c r="Q63" s="2653"/>
      <c r="R63" s="2653"/>
      <c r="S63" s="2653"/>
      <c r="T63" s="2653"/>
      <c r="U63" s="2653"/>
      <c r="V63" s="2653"/>
      <c r="W63" s="2653"/>
      <c r="X63" s="2653"/>
      <c r="Y63" s="2653"/>
      <c r="Z63" s="2653"/>
      <c r="AA63" s="2653"/>
      <c r="AB63" s="2653"/>
      <c r="AC63" s="2653"/>
      <c r="AD63" s="2653"/>
      <c r="AE63" s="2653"/>
      <c r="AF63" s="2653"/>
      <c r="AG63" s="2653"/>
      <c r="AH63" s="2653"/>
      <c r="AI63" s="2653"/>
      <c r="AJ63" s="2653"/>
      <c r="AK63" s="2653"/>
      <c r="AL63" s="2653"/>
      <c r="AM63" s="2653"/>
      <c r="AN63" s="2653"/>
      <c r="AO63" s="2653"/>
      <c r="AP63" s="2653"/>
      <c r="AQ63" s="2653"/>
      <c r="AR63" s="2653"/>
    </row>
    <row r="64" spans="1:44" s="793" customFormat="1">
      <c r="A64" s="2646"/>
      <c r="B64" s="2653"/>
      <c r="C64" s="2653"/>
      <c r="D64" s="2657"/>
      <c r="E64" s="2653"/>
      <c r="F64" s="2653"/>
      <c r="G64" s="2653"/>
      <c r="H64" s="2653"/>
      <c r="I64" s="2653"/>
      <c r="J64" s="2653"/>
      <c r="K64" s="2654"/>
      <c r="L64" s="2654"/>
      <c r="M64" s="2653"/>
      <c r="N64" s="2653"/>
      <c r="O64" s="2653"/>
      <c r="P64" s="2653"/>
      <c r="Q64" s="2653"/>
      <c r="R64" s="2653"/>
      <c r="S64" s="2653"/>
      <c r="T64" s="2653"/>
      <c r="U64" s="2653"/>
      <c r="V64" s="2653"/>
      <c r="W64" s="2653"/>
      <c r="X64" s="2653"/>
      <c r="Y64" s="2653"/>
      <c r="Z64" s="2653"/>
      <c r="AA64" s="2653"/>
      <c r="AB64" s="2653"/>
      <c r="AC64" s="2653"/>
      <c r="AD64" s="2653"/>
      <c r="AE64" s="2653"/>
      <c r="AF64" s="2653"/>
      <c r="AG64" s="2653"/>
      <c r="AH64" s="2653"/>
      <c r="AI64" s="2653"/>
      <c r="AJ64" s="2653"/>
      <c r="AK64" s="2653"/>
      <c r="AL64" s="2653"/>
      <c r="AM64" s="2653"/>
      <c r="AN64" s="2653"/>
      <c r="AO64" s="2653"/>
      <c r="AP64" s="2653"/>
      <c r="AQ64" s="2653"/>
      <c r="AR64" s="2653"/>
    </row>
    <row r="65" spans="1:44" s="793" customFormat="1">
      <c r="A65" s="2646"/>
      <c r="B65" s="2653"/>
      <c r="C65" s="2653"/>
      <c r="D65" s="2657"/>
      <c r="E65" s="2653"/>
      <c r="F65" s="2653"/>
      <c r="G65" s="2653"/>
      <c r="H65" s="2653"/>
      <c r="I65" s="2653"/>
      <c r="J65" s="2653"/>
      <c r="K65" s="2654"/>
      <c r="L65" s="2654"/>
      <c r="M65" s="2653"/>
      <c r="N65" s="2653"/>
      <c r="O65" s="2653"/>
      <c r="P65" s="2653"/>
      <c r="Q65" s="2653"/>
      <c r="R65" s="2653"/>
      <c r="S65" s="2653"/>
      <c r="T65" s="2653"/>
      <c r="U65" s="2653"/>
      <c r="V65" s="2653"/>
      <c r="W65" s="2653"/>
      <c r="X65" s="2653"/>
      <c r="Y65" s="2653"/>
      <c r="Z65" s="2653"/>
      <c r="AA65" s="2653"/>
      <c r="AB65" s="2653"/>
      <c r="AC65" s="2653"/>
      <c r="AD65" s="2653"/>
      <c r="AE65" s="2653"/>
      <c r="AF65" s="2653"/>
      <c r="AG65" s="2653"/>
      <c r="AH65" s="2653"/>
      <c r="AI65" s="2653"/>
      <c r="AJ65" s="2653"/>
      <c r="AK65" s="2653"/>
      <c r="AL65" s="2653"/>
      <c r="AM65" s="2653"/>
      <c r="AN65" s="2653"/>
      <c r="AO65" s="2653"/>
      <c r="AP65" s="2653"/>
      <c r="AQ65" s="2653"/>
      <c r="AR65" s="2653"/>
    </row>
    <row r="66" spans="1:44" s="793" customFormat="1">
      <c r="A66" s="2646"/>
      <c r="B66" s="2653"/>
      <c r="C66" s="2653"/>
      <c r="D66" s="2657"/>
      <c r="E66" s="2653"/>
      <c r="F66" s="2653"/>
      <c r="G66" s="2653"/>
      <c r="H66" s="2653"/>
      <c r="I66" s="2653"/>
      <c r="J66" s="2653"/>
      <c r="K66" s="2654"/>
      <c r="L66" s="2654"/>
      <c r="M66" s="2653"/>
      <c r="N66" s="2653"/>
      <c r="O66" s="2653"/>
      <c r="P66" s="2653"/>
      <c r="Q66" s="2653"/>
      <c r="R66" s="2653"/>
      <c r="S66" s="2653"/>
      <c r="T66" s="2653"/>
      <c r="U66" s="2653"/>
      <c r="V66" s="2653"/>
      <c r="W66" s="2653"/>
      <c r="X66" s="2653"/>
      <c r="Y66" s="2653"/>
      <c r="Z66" s="2653"/>
      <c r="AA66" s="2653"/>
      <c r="AB66" s="2653"/>
      <c r="AC66" s="2653"/>
      <c r="AD66" s="2653"/>
      <c r="AE66" s="2653"/>
      <c r="AF66" s="2653"/>
      <c r="AG66" s="2653"/>
      <c r="AH66" s="2653"/>
      <c r="AI66" s="2653"/>
      <c r="AJ66" s="2653"/>
      <c r="AK66" s="2653"/>
      <c r="AL66" s="2653"/>
      <c r="AM66" s="2653"/>
      <c r="AN66" s="2653"/>
      <c r="AO66" s="2653"/>
      <c r="AP66" s="2653"/>
      <c r="AQ66" s="2653"/>
      <c r="AR66" s="2653"/>
    </row>
    <row r="67" spans="1:44" s="793" customFormat="1">
      <c r="A67" s="2646"/>
      <c r="B67" s="2653"/>
      <c r="C67" s="2653"/>
      <c r="D67" s="2657"/>
      <c r="E67" s="2653"/>
      <c r="F67" s="2653"/>
      <c r="G67" s="2653"/>
      <c r="H67" s="2653"/>
      <c r="I67" s="2653"/>
      <c r="J67" s="2653"/>
      <c r="K67" s="2654"/>
      <c r="L67" s="2654"/>
      <c r="M67" s="2653"/>
      <c r="N67" s="2653"/>
      <c r="O67" s="2653"/>
      <c r="P67" s="2653"/>
      <c r="Q67" s="2653"/>
      <c r="R67" s="2653"/>
      <c r="S67" s="2653"/>
      <c r="T67" s="2653"/>
      <c r="U67" s="2653"/>
      <c r="V67" s="2653"/>
      <c r="W67" s="2653"/>
      <c r="X67" s="2653"/>
      <c r="Y67" s="2653"/>
      <c r="Z67" s="2653"/>
      <c r="AA67" s="2653"/>
      <c r="AB67" s="2653"/>
      <c r="AC67" s="2653"/>
      <c r="AD67" s="2653"/>
      <c r="AE67" s="2653"/>
      <c r="AF67" s="2653"/>
      <c r="AG67" s="2653"/>
      <c r="AH67" s="2653"/>
      <c r="AI67" s="2653"/>
      <c r="AJ67" s="2653"/>
      <c r="AK67" s="2653"/>
      <c r="AL67" s="2653"/>
      <c r="AM67" s="2653"/>
      <c r="AN67" s="2653"/>
      <c r="AO67" s="2653"/>
      <c r="AP67" s="2653"/>
      <c r="AQ67" s="2653"/>
      <c r="AR67" s="2653"/>
    </row>
    <row r="68" spans="1:44" s="793" customFormat="1">
      <c r="A68" s="2646"/>
      <c r="B68" s="2653"/>
      <c r="C68" s="2653"/>
      <c r="D68" s="2657"/>
      <c r="E68" s="2653"/>
      <c r="F68" s="2653"/>
      <c r="G68" s="2653"/>
      <c r="H68" s="2653"/>
      <c r="I68" s="2653"/>
      <c r="J68" s="2653"/>
      <c r="K68" s="2654"/>
      <c r="L68" s="2654"/>
      <c r="M68" s="2653"/>
      <c r="N68" s="2653"/>
      <c r="O68" s="2653"/>
      <c r="P68" s="2653"/>
      <c r="Q68" s="2653"/>
      <c r="R68" s="2653"/>
      <c r="S68" s="2653"/>
      <c r="T68" s="2653"/>
      <c r="U68" s="2653"/>
      <c r="V68" s="2653"/>
      <c r="W68" s="2653"/>
      <c r="X68" s="2653"/>
      <c r="Y68" s="2653"/>
      <c r="Z68" s="2653"/>
      <c r="AA68" s="2653"/>
      <c r="AB68" s="2653"/>
      <c r="AC68" s="2653"/>
      <c r="AD68" s="2653"/>
      <c r="AE68" s="2653"/>
      <c r="AF68" s="2653"/>
      <c r="AG68" s="2653"/>
      <c r="AH68" s="2653"/>
      <c r="AI68" s="2653"/>
      <c r="AJ68" s="2653"/>
      <c r="AK68" s="2653"/>
      <c r="AL68" s="2653"/>
      <c r="AM68" s="2653"/>
      <c r="AN68" s="2653"/>
      <c r="AO68" s="2653"/>
      <c r="AP68" s="2653"/>
      <c r="AQ68" s="2653"/>
      <c r="AR68" s="2653"/>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25" t="s">
        <v>2285</v>
      </c>
      <c r="B1" s="3626"/>
      <c r="C1" s="3626"/>
      <c r="D1" s="3626"/>
      <c r="E1" s="3626"/>
      <c r="F1" s="3626"/>
      <c r="G1" s="362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2" sqref="F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68"/>
      <c r="D1" s="2668"/>
      <c r="E1" s="2668"/>
      <c r="F1" s="2668"/>
      <c r="G1" s="2669"/>
      <c r="H1" s="2670"/>
      <c r="I1" s="2670"/>
      <c r="J1" s="2670"/>
      <c r="K1" s="2670"/>
    </row>
    <row r="2" spans="1:11" ht="16.5">
      <c r="A2" s="2512" t="s">
        <v>653</v>
      </c>
      <c r="B2" s="2512">
        <f>SUM(C14:C23)</f>
        <v>0</v>
      </c>
      <c r="C2" s="2668"/>
      <c r="D2" s="2668"/>
      <c r="E2" s="2668"/>
      <c r="F2" s="2668"/>
      <c r="G2" s="2669"/>
      <c r="H2" s="2670"/>
      <c r="I2" s="2670"/>
      <c r="J2" s="2670"/>
      <c r="K2" s="2670"/>
    </row>
    <row r="3" spans="1:11" ht="16.5">
      <c r="A3" s="2512" t="s">
        <v>662</v>
      </c>
      <c r="B3" s="2514">
        <f>项目基本情况!D3</f>
        <v>45009</v>
      </c>
      <c r="C3" s="2668"/>
      <c r="D3" s="2668"/>
      <c r="E3" s="2668"/>
      <c r="F3" s="2668"/>
      <c r="G3" s="2669"/>
      <c r="H3" s="2670"/>
      <c r="I3" s="2670"/>
      <c r="J3" s="2670"/>
      <c r="K3" s="2670"/>
    </row>
    <row r="4" spans="1:11" ht="33">
      <c r="A4" s="2512" t="s">
        <v>661</v>
      </c>
      <c r="B4" s="2512" t="s">
        <v>660</v>
      </c>
      <c r="C4" s="2512" t="s">
        <v>659</v>
      </c>
      <c r="D4" s="2512" t="s">
        <v>658</v>
      </c>
      <c r="E4" s="2668"/>
      <c r="F4" s="2669"/>
      <c r="G4" s="2669"/>
      <c r="H4" s="2670"/>
      <c r="I4" s="2670"/>
      <c r="J4" s="2670"/>
      <c r="K4" s="2670"/>
    </row>
    <row r="5" spans="1:11" ht="16.5">
      <c r="A5" s="2512" t="s">
        <v>657</v>
      </c>
      <c r="B5" s="2512">
        <f>SUM(D14:D23)</f>
        <v>0</v>
      </c>
      <c r="C5" s="2512">
        <f ca="1">IF(B5=D14,结果表!H102,ROUND(B5*10000/$B$1,0))</f>
        <v>56199</v>
      </c>
      <c r="D5" s="2512" t="e">
        <f>ROUND(B5*10000/$B$2,0)</f>
        <v>#DIV/0!</v>
      </c>
      <c r="E5" s="2668"/>
      <c r="F5" s="2669"/>
      <c r="G5" s="2669"/>
      <c r="H5" s="2670"/>
      <c r="I5" s="2670"/>
      <c r="J5" s="2670"/>
      <c r="K5" s="2670"/>
    </row>
    <row r="6" spans="1:11" ht="16.5">
      <c r="A6" s="2512" t="s">
        <v>656</v>
      </c>
      <c r="B6" s="2512">
        <f>SUM(G14:G23)</f>
        <v>0</v>
      </c>
      <c r="C6" s="2512">
        <f ca="1">IF(B6=G14,结果表!H108,ROUND(B6*10000/$B$1,0))</f>
        <v>56199</v>
      </c>
      <c r="D6" s="2512" t="e">
        <f>ROUND(B6*10000/$B$2,0)</f>
        <v>#DIV/0!</v>
      </c>
      <c r="E6" s="2668"/>
      <c r="F6" s="2669"/>
      <c r="G6" s="2669"/>
      <c r="H6" s="2670"/>
      <c r="I6" s="2670"/>
      <c r="J6" s="2670"/>
      <c r="K6" s="2670"/>
    </row>
    <row r="7" spans="1:11" ht="16.5">
      <c r="A7" s="2512" t="s">
        <v>664</v>
      </c>
      <c r="B7" s="2512">
        <f>SUM(H14:H23)</f>
        <v>0</v>
      </c>
      <c r="C7" s="2512" t="str">
        <f>IF(B7=H14,结果表!H110,ROUND(B7*10000/$B$1,0))</f>
        <v>——</v>
      </c>
      <c r="D7" s="2512" t="e">
        <f>ROUND(B7*10000/$B$2,0)</f>
        <v>#DIV/0!</v>
      </c>
      <c r="E7" s="2668"/>
      <c r="F7" s="2669"/>
      <c r="G7" s="2669"/>
      <c r="H7" s="2670"/>
      <c r="I7" s="2670"/>
      <c r="J7" s="2670"/>
      <c r="K7" s="2670"/>
    </row>
    <row r="8" spans="1:11" ht="16.5">
      <c r="A8" s="2512" t="s">
        <v>587</v>
      </c>
      <c r="B8" s="2512">
        <f>SUM(I14:I23)</f>
        <v>0</v>
      </c>
      <c r="C8" s="2512">
        <f ca="1">IF(B8=I14,结果表!H112,ROUND(B8*10000/$B$1,0))</f>
        <v>49796</v>
      </c>
      <c r="D8" s="2512" t="e">
        <f>ROUND(B8*10000/$B$2,0)</f>
        <v>#DIV/0!</v>
      </c>
      <c r="E8" s="2668"/>
      <c r="F8" s="2669"/>
      <c r="G8" s="2669"/>
      <c r="H8" s="2670"/>
      <c r="I8" s="2670"/>
      <c r="J8" s="2670"/>
      <c r="K8" s="2670"/>
    </row>
    <row r="9" spans="1:11" ht="16.5">
      <c r="A9" s="2512" t="s">
        <v>655</v>
      </c>
      <c r="B9" s="2520"/>
      <c r="C9" s="2668"/>
      <c r="D9" s="2668"/>
      <c r="E9" s="2668"/>
      <c r="F9" s="2669"/>
      <c r="G9" s="2669"/>
      <c r="H9" s="2670"/>
      <c r="I9" s="2670"/>
      <c r="J9" s="2670"/>
      <c r="K9" s="2670"/>
    </row>
    <row r="10" spans="1:11" ht="16.5">
      <c r="A10" s="2512" t="s">
        <v>654</v>
      </c>
      <c r="B10" s="2512">
        <f>IF(E10="",0,ROUND(B1*(E10*365/G10)/10000,0))</f>
        <v>0</v>
      </c>
      <c r="C10" s="2512" t="s">
        <v>3362</v>
      </c>
      <c r="D10" s="2512" t="s">
        <v>3363</v>
      </c>
      <c r="E10" s="3423"/>
      <c r="F10" s="3427" t="s">
        <v>3364</v>
      </c>
      <c r="G10" s="3424"/>
      <c r="H10" s="2670"/>
      <c r="I10" s="2670"/>
      <c r="J10" s="2670"/>
      <c r="K10" s="2670"/>
    </row>
    <row r="11" spans="1:11" ht="16.5">
      <c r="A11" s="2512" t="s">
        <v>670</v>
      </c>
      <c r="B11" s="2520"/>
      <c r="C11" s="2668"/>
      <c r="D11" s="2668"/>
      <c r="E11" s="2668"/>
      <c r="F11" s="2669"/>
      <c r="G11" s="2669"/>
      <c r="H11" s="2670"/>
      <c r="I11" s="2670"/>
      <c r="J11" s="2670"/>
      <c r="K11" s="2670"/>
    </row>
    <row r="12" spans="1:11" ht="16.5">
      <c r="A12" s="2668"/>
      <c r="B12" s="2668"/>
      <c r="C12" s="2668"/>
      <c r="D12" s="2668"/>
      <c r="E12" s="2668"/>
      <c r="F12" s="2669"/>
      <c r="G12" s="2669"/>
      <c r="H12" s="2670"/>
      <c r="I12" s="2670"/>
      <c r="J12" s="2670"/>
      <c r="K12" s="2670"/>
    </row>
    <row r="13" spans="1:11" ht="33">
      <c r="A13" s="2515" t="s">
        <v>669</v>
      </c>
      <c r="B13" s="2516" t="s">
        <v>666</v>
      </c>
      <c r="C13" s="2516" t="s">
        <v>668</v>
      </c>
      <c r="D13" s="2516" t="s">
        <v>667</v>
      </c>
      <c r="E13" s="2512" t="s">
        <v>659</v>
      </c>
      <c r="F13" s="2512" t="s">
        <v>658</v>
      </c>
      <c r="G13" s="2516" t="s">
        <v>652</v>
      </c>
      <c r="H13" s="2516" t="s">
        <v>663</v>
      </c>
      <c r="I13" s="2516" t="s">
        <v>651</v>
      </c>
      <c r="J13" s="2669"/>
      <c r="K13" s="2670"/>
    </row>
    <row r="14" spans="1:11" ht="16.5">
      <c r="A14" s="2517" t="s">
        <v>650</v>
      </c>
      <c r="B14" s="2518"/>
      <c r="C14" s="2518"/>
      <c r="D14" s="2518"/>
      <c r="E14" s="2518" t="e">
        <f>ROUND(D14*10000/B14,0)</f>
        <v>#DIV/0!</v>
      </c>
      <c r="F14" s="2518" t="e">
        <f>ROUND(D14*10000/C14,0)</f>
        <v>#DIV/0!</v>
      </c>
      <c r="G14" s="2518"/>
      <c r="H14" s="2518"/>
      <c r="I14" s="2518"/>
      <c r="J14" s="2669"/>
      <c r="K14" s="2670"/>
    </row>
    <row r="15" spans="1:11" ht="16.5">
      <c r="A15" s="2517" t="s">
        <v>649</v>
      </c>
      <c r="B15" s="2519"/>
      <c r="C15" s="2519"/>
      <c r="D15" s="2519"/>
      <c r="E15" s="2518" t="e">
        <f t="shared" ref="E15:E23" si="0">ROUND(D15*10000/B15,0)</f>
        <v>#DIV/0!</v>
      </c>
      <c r="F15" s="2518" t="e">
        <f t="shared" ref="F15:F23" si="1">ROUND(D15*10000/C15,0)</f>
        <v>#DIV/0!</v>
      </c>
      <c r="G15" s="1331"/>
      <c r="H15" s="1331"/>
      <c r="I15" s="2519"/>
      <c r="J15" s="2669"/>
      <c r="K15" s="2670"/>
    </row>
    <row r="16" spans="1:11" ht="16.5">
      <c r="A16" s="2517" t="s">
        <v>648</v>
      </c>
      <c r="B16" s="2519"/>
      <c r="C16" s="2519"/>
      <c r="D16" s="2519"/>
      <c r="E16" s="2518" t="e">
        <f t="shared" si="0"/>
        <v>#DIV/0!</v>
      </c>
      <c r="F16" s="2518" t="e">
        <f t="shared" si="1"/>
        <v>#DIV/0!</v>
      </c>
      <c r="G16" s="1331"/>
      <c r="H16" s="1331"/>
      <c r="I16" s="2519"/>
      <c r="J16" s="2670"/>
      <c r="K16" s="2670"/>
    </row>
    <row r="17" spans="1:11" ht="16.5">
      <c r="A17" s="2517" t="s">
        <v>647</v>
      </c>
      <c r="B17" s="2519"/>
      <c r="C17" s="2519"/>
      <c r="D17" s="2519"/>
      <c r="E17" s="2518" t="e">
        <f t="shared" si="0"/>
        <v>#DIV/0!</v>
      </c>
      <c r="F17" s="2518" t="e">
        <f t="shared" si="1"/>
        <v>#DIV/0!</v>
      </c>
      <c r="G17" s="1331"/>
      <c r="H17" s="1331"/>
      <c r="I17" s="2519"/>
      <c r="J17" s="2670"/>
      <c r="K17" s="2670"/>
    </row>
    <row r="18" spans="1:11" ht="16.5">
      <c r="A18" s="2517" t="s">
        <v>646</v>
      </c>
      <c r="B18" s="2519"/>
      <c r="C18" s="2519"/>
      <c r="D18" s="2519"/>
      <c r="E18" s="2518" t="e">
        <f t="shared" si="0"/>
        <v>#DIV/0!</v>
      </c>
      <c r="F18" s="2518" t="e">
        <f t="shared" si="1"/>
        <v>#DIV/0!</v>
      </c>
      <c r="G18" s="2519"/>
      <c r="H18" s="2519"/>
      <c r="I18" s="2519"/>
      <c r="J18" s="2670"/>
      <c r="K18" s="2670"/>
    </row>
    <row r="19" spans="1:11" ht="16.5">
      <c r="A19" s="2517" t="s">
        <v>645</v>
      </c>
      <c r="B19" s="2519"/>
      <c r="C19" s="2519"/>
      <c r="D19" s="2519"/>
      <c r="E19" s="2518" t="e">
        <f t="shared" si="0"/>
        <v>#DIV/0!</v>
      </c>
      <c r="F19" s="2518" t="e">
        <f t="shared" si="1"/>
        <v>#DIV/0!</v>
      </c>
      <c r="G19" s="2519"/>
      <c r="H19" s="2519"/>
      <c r="I19" s="2519"/>
      <c r="J19" s="2670"/>
      <c r="K19" s="2670"/>
    </row>
    <row r="20" spans="1:11" ht="16.5">
      <c r="A20" s="2517" t="s">
        <v>644</v>
      </c>
      <c r="B20" s="2519"/>
      <c r="C20" s="2519"/>
      <c r="D20" s="2519"/>
      <c r="E20" s="2518" t="e">
        <f t="shared" si="0"/>
        <v>#DIV/0!</v>
      </c>
      <c r="F20" s="2518" t="e">
        <f t="shared" si="1"/>
        <v>#DIV/0!</v>
      </c>
      <c r="G20" s="2519"/>
      <c r="H20" s="2519"/>
      <c r="I20" s="2519"/>
      <c r="J20" s="2670"/>
      <c r="K20" s="2670"/>
    </row>
    <row r="21" spans="1:11" ht="16.5">
      <c r="A21" s="2517" t="s">
        <v>643</v>
      </c>
      <c r="B21" s="2519"/>
      <c r="C21" s="2519"/>
      <c r="D21" s="2519"/>
      <c r="E21" s="2518" t="e">
        <f t="shared" si="0"/>
        <v>#DIV/0!</v>
      </c>
      <c r="F21" s="2518" t="e">
        <f t="shared" si="1"/>
        <v>#DIV/0!</v>
      </c>
      <c r="G21" s="2519"/>
      <c r="H21" s="2519"/>
      <c r="I21" s="2519"/>
      <c r="J21" s="2670"/>
      <c r="K21" s="2670"/>
    </row>
    <row r="22" spans="1:11" ht="16.5">
      <c r="A22" s="2517" t="s">
        <v>642</v>
      </c>
      <c r="B22" s="2519"/>
      <c r="C22" s="2519"/>
      <c r="D22" s="2519"/>
      <c r="E22" s="2518" t="e">
        <f t="shared" si="0"/>
        <v>#DIV/0!</v>
      </c>
      <c r="F22" s="2518" t="e">
        <f t="shared" si="1"/>
        <v>#DIV/0!</v>
      </c>
      <c r="G22" s="2519"/>
      <c r="H22" s="2519"/>
      <c r="I22" s="2519"/>
      <c r="J22" s="2670"/>
      <c r="K22" s="2670"/>
    </row>
    <row r="23" spans="1:11" ht="16.5">
      <c r="A23" s="2517" t="s">
        <v>641</v>
      </c>
      <c r="B23" s="2519"/>
      <c r="C23" s="2519"/>
      <c r="D23" s="2519"/>
      <c r="E23" s="2520" t="e">
        <f t="shared" si="0"/>
        <v>#DIV/0!</v>
      </c>
      <c r="F23" s="2520" t="e">
        <f t="shared" si="1"/>
        <v>#DIV/0!</v>
      </c>
      <c r="G23" s="2519"/>
      <c r="H23" s="2519"/>
      <c r="I23" s="2519"/>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77" zoomScale="85" zoomScaleNormal="100" zoomScaleSheetLayoutView="85" zoomScalePageLayoutView="80" workbookViewId="0">
      <selection activeCell="D98" sqref="D9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93" t="str">
        <f>项目基本情况!S2</f>
        <v>北京市房地产</v>
      </c>
      <c r="B2" s="3694"/>
      <c r="C2" s="3694"/>
      <c r="D2" s="3694"/>
      <c r="E2" s="3694"/>
      <c r="F2" s="3694"/>
      <c r="G2" s="3694"/>
      <c r="H2" s="3694"/>
      <c r="I2" s="3695"/>
    </row>
    <row r="3" spans="1:12" ht="12.75">
      <c r="A3" s="3697" t="s">
        <v>1264</v>
      </c>
      <c r="B3" s="3698"/>
      <c r="C3" s="3698"/>
      <c r="D3" s="3698"/>
      <c r="E3" s="3698"/>
      <c r="F3" s="3698"/>
      <c r="G3" s="3698"/>
      <c r="H3" s="3698"/>
      <c r="I3" s="3698"/>
    </row>
    <row r="4" spans="1:12" ht="14.25">
      <c r="A4" s="1754" t="s">
        <v>1265</v>
      </c>
      <c r="B4" s="1755" t="s">
        <v>1266</v>
      </c>
      <c r="C4" s="1756" t="s">
        <v>3907</v>
      </c>
      <c r="D4" s="1756" t="s">
        <v>3392</v>
      </c>
      <c r="E4" s="3702" t="s">
        <v>1267</v>
      </c>
      <c r="F4" s="3703"/>
      <c r="G4" s="3703"/>
      <c r="H4" s="3703"/>
      <c r="I4" s="370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41" t="s">
        <v>1268</v>
      </c>
      <c r="B5" s="3696">
        <v>25</v>
      </c>
      <c r="C5" s="3699"/>
      <c r="D5" s="3687"/>
      <c r="E5" s="131" t="s">
        <v>1269</v>
      </c>
      <c r="F5" s="1757"/>
      <c r="G5" s="1757"/>
      <c r="H5" s="1757"/>
      <c r="I5" s="1373"/>
    </row>
    <row r="6" spans="1:12" ht="12.75">
      <c r="A6" s="3641"/>
      <c r="B6" s="3696"/>
      <c r="C6" s="3701"/>
      <c r="D6" s="3687"/>
      <c r="E6" s="131" t="s">
        <v>1270</v>
      </c>
      <c r="F6" s="1757"/>
      <c r="G6" s="1757"/>
      <c r="H6" s="1757"/>
      <c r="I6" s="1373"/>
    </row>
    <row r="7" spans="1:12" ht="12.75">
      <c r="A7" s="3641"/>
      <c r="B7" s="3696"/>
      <c r="C7" s="3700"/>
      <c r="D7" s="3687"/>
      <c r="E7" s="131" t="s">
        <v>1271</v>
      </c>
      <c r="F7" s="1757"/>
      <c r="G7" s="1757"/>
      <c r="H7" s="1757"/>
      <c r="I7" s="1373"/>
    </row>
    <row r="8" spans="1:12" ht="12.75">
      <c r="A8" s="3641" t="s">
        <v>1272</v>
      </c>
      <c r="B8" s="3696">
        <v>15</v>
      </c>
      <c r="C8" s="3699"/>
      <c r="D8" s="3687"/>
      <c r="E8" s="131" t="s">
        <v>1273</v>
      </c>
      <c r="F8" s="1757"/>
      <c r="G8" s="1757"/>
      <c r="H8" s="1757"/>
      <c r="I8" s="1373"/>
    </row>
    <row r="9" spans="1:12" ht="12.75">
      <c r="A9" s="3641"/>
      <c r="B9" s="3696"/>
      <c r="C9" s="3700"/>
      <c r="D9" s="3687"/>
      <c r="E9" s="131" t="s">
        <v>1274</v>
      </c>
      <c r="F9" s="1757"/>
      <c r="G9" s="1757"/>
      <c r="H9" s="1757"/>
      <c r="I9" s="1373"/>
    </row>
    <row r="10" spans="1:12" ht="12.75">
      <c r="A10" s="3641" t="s">
        <v>1275</v>
      </c>
      <c r="B10" s="3696">
        <v>15</v>
      </c>
      <c r="C10" s="3699"/>
      <c r="D10" s="3687"/>
      <c r="E10" s="131" t="s">
        <v>1276</v>
      </c>
      <c r="F10" s="1757"/>
      <c r="G10" s="1757"/>
      <c r="H10" s="1757"/>
      <c r="I10" s="1373"/>
    </row>
    <row r="11" spans="1:12" ht="12.75">
      <c r="A11" s="3641"/>
      <c r="B11" s="3696"/>
      <c r="C11" s="3700"/>
      <c r="D11" s="3687"/>
      <c r="E11" s="131" t="s">
        <v>1277</v>
      </c>
      <c r="F11" s="1757"/>
      <c r="G11" s="1757"/>
      <c r="H11" s="1757"/>
      <c r="I11" s="1373"/>
    </row>
    <row r="12" spans="1:12" ht="12.75">
      <c r="A12" s="3641" t="s">
        <v>1278</v>
      </c>
      <c r="B12" s="3696">
        <v>15</v>
      </c>
      <c r="C12" s="3699"/>
      <c r="D12" s="3687"/>
      <c r="E12" s="131" t="s">
        <v>1279</v>
      </c>
      <c r="F12" s="1757"/>
      <c r="G12" s="1757"/>
      <c r="H12" s="1757"/>
      <c r="I12" s="1373"/>
    </row>
    <row r="13" spans="1:12" ht="12.75">
      <c r="A13" s="3641"/>
      <c r="B13" s="3696"/>
      <c r="C13" s="3700"/>
      <c r="D13" s="3687"/>
      <c r="E13" s="131" t="s">
        <v>1280</v>
      </c>
      <c r="F13" s="1757"/>
      <c r="G13" s="1757"/>
      <c r="H13" s="1757"/>
      <c r="I13" s="1373"/>
    </row>
    <row r="14" spans="1:12" ht="12.75">
      <c r="A14" s="3641" t="s">
        <v>1281</v>
      </c>
      <c r="B14" s="3696">
        <v>30</v>
      </c>
      <c r="C14" s="3699">
        <v>4</v>
      </c>
      <c r="D14" s="3687">
        <v>6</v>
      </c>
      <c r="E14" s="131" t="s">
        <v>1282</v>
      </c>
      <c r="F14" s="1757"/>
      <c r="G14" s="1757"/>
      <c r="H14" s="1757"/>
      <c r="I14" s="1373"/>
    </row>
    <row r="15" spans="1:12" ht="12.75">
      <c r="A15" s="3641"/>
      <c r="B15" s="3696"/>
      <c r="C15" s="3701"/>
      <c r="D15" s="3687"/>
      <c r="E15" s="131" t="s">
        <v>1283</v>
      </c>
      <c r="F15" s="1757"/>
      <c r="G15" s="1757"/>
      <c r="H15" s="1757"/>
      <c r="I15" s="1373"/>
    </row>
    <row r="16" spans="1:12" ht="12.75">
      <c r="A16" s="3641"/>
      <c r="B16" s="3696"/>
      <c r="C16" s="3700"/>
      <c r="D16" s="3687"/>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718" t="s">
        <v>2130</v>
      </c>
      <c r="F18" s="3719"/>
      <c r="G18" s="3719"/>
      <c r="H18" s="3719"/>
      <c r="I18" s="3719"/>
      <c r="K18" s="302" t="s">
        <v>1289</v>
      </c>
      <c r="L18" s="302">
        <f>IF(C1="",'数据-汇总表'!E3,SUMIF(项目类型,C1,'数据-汇总表'!E17:E26)+SUMIF(项目类型,C1,'数据-汇总表'!I17:I26))</f>
        <v>27298.22</v>
      </c>
      <c r="M18" s="302">
        <f>IF(C1="",'数据-汇总表'!E3,SUMIF(项目类型,C1,'数据-汇总表'!E17:E26))</f>
        <v>27298.22</v>
      </c>
    </row>
    <row r="19" spans="1:36" ht="15">
      <c r="A19" s="1761" t="s">
        <v>1290</v>
      </c>
      <c r="B19" s="1762" t="s">
        <v>1291</v>
      </c>
      <c r="C19" s="134">
        <f ca="1">SUMIF(INDIRECT("'"&amp;C4&amp;"'"&amp;"!A:A"),结果表!B19,INDIRECT("'"&amp;C4&amp;"'"&amp;"!B:B"))</f>
        <v>181099</v>
      </c>
      <c r="D19" s="135">
        <f ca="1">SUMIF(INDIRECT("'"&amp;D4&amp;"'"&amp;"!A:A"),结果表!B19,INDIRECT("'"&amp;D4&amp;"'"&amp;"!B:B"))</f>
        <v>134957</v>
      </c>
      <c r="E19" s="1761" t="s">
        <v>1292</v>
      </c>
      <c r="F19" s="1762" t="s">
        <v>1291</v>
      </c>
      <c r="G19" s="136">
        <f ca="1">ROUND(C19*$C$18+D19*$D$18,0)</f>
        <v>153414</v>
      </c>
      <c r="H19" s="1763" t="s">
        <v>1293</v>
      </c>
      <c r="I19" s="129"/>
      <c r="K19" s="302" t="s">
        <v>1294</v>
      </c>
      <c r="L19" s="302">
        <f>IF(C1="",'数据-汇总表'!D3,SUMIF(项目类型,C1,'数据-汇总表'!D17:D26)+SUMIF(项目类型,C1,'数据-汇总表'!H17:H27))</f>
        <v>6123.19</v>
      </c>
      <c r="M19" s="302">
        <f>IF(C1="",'数据-汇总表'!D3,SUMIF(项目类型,C1,'数据-汇总表'!D17:D26))</f>
        <v>6123.19</v>
      </c>
    </row>
    <row r="20" spans="1:36" ht="15">
      <c r="A20" s="1764"/>
      <c r="B20" s="1026" t="s">
        <v>1295</v>
      </c>
      <c r="C20" s="137">
        <f ca="1">ROUND(C19/'数据-汇总表'!E31*10000,0)</f>
        <v>66341</v>
      </c>
      <c r="D20" s="138">
        <f ca="1">SUMIF(INDIRECT("'"&amp;D4&amp;"'"&amp;"!A:A"),结果表!B20,INDIRECT("'"&amp;D4&amp;"'"&amp;"!B:B"))</f>
        <v>49438</v>
      </c>
      <c r="E20" s="1764"/>
      <c r="F20" s="1026" t="s">
        <v>1295</v>
      </c>
      <c r="G20" s="139">
        <f ca="1">ROUND(C20*$C$18+D20*$D$18,0)</f>
        <v>56199</v>
      </c>
      <c r="H20" s="808" t="s">
        <v>1296</v>
      </c>
      <c r="I20" s="129"/>
    </row>
    <row r="21" spans="1:36" ht="15" customHeight="1" thickBot="1">
      <c r="A21" s="828"/>
      <c r="B21" s="1765" t="s">
        <v>1297</v>
      </c>
      <c r="C21" s="719">
        <f ca="1">ROUND(C19*10000/L19,0)</f>
        <v>295759</v>
      </c>
      <c r="D21" s="720">
        <f ca="1">ROUND(D19*10000/L19,0)</f>
        <v>220403</v>
      </c>
      <c r="E21" s="828"/>
      <c r="F21" s="1765" t="s">
        <v>1297</v>
      </c>
      <c r="G21" s="140">
        <f ca="1">ROUND(G19*10000/L19,0)</f>
        <v>250546</v>
      </c>
      <c r="H21" s="1766" t="s">
        <v>1296</v>
      </c>
      <c r="I21" s="129"/>
    </row>
    <row r="22" spans="1:36" ht="15" thickBot="1">
      <c r="A22" s="1688" t="s">
        <v>1298</v>
      </c>
      <c r="B22" s="1767"/>
      <c r="C22" s="1768"/>
      <c r="D22" s="721">
        <f ca="1">IF(C19&lt;D19,D19/C19-1,C19/D19-1)</f>
        <v>0.34190149455011598</v>
      </c>
      <c r="E22" s="129"/>
      <c r="F22" s="129"/>
      <c r="G22" s="129"/>
      <c r="H22" s="129"/>
      <c r="I22" s="129"/>
      <c r="L22" s="725">
        <v>0.6</v>
      </c>
      <c r="M22" s="725">
        <v>0.4</v>
      </c>
    </row>
    <row r="23" spans="1:36" ht="13.5" thickBot="1">
      <c r="A23" s="1747"/>
      <c r="B23" s="1747"/>
      <c r="C23" s="1747"/>
      <c r="D23" s="1747"/>
      <c r="E23" s="129"/>
      <c r="F23" s="129"/>
      <c r="G23" s="129"/>
      <c r="H23" s="129"/>
      <c r="I23" s="129"/>
      <c r="L23" s="725">
        <f ca="1">(160000-M23)/L22</f>
        <v>176695.33333333334</v>
      </c>
      <c r="M23" s="725">
        <f ca="1">D19*M22</f>
        <v>53982.8</v>
      </c>
    </row>
    <row r="24" spans="1:36" ht="14.25">
      <c r="A24" s="3711" t="s">
        <v>1299</v>
      </c>
      <c r="B24" s="1762" t="s">
        <v>1291</v>
      </c>
      <c r="C24" s="136">
        <f>IF(B30=0,0,D30)</f>
        <v>0</v>
      </c>
      <c r="D24" s="1769"/>
      <c r="E24" s="129"/>
      <c r="F24" s="129"/>
      <c r="G24" s="129"/>
      <c r="H24" s="129"/>
      <c r="I24" s="129"/>
    </row>
    <row r="25" spans="1:36" ht="14.25">
      <c r="A25" s="371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71"/>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153414</v>
      </c>
      <c r="D32" s="1775" t="s">
        <v>3767</v>
      </c>
      <c r="E32" s="129"/>
      <c r="F32" s="129"/>
      <c r="G32" s="129"/>
      <c r="H32" s="129"/>
      <c r="I32" s="129"/>
    </row>
    <row r="33" spans="1:15" ht="15">
      <c r="A33" s="786" t="s">
        <v>1306</v>
      </c>
      <c r="B33" s="1776"/>
      <c r="C33" s="1777" t="s">
        <v>3768</v>
      </c>
      <c r="D33" s="1778" t="s">
        <v>3392</v>
      </c>
      <c r="E33" s="1779" t="s">
        <v>1307</v>
      </c>
      <c r="F33" s="1780" t="str">
        <f>IF(D32="楼面单价","取值（单价）","取值（总价）")</f>
        <v>取值（总价）</v>
      </c>
      <c r="G33" s="129"/>
      <c r="H33" s="129"/>
      <c r="I33" s="129"/>
    </row>
    <row r="34" spans="1:15" ht="15">
      <c r="A34" s="1781"/>
      <c r="B34" s="1782" t="s">
        <v>1308</v>
      </c>
      <c r="C34" s="148">
        <f ca="1">IF(C33="自定义",F34,C32-C35)</f>
        <v>134544</v>
      </c>
      <c r="D34" s="861">
        <f ca="1">IF(C33="自定义",ROUND(C34/C32,3),IF(C33="收益比率",SUMIF(INDIRECT("'"&amp;D33&amp;"'"&amp;"!b:b"),"土地收益比率",INDIRECT("'"&amp;D33&amp;"'"&amp;"!c:c")),SUMIF(INDIRECT("'"&amp;D33&amp;"'"&amp;"!b:b"),"土地成本比率",INDIRECT("'"&amp;D33&amp;"'"&amp;"!c:c"))))</f>
        <v>0.877</v>
      </c>
      <c r="E34" s="1783" t="s">
        <v>1309</v>
      </c>
      <c r="F34" s="1330"/>
      <c r="G34" s="129"/>
      <c r="H34" s="129"/>
      <c r="I34" s="129"/>
    </row>
    <row r="35" spans="1:15" ht="15.75" thickBot="1">
      <c r="A35" s="1784"/>
      <c r="B35" s="1785" t="s">
        <v>1310</v>
      </c>
      <c r="C35" s="1170">
        <f ca="1">IF(C33="自定义",F35,ROUND(C32*D35,0))</f>
        <v>18870</v>
      </c>
      <c r="D35" s="1171">
        <f ca="1">IF(C33="自定义",ROUND(C35/C32,3),IF(C33="收益比率",SUMIF(INDIRECT("'"&amp;D33&amp;"'"&amp;"!b:b"),"建筑物收益比率",INDIRECT("'"&amp;D33&amp;"'"&amp;"!c:c")),SUMIF(INDIRECT("'"&amp;D33&amp;"'"&amp;"!b:b"),"建筑物成本比率",INDIRECT("'"&amp;D33&amp;"'"&amp;"!c:c"))))</f>
        <v>0.123</v>
      </c>
      <c r="E35" s="1786" t="s">
        <v>1311</v>
      </c>
      <c r="F35" s="154"/>
      <c r="G35" s="129"/>
      <c r="H35" s="129"/>
      <c r="I35" s="129"/>
    </row>
    <row r="36" spans="1:15" ht="15.75" thickBot="1">
      <c r="A36" s="3688" t="s">
        <v>1312</v>
      </c>
      <c r="B36" s="1787" t="s">
        <v>1313</v>
      </c>
      <c r="C36" s="145"/>
      <c r="D36" s="1788"/>
      <c r="E36" s="1789"/>
      <c r="F36" s="1790"/>
      <c r="G36" s="129"/>
      <c r="H36" s="129"/>
      <c r="I36" s="129"/>
    </row>
    <row r="37" spans="1:15" ht="15.75" thickBot="1">
      <c r="A37" s="3689"/>
      <c r="B37" s="1674" t="s">
        <v>1314</v>
      </c>
      <c r="C37" s="147"/>
      <c r="D37" s="1139"/>
      <c r="E37" s="1139"/>
      <c r="F37" s="1790"/>
      <c r="G37" s="129"/>
      <c r="H37" s="129"/>
      <c r="I37" s="129"/>
    </row>
    <row r="38" spans="1:15" ht="15.75" thickBot="1">
      <c r="A38" s="369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08" t="s">
        <v>1326</v>
      </c>
      <c r="B45" s="3709"/>
      <c r="C45" s="3710"/>
      <c r="D45" s="155">
        <f ca="1">ROUND(H101*F45,0)</f>
        <v>85912</v>
      </c>
      <c r="E45" s="156" t="s">
        <v>1327</v>
      </c>
      <c r="F45" s="157">
        <v>0.56000000000000005</v>
      </c>
      <c r="G45" s="158" t="s">
        <v>1328</v>
      </c>
      <c r="H45" s="129"/>
      <c r="I45" s="129"/>
      <c r="J45" s="3629" t="s">
        <v>1329</v>
      </c>
      <c r="K45" s="3629"/>
      <c r="L45" s="3629"/>
      <c r="M45" s="3629"/>
      <c r="N45" s="3629"/>
      <c r="O45" s="3629"/>
    </row>
    <row r="46" spans="1:15" ht="14.25" customHeight="1">
      <c r="A46" s="3705" t="s">
        <v>1330</v>
      </c>
      <c r="B46" s="3706"/>
      <c r="C46" s="3706"/>
      <c r="D46" s="3706"/>
      <c r="E46" s="3706"/>
      <c r="F46" s="3706"/>
      <c r="G46" s="3707"/>
      <c r="H46" s="1806"/>
      <c r="I46" s="159"/>
      <c r="J46" s="2523">
        <v>1</v>
      </c>
      <c r="K46" s="3630" t="s">
        <v>1331</v>
      </c>
      <c r="L46" s="3630"/>
      <c r="M46" s="3631"/>
      <c r="N46" s="3631"/>
      <c r="O46" s="3631"/>
    </row>
    <row r="47" spans="1:15" ht="12" customHeight="1">
      <c r="A47" s="160" t="s">
        <v>1332</v>
      </c>
      <c r="B47" s="161"/>
      <c r="C47" s="162"/>
      <c r="D47" s="1087" t="s">
        <v>1333</v>
      </c>
      <c r="E47" s="302" t="s">
        <v>1334</v>
      </c>
      <c r="F47" s="163" t="s">
        <v>1335</v>
      </c>
      <c r="G47" s="2528" t="s">
        <v>1336</v>
      </c>
      <c r="H47" s="2529"/>
      <c r="I47" s="159"/>
      <c r="J47" s="3433">
        <v>2</v>
      </c>
      <c r="K47" s="3630" t="s">
        <v>1337</v>
      </c>
      <c r="L47" s="3630"/>
      <c r="M47" s="3632">
        <f>'数据-取费表'!B2</f>
        <v>45009</v>
      </c>
      <c r="N47" s="3632"/>
      <c r="O47" s="3632"/>
    </row>
    <row r="48" spans="1:15" ht="25.5">
      <c r="A48" s="3691" t="s">
        <v>1338</v>
      </c>
      <c r="B48" s="3692"/>
      <c r="C48" s="3692"/>
      <c r="D48" s="2324">
        <f ca="1">IF(H48="情况1",0,IF(H48="情况2",D52,IF(H48="情况3",D53,IF(H48="情况4",D54))))</f>
        <v>4582</v>
      </c>
      <c r="E48" s="2334" t="str">
        <f>IF(H48="情况4","(销售额-原购置价)×税（费）率","销售额×税（费）率")</f>
        <v>销售额×税（费）率</v>
      </c>
      <c r="F48" s="2530">
        <f>IF(H48="情况1","免征",'数据-取费表'!B41)</f>
        <v>5.6000000000000001E-2</v>
      </c>
      <c r="G48" s="2531" t="s">
        <v>1339</v>
      </c>
      <c r="H48" s="2532" t="s">
        <v>3764</v>
      </c>
      <c r="I48" s="1806"/>
      <c r="J48" s="3433">
        <v>3</v>
      </c>
      <c r="K48" s="3630" t="s">
        <v>3771</v>
      </c>
      <c r="L48" s="3630"/>
      <c r="M48" s="3629">
        <f ca="1">H101</f>
        <v>153414</v>
      </c>
      <c r="N48" s="3629"/>
      <c r="O48" s="3629"/>
    </row>
    <row r="49" spans="1:35" ht="25.5" customHeight="1">
      <c r="A49" s="2333" t="s">
        <v>1340</v>
      </c>
      <c r="B49" s="3677" t="s">
        <v>1341</v>
      </c>
      <c r="C49" s="3677"/>
      <c r="D49" s="1590">
        <v>0</v>
      </c>
      <c r="E49" s="324" t="s">
        <v>1342</v>
      </c>
      <c r="F49" s="2424" t="s">
        <v>28</v>
      </c>
      <c r="G49" s="3660"/>
      <c r="H49" s="2310" t="s">
        <v>2133</v>
      </c>
      <c r="I49" s="2311"/>
      <c r="J49" s="3433">
        <v>4</v>
      </c>
      <c r="K49" s="3630" t="str">
        <f>IF(项目基本情况!E8="房地产抵押价值","房地产抵押价值","抵押担保权已注销时的房地产抵押价值")</f>
        <v>房地产抵押价值</v>
      </c>
      <c r="L49" s="3630"/>
      <c r="M49" s="3629">
        <f ca="1">IF(项目基本情况!E8="房地产抵押价值",H107,H109)</f>
        <v>153414</v>
      </c>
      <c r="N49" s="3629"/>
      <c r="O49" s="3629"/>
    </row>
    <row r="50" spans="1:35" ht="25.5" customHeight="1">
      <c r="A50" s="2533"/>
      <c r="B50" s="3677" t="s">
        <v>1343</v>
      </c>
      <c r="C50" s="3677"/>
      <c r="D50" s="2534"/>
      <c r="E50" s="332"/>
      <c r="F50" s="2424"/>
      <c r="G50" s="3661"/>
      <c r="H50" s="2312" t="s">
        <v>2134</v>
      </c>
      <c r="I50" s="2311"/>
      <c r="J50" s="3629" t="s">
        <v>1344</v>
      </c>
      <c r="K50" s="3629"/>
      <c r="L50" s="3629"/>
      <c r="M50" s="3629"/>
      <c r="N50" s="3629"/>
      <c r="O50" s="3629"/>
    </row>
    <row r="51" spans="1:35" ht="20.45" customHeight="1">
      <c r="A51" s="2535"/>
      <c r="B51" s="3677" t="s">
        <v>1345</v>
      </c>
      <c r="C51" s="3677"/>
      <c r="D51" s="1087"/>
      <c r="E51" s="327"/>
      <c r="F51" s="2424"/>
      <c r="G51" s="3662"/>
      <c r="H51" s="2312" t="s">
        <v>2135</v>
      </c>
      <c r="I51" s="2311"/>
      <c r="J51" s="3432" t="s">
        <v>1346</v>
      </c>
      <c r="K51" s="3630" t="s">
        <v>1347</v>
      </c>
      <c r="L51" s="3630"/>
      <c r="M51" s="3432" t="s">
        <v>1348</v>
      </c>
      <c r="N51" s="3432" t="s">
        <v>1349</v>
      </c>
      <c r="O51" s="3432" t="s">
        <v>1350</v>
      </c>
    </row>
    <row r="52" spans="1:35" ht="24" customHeight="1">
      <c r="A52" s="2335" t="s">
        <v>1351</v>
      </c>
      <c r="B52" s="3677" t="s">
        <v>1352</v>
      </c>
      <c r="C52" s="3677"/>
      <c r="D52" s="1087">
        <f ca="1">ROUND(D45*'数据-取费表'!B41/(1+'数据-取费表'!C42),0)</f>
        <v>4582</v>
      </c>
      <c r="E52" s="2334" t="s">
        <v>1353</v>
      </c>
      <c r="F52" s="2536">
        <f>'数据-取费表'!B41</f>
        <v>5.6000000000000001E-2</v>
      </c>
      <c r="G52" s="2537"/>
      <c r="H52" s="2526"/>
      <c r="I52" s="1807"/>
      <c r="J52" s="3433">
        <v>1</v>
      </c>
      <c r="K52" s="3654" t="s">
        <v>1354</v>
      </c>
      <c r="L52" s="3654"/>
      <c r="M52" s="3433">
        <f ca="1">D48</f>
        <v>4582</v>
      </c>
      <c r="N52" s="3433" t="str">
        <f>E48</f>
        <v>销售额×税（费）率</v>
      </c>
      <c r="O52" s="3465">
        <f>F48</f>
        <v>5.6000000000000001E-2</v>
      </c>
    </row>
    <row r="53" spans="1:35" ht="12" customHeight="1">
      <c r="A53" s="2335" t="s">
        <v>1355</v>
      </c>
      <c r="B53" s="3678" t="s">
        <v>2290</v>
      </c>
      <c r="C53" s="3679"/>
      <c r="D53" s="1087">
        <f ca="1">ROUND(D45*'数据-取费表'!B41/(1+'数据-取费表'!C42),0)</f>
        <v>4582</v>
      </c>
      <c r="E53" s="2334" t="s">
        <v>1353</v>
      </c>
      <c r="F53" s="2536">
        <f>'数据-取费表'!B41</f>
        <v>5.6000000000000001E-2</v>
      </c>
      <c r="G53" s="2537"/>
      <c r="H53" s="2526"/>
      <c r="I53" s="1807"/>
      <c r="J53" s="3433">
        <v>2</v>
      </c>
      <c r="K53" s="3654" t="s">
        <v>1356</v>
      </c>
      <c r="L53" s="3654"/>
      <c r="M53" s="3433">
        <f t="shared" ref="M53:O54" ca="1" si="0">D55</f>
        <v>43</v>
      </c>
      <c r="N53" s="3433" t="str">
        <f t="shared" si="0"/>
        <v>销售额×税（费）率</v>
      </c>
      <c r="O53" s="3465">
        <f t="shared" si="0"/>
        <v>5.0000000000000001E-4</v>
      </c>
    </row>
    <row r="54" spans="1:35" ht="12" customHeight="1">
      <c r="A54" s="2335" t="s">
        <v>1357</v>
      </c>
      <c r="B54" s="3678" t="s">
        <v>2291</v>
      </c>
      <c r="C54" s="3679"/>
      <c r="D54" s="1087">
        <f ca="1">C68</f>
        <v>4582</v>
      </c>
      <c r="E54" s="327" t="s">
        <v>1358</v>
      </c>
      <c r="F54" s="2536">
        <f>'数据-取费表'!B41</f>
        <v>5.6000000000000001E-2</v>
      </c>
      <c r="G54" s="2537"/>
      <c r="H54" s="2538"/>
      <c r="I54" s="1807"/>
      <c r="J54" s="3433">
        <v>3</v>
      </c>
      <c r="K54" s="3654" t="s">
        <v>1359</v>
      </c>
      <c r="L54" s="3654"/>
      <c r="M54" s="3433">
        <f t="shared" ca="1" si="0"/>
        <v>12854</v>
      </c>
      <c r="N54" s="3433" t="str">
        <f t="shared" si="0"/>
        <v>增值额×税（费）率</v>
      </c>
      <c r="O54" s="3466" t="str">
        <f t="shared" si="0"/>
        <v>——</v>
      </c>
    </row>
    <row r="55" spans="1:35" ht="24" customHeight="1">
      <c r="A55" s="3714" t="s">
        <v>1360</v>
      </c>
      <c r="B55" s="3692"/>
      <c r="C55" s="3692"/>
      <c r="D55" s="2324">
        <f ca="1">IF(H55="个人住宅",0,ROUND(D45*I55,0))</f>
        <v>43</v>
      </c>
      <c r="E55" s="2334" t="s">
        <v>1361</v>
      </c>
      <c r="F55" s="2536">
        <f>IF(H55="正常",I55,"免征")</f>
        <v>5.0000000000000001E-4</v>
      </c>
      <c r="G55" s="2537"/>
      <c r="H55" s="2532" t="s">
        <v>3520</v>
      </c>
      <c r="I55" s="165">
        <f>'数据-取费表'!B49</f>
        <v>5.0000000000000001E-4</v>
      </c>
      <c r="J55" s="3433" t="str">
        <f>IF(H59="非个人房产","",4)</f>
        <v/>
      </c>
      <c r="K55" s="3654" t="str">
        <f>IF(H59="非个人房产","——","个人所得税")</f>
        <v>——</v>
      </c>
      <c r="L55" s="3654"/>
      <c r="M55" s="3434" t="str">
        <f>D59</f>
        <v>——</v>
      </c>
      <c r="N55" s="3434" t="str">
        <f>E59</f>
        <v>——</v>
      </c>
      <c r="O55" s="3467" t="str">
        <f>F59</f>
        <v>——</v>
      </c>
    </row>
    <row r="56" spans="1:35" ht="24.75">
      <c r="A56" s="3714" t="s">
        <v>1362</v>
      </c>
      <c r="B56" s="3692"/>
      <c r="C56" s="3692"/>
      <c r="D56" s="2324">
        <f ca="1">IF(H56="个人住宅",D57,D58)</f>
        <v>12854</v>
      </c>
      <c r="E56" s="2334" t="s">
        <v>1363</v>
      </c>
      <c r="F56" s="2536" t="str">
        <f>IF(H56="正常",F58,"免征")</f>
        <v>——</v>
      </c>
      <c r="G56" s="2539" t="s">
        <v>1364</v>
      </c>
      <c r="H56" s="2540" t="s">
        <v>3520</v>
      </c>
      <c r="I56" s="1808"/>
      <c r="J56" s="3433" t="str">
        <f>IF(项目基本情况!K6="上海银行",IF(J55="",4,J55+1),"")</f>
        <v/>
      </c>
      <c r="K56" s="3635" t="str">
        <f>IF(项目基本情况!K6="上海银行","其他处置费用","")</f>
        <v/>
      </c>
      <c r="L56" s="3636"/>
      <c r="M56" s="3433" t="str">
        <f>IF(项目基本情况!K6="上海银行",M69,"")</f>
        <v/>
      </c>
      <c r="N56" s="3635" t="str">
        <f>IF(项目基本情况!K6="上海银行","包含处置中涉及的律师、诉讼、拍卖、评估等费用","")</f>
        <v/>
      </c>
      <c r="O56" s="3638"/>
    </row>
    <row r="57" spans="1:35" ht="12.75">
      <c r="A57" s="2335" t="s">
        <v>1340</v>
      </c>
      <c r="B57" s="3678" t="s">
        <v>1365</v>
      </c>
      <c r="C57" s="3679"/>
      <c r="D57" s="1590">
        <v>0</v>
      </c>
      <c r="E57" s="324" t="s">
        <v>1342</v>
      </c>
      <c r="F57" s="302"/>
      <c r="G57" s="2537"/>
      <c r="H57" s="2541"/>
      <c r="I57" s="1808"/>
      <c r="J57" s="3654">
        <f>IF(AND(J55="",J56=""),4,IF(项目基本情况!K6="上海银行",结果表!J56+1,结果表!J55+1))</f>
        <v>4</v>
      </c>
      <c r="K57" s="3654" t="s">
        <v>1366</v>
      </c>
      <c r="L57" s="2524" t="s">
        <v>1367</v>
      </c>
      <c r="M57" s="3468"/>
      <c r="N57" s="3469">
        <f ca="1">SUMIF(M52:M56,"&lt;9e307")</f>
        <v>17479</v>
      </c>
      <c r="O57" s="3470"/>
      <c r="P57" s="2672">
        <f ca="1">N57/M49</f>
        <v>0.11393353931192721</v>
      </c>
    </row>
    <row r="58" spans="1:35" ht="24.75">
      <c r="A58" s="2335" t="s">
        <v>1351</v>
      </c>
      <c r="B58" s="3678" t="s">
        <v>1368</v>
      </c>
      <c r="C58" s="3677"/>
      <c r="D58" s="2324">
        <f ca="1">IF(H58="转让取得",C81,C97)</f>
        <v>12854</v>
      </c>
      <c r="E58" s="2334" t="s">
        <v>1363</v>
      </c>
      <c r="F58" s="302" t="s">
        <v>28</v>
      </c>
      <c r="G58" s="2537"/>
      <c r="H58" s="2540" t="s">
        <v>3765</v>
      </c>
      <c r="I58" s="1808"/>
      <c r="J58" s="3654"/>
      <c r="K58" s="3654"/>
      <c r="L58" s="2524" t="s">
        <v>1369</v>
      </c>
      <c r="M58" s="2524"/>
      <c r="N58" s="3471" t="str">
        <f ca="1">NUMBERSTRING(INT(N57*10000),2)&amp;"元整"</f>
        <v>壹亿柒仟肆佰柒拾玖万元整</v>
      </c>
      <c r="O58" s="3472"/>
    </row>
    <row r="59" spans="1:35" ht="24.75" thickBot="1">
      <c r="A59" s="3658" t="s">
        <v>1370</v>
      </c>
      <c r="B59" s="3659"/>
      <c r="C59" s="3659"/>
      <c r="D59" s="2542" t="str">
        <f>IF(H59="非个人房产","——",IF(H59="个人住宅（满五唯一有凭证）",0,IF(H59="个人其他（无凭证）",ROUND(D45*F59,0),ROUND(C67*F59,0))))</f>
        <v>——</v>
      </c>
      <c r="E59" s="2543" t="str">
        <f>IF(H59="非个人房产","——",IF(H59="个人其他（无凭证）","销售额×税（费）率",IF(H59="个人住宅（满五唯一有凭证）","免征","差额计税")))</f>
        <v>——</v>
      </c>
      <c r="F59" s="2544" t="str">
        <f>IF(OR(H59="非个人房产",H59="个人住宅（满五唯一有凭证）"),"——",IF(H59="个人其他（有凭证）",20%,1%))</f>
        <v>——</v>
      </c>
      <c r="G59" s="2545" t="s">
        <v>1364</v>
      </c>
      <c r="H59" s="2314" t="s">
        <v>3766</v>
      </c>
      <c r="I59" s="2313" t="s">
        <v>2136</v>
      </c>
      <c r="J59" s="3656">
        <f>J57+1</f>
        <v>5</v>
      </c>
      <c r="K59" s="3654" t="s">
        <v>1371</v>
      </c>
      <c r="L59" s="3433" t="s">
        <v>1367</v>
      </c>
      <c r="M59" s="3473"/>
      <c r="N59" s="3474">
        <f ca="1">M49-N57</f>
        <v>135935</v>
      </c>
      <c r="O59" s="3475"/>
    </row>
    <row r="60" spans="1:35" ht="12" customHeight="1">
      <c r="A60" s="1809"/>
      <c r="B60" s="1747"/>
      <c r="C60" s="1747"/>
      <c r="D60" s="1747"/>
      <c r="E60" s="1578"/>
      <c r="F60" s="1808"/>
      <c r="G60" s="1808"/>
      <c r="H60" s="1810"/>
      <c r="I60" s="129"/>
      <c r="J60" s="3657"/>
      <c r="K60" s="3654"/>
      <c r="L60" s="2524" t="s">
        <v>1369</v>
      </c>
      <c r="M60" s="2524"/>
      <c r="N60" s="3471" t="str">
        <f ca="1">NUMBERSTRING(INT(N59*10000),2)&amp;"元整"</f>
        <v>壹拾叁亿伍仟玖佰叁拾伍万元整</v>
      </c>
      <c r="O60" s="3472"/>
    </row>
    <row r="61" spans="1:35" ht="13.5" thickBot="1">
      <c r="A61" s="3713" t="s">
        <v>1372</v>
      </c>
      <c r="B61" s="3713"/>
      <c r="C61" s="3713"/>
      <c r="D61" s="3713"/>
      <c r="E61" s="3713"/>
      <c r="F61" s="1808"/>
      <c r="G61" s="1808"/>
      <c r="H61" s="1810"/>
      <c r="I61" s="129"/>
      <c r="J61" s="3433">
        <f>J59+1</f>
        <v>6</v>
      </c>
      <c r="K61" s="3654" t="s">
        <v>1373</v>
      </c>
      <c r="L61" s="3654"/>
      <c r="M61" s="3476"/>
      <c r="N61" s="3477">
        <f ca="1">ROUND(N59*10000/'数据-汇总表'!E3,0)</f>
        <v>49796</v>
      </c>
      <c r="O61" s="3478"/>
    </row>
    <row r="62" spans="1:35" ht="12.75">
      <c r="A62" s="3673" t="s">
        <v>1374</v>
      </c>
      <c r="B62" s="3674"/>
      <c r="C62" s="2021"/>
      <c r="D62" s="2021" t="s">
        <v>1375</v>
      </c>
      <c r="E62" s="166" t="s">
        <v>1376</v>
      </c>
      <c r="F62" s="1808"/>
      <c r="G62" s="1808"/>
      <c r="H62" s="1810"/>
      <c r="I62" s="129"/>
    </row>
    <row r="63" spans="1:35" ht="12.75">
      <c r="A63" s="173" t="s">
        <v>330</v>
      </c>
      <c r="B63" s="167" t="s">
        <v>1377</v>
      </c>
      <c r="C63" s="2546">
        <f ca="1">ROUND((C64+C65)/(1+'数据-取费表'!C42),0)</f>
        <v>81821</v>
      </c>
      <c r="D63" s="167"/>
      <c r="E63" s="168"/>
      <c r="F63" s="1808"/>
      <c r="G63" s="1808"/>
      <c r="H63" s="1810"/>
      <c r="I63" s="129"/>
      <c r="J63" s="3637" t="s">
        <v>1378</v>
      </c>
      <c r="K63" s="1332" t="s">
        <v>1379</v>
      </c>
      <c r="L63" s="1332">
        <f ca="1">IF(M49&gt;10000,M49*0.5%,IF(AND(M49&gt;1000,M49&lt;=10000),M49*1%,IF(AND(M49&gt;100,M49&lt;=1000),M49*3%,IF(AND(M49&gt;10,M49&lt;=100),M49*5%,M49*8%))))</f>
        <v>767.07</v>
      </c>
      <c r="M63" s="302">
        <f ca="1">ROUND(L63,1)</f>
        <v>767.1</v>
      </c>
      <c r="N63" s="2525"/>
      <c r="Z63" s="1752"/>
      <c r="AI63" s="1753"/>
    </row>
    <row r="64" spans="1:35" ht="14.25" customHeight="1">
      <c r="A64" s="169" t="s">
        <v>325</v>
      </c>
      <c r="B64" s="170" t="s">
        <v>1380</v>
      </c>
      <c r="C64" s="2547">
        <f ca="1">D45</f>
        <v>85912</v>
      </c>
      <c r="D64" s="170" t="s">
        <v>26</v>
      </c>
      <c r="E64" s="172"/>
      <c r="F64" s="1808"/>
      <c r="G64" s="1808"/>
      <c r="H64" s="1810"/>
      <c r="I64" s="129"/>
      <c r="J64" s="3637"/>
      <c r="K64" s="1332" t="s">
        <v>1381</v>
      </c>
      <c r="L64" s="1332">
        <f ca="1">IF(M49&gt;2000,M49*0.5%,IF(AND(M49&gt;1000,M49&lt;=2000),M49*0.6%,IF(AND(M49&gt;500,M49&lt;=1000),M49*0.7%,IF(AND(M49&gt;200,M49&lt;=500),M49*0.8%,IF(AND(M49&gt;100,M49&lt;=200),M49*0.9%,IF(AND(M49&gt;50,M49&lt;=100),M49*1%,IF(AND(M49&gt;20,M49&lt;=50),M49*1.5%,IF(AND(M49&gt;10,M49&lt;=20),M49*2%,IF(AND(M49&gt;1,M49&lt;=10),M49*2.5%)))))))))</f>
        <v>767.07</v>
      </c>
      <c r="M64" s="302">
        <f t="shared" ref="M64:M65" ca="1" si="1">ROUND(L64,1)</f>
        <v>767.1</v>
      </c>
      <c r="N64" s="2526" t="s">
        <v>1382</v>
      </c>
      <c r="Z64" s="1752"/>
      <c r="AI64" s="1753"/>
    </row>
    <row r="65" spans="1:35" ht="14.25" customHeight="1">
      <c r="A65" s="169" t="s">
        <v>326</v>
      </c>
      <c r="B65" s="170" t="s">
        <v>1383</v>
      </c>
      <c r="C65" s="2548"/>
      <c r="D65" s="170"/>
      <c r="E65" s="172"/>
      <c r="F65" s="1808"/>
      <c r="G65" s="1808"/>
      <c r="H65" s="1810"/>
      <c r="I65" s="129"/>
      <c r="J65" s="3637"/>
      <c r="K65" s="1332" t="s">
        <v>1384</v>
      </c>
      <c r="L65" s="1332">
        <f ca="1">IF(M49&gt;1000,M49*0.1%,IF(AND(M49&gt;500,M49&lt;=1000),M49*0.5%,IF(AND(M49&gt;50,M49&lt;=500),M49*1%,IF(AND(M49&gt;1,M49&lt;=50),M49*1.5%))))</f>
        <v>153.41400000000002</v>
      </c>
      <c r="M65" s="302">
        <f t="shared" ca="1" si="1"/>
        <v>153.4</v>
      </c>
      <c r="N65" s="2526" t="s">
        <v>1382</v>
      </c>
      <c r="Z65" s="1752"/>
      <c r="AI65" s="1753"/>
    </row>
    <row r="66" spans="1:35" ht="14.25" customHeight="1">
      <c r="A66" s="173" t="s">
        <v>327</v>
      </c>
      <c r="B66" s="174" t="s">
        <v>1385</v>
      </c>
      <c r="C66" s="2549"/>
      <c r="D66" s="174" t="s">
        <v>26</v>
      </c>
      <c r="E66" s="1338" t="s">
        <v>671</v>
      </c>
      <c r="F66" s="1808"/>
      <c r="G66" s="1808"/>
      <c r="H66" s="1810"/>
      <c r="I66" s="129"/>
      <c r="J66" s="3637"/>
      <c r="K66" s="1332" t="s">
        <v>1386</v>
      </c>
      <c r="L66" s="1332">
        <f ca="1">M49*0.5%</f>
        <v>767.07</v>
      </c>
      <c r="M66" s="302">
        <f ca="1">IF(L66&gt;0.5,0.5,ROUND(L66,0))</f>
        <v>0.5</v>
      </c>
      <c r="N66" s="2526" t="s">
        <v>1387</v>
      </c>
      <c r="Z66" s="1752"/>
      <c r="AI66" s="1753"/>
    </row>
    <row r="67" spans="1:35" ht="14.25" customHeight="1">
      <c r="A67" s="173" t="s">
        <v>328</v>
      </c>
      <c r="B67" s="174" t="s">
        <v>1388</v>
      </c>
      <c r="C67" s="2550">
        <f ca="1">C63-C66</f>
        <v>81821</v>
      </c>
      <c r="D67" s="170" t="s">
        <v>26</v>
      </c>
      <c r="E67" s="172"/>
      <c r="F67" s="1808"/>
      <c r="G67" s="1808"/>
      <c r="H67" s="1810"/>
      <c r="I67" s="129"/>
      <c r="J67" s="3637"/>
      <c r="K67" s="1332" t="s">
        <v>1389</v>
      </c>
      <c r="L67" s="1332">
        <f ca="1">IF(M49&gt;=10000,(8.25+(M49-10000)*0.01%),IF(AND(M49&gt;=8000,M49&lt;10000),(7.85+(M49-8000)*0.02%),IF(AND(M49&gt;=5000,M49&lt;8000),(6.65+(M49-5000)*0.04%),IF(AND(M49&gt;=2000,M49&lt;5000),(4.25+(PM49-2000)*0.08%),IF(AND(M49&gt;=1000,M49&lt;2000),(2.75+(M49-1000)*0.15%),IF(AND(M49&gt;=100,M49&lt;1000),(0.5+(M49-100)*0.25%),IF(AND(M49&gt;0,M49&lt;100),M49*0.5%)))))))</f>
        <v>22.5914</v>
      </c>
      <c r="M67" s="302">
        <f ca="1">ROUND(L67*0.9,1)</f>
        <v>20.3</v>
      </c>
      <c r="N67" s="2525"/>
      <c r="Z67" s="1752"/>
      <c r="AI67" s="1753"/>
    </row>
    <row r="68" spans="1:35" ht="14.25" customHeight="1" thickBot="1">
      <c r="A68" s="176" t="s">
        <v>329</v>
      </c>
      <c r="B68" s="177" t="s">
        <v>1390</v>
      </c>
      <c r="C68" s="2551">
        <f ca="1">IF(C67&lt;=0,0,ROUND(C67*D68,0))</f>
        <v>4582</v>
      </c>
      <c r="D68" s="2552">
        <f>'数据-取费表'!B41</f>
        <v>5.6000000000000001E-2</v>
      </c>
      <c r="E68" s="178"/>
      <c r="F68" s="1808"/>
      <c r="G68" s="1808"/>
      <c r="H68" s="1810"/>
      <c r="I68" s="129"/>
      <c r="J68" s="3637"/>
      <c r="K68" s="1332" t="s">
        <v>1391</v>
      </c>
      <c r="L68" s="1332">
        <f ca="1">IF(M49&gt;10000,M49*0.5%,IF(AND(M49&gt;5000,M49&lt;=10000),M49*1%,IF(AND(M49&gt;1000,M49&lt;=5000),M49*2%,IF(AND(M49&gt;200,M49&lt;=1000),M49*3%,M49*5%))))</f>
        <v>767.07</v>
      </c>
      <c r="M68" s="302">
        <f ca="1">ROUND(L68,1)</f>
        <v>767.1</v>
      </c>
      <c r="N68" s="2525"/>
      <c r="Z68" s="1752"/>
      <c r="AI68" s="1753"/>
    </row>
    <row r="69" spans="1:35" s="1772" customFormat="1" ht="16.5" customHeight="1">
      <c r="A69" s="1811"/>
      <c r="B69" s="1812"/>
      <c r="C69" s="1813"/>
      <c r="D69" s="1814"/>
      <c r="E69" s="1815"/>
      <c r="F69" s="1578"/>
      <c r="G69" s="1578"/>
      <c r="H69" s="1577"/>
      <c r="I69" s="1747"/>
      <c r="J69" s="3637"/>
      <c r="K69" s="1332" t="s">
        <v>1392</v>
      </c>
      <c r="L69" s="1332"/>
      <c r="M69" s="302">
        <f ca="1">ROUND(SUM(M63:M68),0)</f>
        <v>2476</v>
      </c>
      <c r="N69" s="2527">
        <f ca="1">M69/M49</f>
        <v>1.6139335393119271E-2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81" t="s">
        <v>1393</v>
      </c>
      <c r="B70" s="3682"/>
      <c r="C70" s="3682"/>
      <c r="D70" s="3682"/>
      <c r="E70" s="3682"/>
      <c r="F70" s="3682"/>
      <c r="G70" s="3682"/>
      <c r="H70" s="3682"/>
      <c r="I70" s="1816"/>
      <c r="J70" s="2673"/>
      <c r="K70" s="2673"/>
      <c r="L70" s="2673"/>
      <c r="M70" s="2673"/>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73" t="s">
        <v>1374</v>
      </c>
      <c r="B71" s="3674"/>
      <c r="C71" s="2021"/>
      <c r="D71" s="2021" t="s">
        <v>1375</v>
      </c>
      <c r="E71" s="179" t="s">
        <v>1376</v>
      </c>
      <c r="F71" s="180"/>
      <c r="G71" s="180"/>
      <c r="H71" s="181"/>
      <c r="I71" s="1820"/>
      <c r="J71" s="2673"/>
      <c r="K71" s="2673"/>
      <c r="L71" s="2673"/>
      <c r="M71" s="2673"/>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50">
        <f ca="1">ROUND(D45/(1+'数据-取费表'!C42),0)</f>
        <v>81821</v>
      </c>
      <c r="D72" s="170" t="s">
        <v>26</v>
      </c>
      <c r="E72" s="2331"/>
      <c r="F72" s="2330"/>
      <c r="G72" s="2330"/>
      <c r="H72" s="182"/>
      <c r="I72" s="1820"/>
      <c r="J72" s="2673"/>
      <c r="K72" s="2673"/>
      <c r="L72" s="2673"/>
      <c r="M72" s="2673"/>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50">
        <f ca="1">C74+C78</f>
        <v>491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53"/>
      <c r="D75" s="170" t="s">
        <v>26</v>
      </c>
      <c r="E75" s="184" t="s">
        <v>1398</v>
      </c>
      <c r="F75" s="2554"/>
      <c r="G75" s="184" t="s">
        <v>1399</v>
      </c>
      <c r="H75" s="2555"/>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56">
        <v>0.05</v>
      </c>
      <c r="E76" s="3678" t="s">
        <v>1401</v>
      </c>
      <c r="F76" s="3677"/>
      <c r="G76" s="3677"/>
      <c r="H76" s="368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57">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58">
        <f ca="1">ROUND(D45*D78/(1+'数据-取费表'!C42),0)</f>
        <v>491</v>
      </c>
      <c r="D78" s="2559">
        <f>'数据-取费表'!B43</f>
        <v>6.000000000000001E-3</v>
      </c>
      <c r="E78" s="3670" t="s">
        <v>1405</v>
      </c>
      <c r="F78" s="3671"/>
      <c r="G78" s="3671"/>
      <c r="H78" s="367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50">
        <f ca="1">C72-C73</f>
        <v>81330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60">
        <f ca="1">IF(C79&lt;=0,0,C79/C73)</f>
        <v>165.64154786150712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61">
        <f ca="1">ROUND(IF(C79&lt;=0,0,IF(C80&gt;=200%,C79*60%-C73*35%,IF(C80&gt;=100%,C79*50%-C73*15%,IF(C80&gt;=50%,C79*40%-C73*5%,IF(C80&lt;50%,C79*30%,0))))),0)</f>
        <v>48626</v>
      </c>
      <c r="D81" s="256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81" t="s">
        <v>1409</v>
      </c>
      <c r="B83" s="3682"/>
      <c r="C83" s="3682"/>
      <c r="D83" s="3682"/>
      <c r="E83" s="3682"/>
      <c r="F83" s="3682"/>
      <c r="G83" s="3682"/>
      <c r="H83" s="368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73" t="s">
        <v>1374</v>
      </c>
      <c r="B84" s="3674"/>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50">
        <f ca="1">ROUND(D45/(1+'数据-取费表'!C42),0)</f>
        <v>81821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50">
        <f ca="1">IF(H88="仅含出让金",C87+C90+C91+C92+C93+C94,C87+C91+C92+C93+C94)</f>
        <v>44165.742577999998</v>
      </c>
      <c r="D86" s="2563"/>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58">
        <f>C88+C89</f>
        <v>4216.3064379999996</v>
      </c>
      <c r="D87" s="2559"/>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64">
        <v>4091.3064380000001</v>
      </c>
      <c r="D88" s="2559"/>
      <c r="E88" s="193" t="s">
        <v>1412</v>
      </c>
      <c r="F88" s="2327"/>
      <c r="G88" s="194" t="s">
        <v>1413</v>
      </c>
      <c r="H88" s="1824" t="s">
        <v>3769</v>
      </c>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58">
        <f>ROUND(C88*D89,0)</f>
        <v>125</v>
      </c>
      <c r="D89" s="2559">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64"/>
      <c r="D90" s="2559"/>
      <c r="E90" s="193" t="str">
        <f>IF(H88="-","土地取得成本中已包含该笔费用"," ")</f>
        <v xml:space="preserve"> </v>
      </c>
      <c r="F90" s="2327"/>
      <c r="G90" s="3639" t="s">
        <v>2128</v>
      </c>
      <c r="H90" s="3640"/>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58">
        <f>IF(H91="——",成本法!C33,I91)</f>
        <v>35488.436139999998</v>
      </c>
      <c r="D91" s="2559"/>
      <c r="E91" s="3670" t="s">
        <v>1418</v>
      </c>
      <c r="F91" s="3671"/>
      <c r="G91" s="3671"/>
      <c r="H91" s="1825" t="s">
        <v>3770</v>
      </c>
      <c r="I91" s="1826">
        <v>35488.436139999998</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58">
        <f>ROUND((C87+C90+C91)*D92,0)</f>
        <v>3970</v>
      </c>
      <c r="D92" s="2565">
        <v>0.1</v>
      </c>
      <c r="E92" s="3670" t="s">
        <v>1421</v>
      </c>
      <c r="F92" s="3671"/>
      <c r="G92" s="3671"/>
      <c r="H92" s="3672"/>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58">
        <f ca="1">ROUND(D45*D93/(1+'数据-取费表'!C42),0)</f>
        <v>491</v>
      </c>
      <c r="D93" s="2559">
        <f>'数据-取费表'!B43</f>
        <v>6.000000000000001E-3</v>
      </c>
      <c r="E93" s="3670" t="s">
        <v>1405</v>
      </c>
      <c r="F93" s="3671"/>
      <c r="G93" s="3671"/>
      <c r="H93" s="367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64"/>
      <c r="D94" s="2559">
        <v>0.2</v>
      </c>
      <c r="E94" s="3715" t="s">
        <v>1425</v>
      </c>
      <c r="F94" s="3716"/>
      <c r="G94" s="3716"/>
      <c r="H94" s="371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50">
        <f ca="1">ROUND(C85-C86,0)</f>
        <v>37655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60">
        <f ca="1">IF(C95&lt;=0,0,C95/C86)</f>
        <v>0.85258387614559994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61">
        <f ca="1">ROUND(IF(C95&lt;=0,0,IF(C96&gt;=200%,C95*60%-C86*35%,IF(C96&gt;=100%,C95*50%-C86*15%,IF(C96&gt;=50%,C95*40%-C86*5%,IF(C96&lt;50%,C95*30%,0))))),0)</f>
        <v>12854</v>
      </c>
      <c r="D97" s="256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621" t="s">
        <v>1427</v>
      </c>
      <c r="B100" s="3622"/>
      <c r="C100" s="3622"/>
      <c r="D100" s="3655"/>
      <c r="E100" s="3622" t="s">
        <v>1428</v>
      </c>
      <c r="F100" s="3622"/>
      <c r="G100" s="3622"/>
      <c r="H100" s="3655"/>
      <c r="I100" s="129"/>
    </row>
    <row r="101" spans="1:35" ht="18.75" customHeight="1">
      <c r="A101" s="3663" t="s">
        <v>1429</v>
      </c>
      <c r="B101" s="3664"/>
      <c r="C101" s="2567" t="str">
        <f>C4</f>
        <v>比较法-商业-2021案例</v>
      </c>
      <c r="D101" s="2568" t="str">
        <f>D4</f>
        <v>收益法</v>
      </c>
      <c r="E101" s="3633" t="s">
        <v>1430</v>
      </c>
      <c r="F101" s="3634"/>
      <c r="G101" s="1827" t="s">
        <v>1431</v>
      </c>
      <c r="H101" s="2577">
        <f ca="1">H118</f>
        <v>153414</v>
      </c>
      <c r="I101" s="129"/>
    </row>
    <row r="102" spans="1:35" ht="18.75" customHeight="1">
      <c r="A102" s="3665" t="s">
        <v>1432</v>
      </c>
      <c r="B102" s="2566" t="s">
        <v>1431</v>
      </c>
      <c r="C102" s="2567">
        <f ca="1">IF(D32="楼面单价",ROUND(C19,0),C19)</f>
        <v>181099</v>
      </c>
      <c r="D102" s="2568">
        <f ca="1">IF(D32="楼面单价",ROUND(D19,0),D19)</f>
        <v>134957</v>
      </c>
      <c r="E102" s="3633"/>
      <c r="F102" s="3634"/>
      <c r="G102" s="1827" t="s">
        <v>1433</v>
      </c>
      <c r="H102" s="2537">
        <f ca="1">I118</f>
        <v>56199</v>
      </c>
      <c r="I102" s="129"/>
    </row>
    <row r="103" spans="1:35" ht="42.75" customHeight="1">
      <c r="A103" s="3665"/>
      <c r="B103" s="2566" t="s">
        <v>1433</v>
      </c>
      <c r="C103" s="2569">
        <f ca="1">C20</f>
        <v>66341</v>
      </c>
      <c r="D103" s="2570">
        <f ca="1">D20</f>
        <v>49438</v>
      </c>
      <c r="E103" s="3627" t="s">
        <v>1434</v>
      </c>
      <c r="F103" s="3628"/>
      <c r="G103" s="1828" t="s">
        <v>1435</v>
      </c>
      <c r="H103" s="2577">
        <f>IF(D36="正常操作",H104+H105+H106,H105+H106)</f>
        <v>0</v>
      </c>
      <c r="I103" s="129"/>
    </row>
    <row r="104" spans="1:35" ht="18.75" customHeight="1">
      <c r="A104" s="3665" t="s">
        <v>1436</v>
      </c>
      <c r="B104" s="2571" t="s">
        <v>1431</v>
      </c>
      <c r="C104" s="2572">
        <f ca="1">H118</f>
        <v>153414</v>
      </c>
      <c r="D104" s="2573"/>
      <c r="E104" s="1674" t="s">
        <v>1437</v>
      </c>
      <c r="F104" s="1666"/>
      <c r="G104" s="1828" t="s">
        <v>1435</v>
      </c>
      <c r="H104" s="2578">
        <f>IF(D36="同一抵押权人同一抵押物续贷",C36&amp;"（续贷，未扣减，详见特别提示）",C36)</f>
        <v>0</v>
      </c>
      <c r="I104" s="129"/>
    </row>
    <row r="105" spans="1:35" ht="18.75" customHeight="1" thickBot="1">
      <c r="A105" s="3675"/>
      <c r="B105" s="2574" t="s">
        <v>1433</v>
      </c>
      <c r="C105" s="2575">
        <f ca="1">I118</f>
        <v>56199</v>
      </c>
      <c r="D105" s="2576"/>
      <c r="E105" s="1674" t="s">
        <v>1438</v>
      </c>
      <c r="F105" s="1666"/>
      <c r="G105" s="1828" t="s">
        <v>1435</v>
      </c>
      <c r="H105" s="2579">
        <f>C37</f>
        <v>0</v>
      </c>
      <c r="I105" s="129"/>
    </row>
    <row r="106" spans="1:35" ht="18.75" customHeight="1">
      <c r="A106" s="1747" t="s">
        <v>1439</v>
      </c>
      <c r="B106" s="1747"/>
      <c r="C106" s="1747"/>
      <c r="D106" s="1747"/>
      <c r="E106" s="1829" t="s">
        <v>1440</v>
      </c>
      <c r="F106" s="1666"/>
      <c r="G106" s="1828" t="s">
        <v>1435</v>
      </c>
      <c r="H106" s="2579">
        <f>C38</f>
        <v>0</v>
      </c>
      <c r="I106" s="129"/>
    </row>
    <row r="107" spans="1:35" ht="18.75" customHeight="1">
      <c r="A107" s="129"/>
      <c r="B107" s="129"/>
      <c r="C107" s="129"/>
      <c r="D107" s="129"/>
      <c r="E107" s="3666" t="str">
        <f>IF(项目基本情况!E8="已注销","——","3.房地产抵押价值")</f>
        <v>3.房地产抵押价值</v>
      </c>
      <c r="F107" s="3634"/>
      <c r="G107" s="1827" t="s">
        <v>1431</v>
      </c>
      <c r="H107" s="2577">
        <f ca="1">IF(E107="——","——",H101-H103)</f>
        <v>153414</v>
      </c>
      <c r="I107" s="129"/>
    </row>
    <row r="108" spans="1:35" ht="18.75" customHeight="1">
      <c r="A108" s="129"/>
      <c r="B108" s="129"/>
      <c r="C108" s="129"/>
      <c r="D108" s="129"/>
      <c r="E108" s="3666"/>
      <c r="F108" s="3634"/>
      <c r="G108" s="1827" t="s">
        <v>1433</v>
      </c>
      <c r="H108" s="2537">
        <f ca="1">IF(H107=H101,H102,ROUND(H107*10000/'数据-汇总表'!E3,0))</f>
        <v>56199</v>
      </c>
      <c r="I108" s="129"/>
    </row>
    <row r="109" spans="1:35" ht="18.75" customHeight="1">
      <c r="A109" s="129"/>
      <c r="B109" s="129"/>
      <c r="C109" s="129"/>
      <c r="D109" s="129"/>
      <c r="E109" s="3666" t="str">
        <f>IF(项目基本情况!E8="已注销及未注销","4.抵押担保权已注销时的房地产抵押价值",IF(项目基本情况!E8="已注销","3.抵押担保权已注销时的房地产抵押价值","——"))</f>
        <v>——</v>
      </c>
      <c r="F109" s="3634"/>
      <c r="G109" s="1827" t="s">
        <v>1431</v>
      </c>
      <c r="H109" s="2580" t="str">
        <f>IF(E109="——","——",H101-H105-H106)</f>
        <v>——</v>
      </c>
      <c r="I109" s="129"/>
    </row>
    <row r="110" spans="1:35" ht="18.75" customHeight="1">
      <c r="A110" s="129"/>
      <c r="B110" s="129"/>
      <c r="C110" s="129"/>
      <c r="D110" s="129"/>
      <c r="E110" s="3666"/>
      <c r="F110" s="3634"/>
      <c r="G110" s="1827" t="s">
        <v>1433</v>
      </c>
      <c r="H110" s="2537" t="str">
        <f>IF(H109="——","——",ROUND(H109*10000/'数据-汇总表'!E3,0))</f>
        <v>——</v>
      </c>
      <c r="I110" s="129"/>
    </row>
    <row r="111" spans="1:35" ht="18.75" customHeight="1">
      <c r="A111" s="129"/>
      <c r="B111" s="129"/>
      <c r="C111" s="129"/>
      <c r="D111" s="129"/>
      <c r="E111" s="3667" t="str">
        <f>IF(项目基本情况!E9="抵押净值",IF(OR(项目基本情况!E8="已注销",项目基本情况!E8="房地产抵押价值"),"4.抵押净值","5.抵押净值"),"——")</f>
        <v>4.抵押净值</v>
      </c>
      <c r="F111" s="3653"/>
      <c r="G111" s="1827" t="s">
        <v>1431</v>
      </c>
      <c r="H111" s="2577">
        <f ca="1">IF(E111="——","——",N59)</f>
        <v>135935</v>
      </c>
      <c r="I111" s="129"/>
    </row>
    <row r="112" spans="1:35" ht="18.75" customHeight="1" thickBot="1">
      <c r="A112" s="129"/>
      <c r="B112" s="129"/>
      <c r="C112" s="129"/>
      <c r="D112" s="129"/>
      <c r="E112" s="3668"/>
      <c r="F112" s="3669"/>
      <c r="G112" s="1830" t="s">
        <v>1433</v>
      </c>
      <c r="H112" s="2581">
        <f ca="1">IF(E111="——","——",N61)</f>
        <v>49796</v>
      </c>
      <c r="I112" s="129"/>
    </row>
    <row r="113" spans="1:27" ht="18.75" customHeight="1">
      <c r="A113" s="129"/>
      <c r="B113" s="129"/>
      <c r="C113" s="129"/>
      <c r="D113" s="129"/>
      <c r="E113" s="3676" t="s">
        <v>1439</v>
      </c>
      <c r="F113" s="3676"/>
      <c r="G113" s="3676"/>
      <c r="H113" s="3676"/>
      <c r="I113" s="129"/>
    </row>
    <row r="114" spans="1:27" ht="3.75" customHeight="1">
      <c r="A114" s="1747"/>
      <c r="B114" s="1747"/>
      <c r="C114" s="1747"/>
      <c r="D114" s="1747"/>
      <c r="E114" s="1809"/>
      <c r="F114" s="1809"/>
      <c r="G114" s="1809"/>
      <c r="H114" s="1809"/>
      <c r="I114" s="1747"/>
    </row>
    <row r="115" spans="1:27" ht="18.75" customHeight="1">
      <c r="A115" s="3684" t="s">
        <v>1441</v>
      </c>
      <c r="B115" s="3685"/>
      <c r="C115" s="3685"/>
      <c r="D115" s="3685"/>
      <c r="E115" s="3685"/>
      <c r="F115" s="3685"/>
      <c r="G115" s="3685"/>
      <c r="H115" s="3685"/>
      <c r="I115" s="3686"/>
    </row>
    <row r="116" spans="1:27" ht="27" customHeight="1">
      <c r="A116" s="3641" t="s">
        <v>1442</v>
      </c>
      <c r="B116" s="3645" t="s">
        <v>1443</v>
      </c>
      <c r="C116" s="3645" t="s">
        <v>1444</v>
      </c>
      <c r="D116" s="3651" t="s">
        <v>1445</v>
      </c>
      <c r="E116" s="3652"/>
      <c r="F116" s="3683" t="s">
        <v>1446</v>
      </c>
      <c r="G116" s="3683"/>
      <c r="H116" s="3641" t="s">
        <v>1447</v>
      </c>
      <c r="I116" s="3641"/>
    </row>
    <row r="117" spans="1:27" ht="18.75" customHeight="1">
      <c r="A117" s="3641"/>
      <c r="B117" s="3646"/>
      <c r="C117" s="3646"/>
      <c r="D117" s="2329" t="s">
        <v>1448</v>
      </c>
      <c r="E117" s="2329" t="s">
        <v>1449</v>
      </c>
      <c r="F117" s="2329" t="s">
        <v>1448</v>
      </c>
      <c r="G117" s="2329" t="s">
        <v>1450</v>
      </c>
      <c r="H117" s="2329" t="s">
        <v>1448</v>
      </c>
      <c r="I117" s="2329" t="s">
        <v>1450</v>
      </c>
    </row>
    <row r="118" spans="1:27" ht="24.75" customHeight="1">
      <c r="A118" s="2582" t="str">
        <f>项目基本情况!S2</f>
        <v>北京市房地产</v>
      </c>
      <c r="B118" s="2329">
        <f>M18</f>
        <v>27298.22</v>
      </c>
      <c r="C118" s="2329">
        <f>M19</f>
        <v>6123.19</v>
      </c>
      <c r="D118" s="2329">
        <f ca="1">ROUND(IF(D32="总价",C34,E118*B118/10000),0)</f>
        <v>134544</v>
      </c>
      <c r="E118" s="2329">
        <f ca="1">ROUND(IF(C33="自定义",IF(D32="楼面单价",C34,D118*10000/B118),I118-G118),0)</f>
        <v>49286</v>
      </c>
      <c r="F118" s="2329">
        <f ca="1">ROUND(IF(D32="总价",C35,G118*B118/10000),0)</f>
        <v>18870</v>
      </c>
      <c r="G118" s="2329">
        <f ca="1">ROUND(IF(D32="楼面单价",C35,F118*10000/B118),0)</f>
        <v>6913</v>
      </c>
      <c r="H118" s="2329">
        <f ca="1">ROUND(IF(D32="总价",C32,I118*B118/10000),0)</f>
        <v>153414</v>
      </c>
      <c r="I118" s="2329">
        <f ca="1">ROUND(IF(D32="楼面单价",C32,H118*10000/B118),0)</f>
        <v>56199</v>
      </c>
    </row>
    <row r="119" spans="1:27" ht="18.75" customHeight="1">
      <c r="A119" s="3641" t="s">
        <v>1451</v>
      </c>
      <c r="B119" s="3641"/>
      <c r="C119" s="3641"/>
      <c r="D119" s="3647" t="str">
        <f ca="1">NUMBERSTRING(INT(D118*10000),2)&amp;"元整"</f>
        <v>壹拾叁亿肆仟伍佰肆拾肆万元整</v>
      </c>
      <c r="E119" s="3648"/>
      <c r="F119" s="3647" t="str">
        <f ca="1">NUMBERSTRING(INT(F118*10000),2)&amp;"元整"</f>
        <v>壹亿捌仟捌佰柒拾万元整</v>
      </c>
      <c r="G119" s="3648"/>
      <c r="H119" s="3647" t="str">
        <f ca="1">NUMBERSTRING(INT(H118*10000),2)&amp;"元整"</f>
        <v>壹拾伍亿叁仟肆佰壹拾肆万元整</v>
      </c>
      <c r="I119" s="3648"/>
    </row>
    <row r="120" spans="1:27" ht="18.75" customHeight="1">
      <c r="A120" s="3642" t="str">
        <f>IF(项目基本情况!B9="房地产市场价值","",MID(E103,3,LEN(E103)-2))</f>
        <v>估价师知悉的法定优先受偿款</v>
      </c>
      <c r="B120" s="3643"/>
      <c r="C120" s="3644"/>
      <c r="D120" s="3642">
        <f>H103</f>
        <v>0</v>
      </c>
      <c r="E120" s="3643"/>
      <c r="F120" s="3643"/>
      <c r="G120" s="3643"/>
      <c r="H120" s="3643"/>
      <c r="I120" s="364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7" t="s">
        <v>1451</v>
      </c>
      <c r="B121" s="3649"/>
      <c r="C121" s="3648"/>
      <c r="D121" s="3647" t="str">
        <f>IF(D120=0,"零元整",NUMBERSTRING(INT(D120*10000),2)&amp;"元整")</f>
        <v>零元整</v>
      </c>
      <c r="E121" s="3649"/>
      <c r="F121" s="3649"/>
      <c r="G121" s="3649"/>
      <c r="H121" s="3649"/>
      <c r="I121" s="3648"/>
      <c r="AA121" s="725"/>
    </row>
    <row r="122" spans="1:27" ht="18.75" customHeight="1">
      <c r="A122" s="3653" t="str">
        <f>IF(项目基本情况!B9="房地产市场价值","",MID(E107,3,LEN(E107)-2))</f>
        <v>房地产抵押价值</v>
      </c>
      <c r="B122" s="3653"/>
      <c r="C122" s="3653"/>
      <c r="D122" s="3642">
        <f ca="1">H107</f>
        <v>153414</v>
      </c>
      <c r="E122" s="3643"/>
      <c r="F122" s="3643"/>
      <c r="G122" s="3643"/>
      <c r="H122" s="3643"/>
      <c r="I122" s="3644"/>
      <c r="AA122" s="725"/>
    </row>
    <row r="123" spans="1:27" ht="18.75" customHeight="1">
      <c r="A123" s="3641" t="s">
        <v>1451</v>
      </c>
      <c r="B123" s="3641"/>
      <c r="C123" s="3641"/>
      <c r="D123" s="3647" t="str">
        <f ca="1">NUMBERSTRING(INT(D122*10000),2)&amp;"元整"</f>
        <v>壹拾伍亿叁仟肆佰壹拾肆万元整</v>
      </c>
      <c r="E123" s="3649"/>
      <c r="F123" s="3649"/>
      <c r="G123" s="3649"/>
      <c r="H123" s="3649"/>
      <c r="I123" s="3648"/>
      <c r="AA123" s="725"/>
    </row>
    <row r="124" spans="1:27" ht="18.75" customHeight="1">
      <c r="A124" s="3653" t="str">
        <f>IF(项目基本情况!B9="房地产市场价值","",MID(E109,3,LEN(E109)-2))</f>
        <v/>
      </c>
      <c r="B124" s="3653"/>
      <c r="C124" s="3653"/>
      <c r="D124" s="3642" t="str">
        <f>H109</f>
        <v>——</v>
      </c>
      <c r="E124" s="3643"/>
      <c r="F124" s="3643"/>
      <c r="G124" s="3643"/>
      <c r="H124" s="3643"/>
      <c r="I124" s="3644"/>
      <c r="AA124" s="725"/>
    </row>
    <row r="125" spans="1:27" ht="18.75" customHeight="1">
      <c r="A125" s="3641" t="s">
        <v>1451</v>
      </c>
      <c r="B125" s="3641"/>
      <c r="C125" s="3641"/>
      <c r="D125" s="3647" t="e">
        <f>NUMBERSTRING(INT(D124*10000),2)&amp;"元整"</f>
        <v>#VALUE!</v>
      </c>
      <c r="E125" s="3649"/>
      <c r="F125" s="3649"/>
      <c r="G125" s="3649"/>
      <c r="H125" s="3649"/>
      <c r="I125" s="3648"/>
      <c r="AA125" s="725"/>
    </row>
    <row r="126" spans="1:27" ht="18.75" customHeight="1">
      <c r="A126" s="3653" t="str">
        <f>IF(项目基本情况!B9="房地产市场价值","",MID(E111,3,LEN(E111)-2))</f>
        <v>抵押净值</v>
      </c>
      <c r="B126" s="3653"/>
      <c r="C126" s="3653"/>
      <c r="D126" s="3642">
        <f ca="1">H111</f>
        <v>135935</v>
      </c>
      <c r="E126" s="3643"/>
      <c r="F126" s="3643"/>
      <c r="G126" s="3643"/>
      <c r="H126" s="3643"/>
      <c r="I126" s="3644"/>
      <c r="AA126" s="725"/>
    </row>
    <row r="127" spans="1:27" ht="18.75" customHeight="1">
      <c r="A127" s="3641" t="s">
        <v>1451</v>
      </c>
      <c r="B127" s="3641"/>
      <c r="C127" s="3641"/>
      <c r="D127" s="3647" t="str">
        <f ca="1">NUMBERSTRING(INT(D126*10000),2)&amp;"元整"</f>
        <v>壹拾叁亿伍仟玖佰叁拾伍万元整</v>
      </c>
      <c r="E127" s="3649"/>
      <c r="F127" s="3649"/>
      <c r="G127" s="3649"/>
      <c r="H127" s="3649"/>
      <c r="I127" s="3648"/>
      <c r="AA127" s="725"/>
    </row>
    <row r="128" spans="1:27" ht="21.75" customHeight="1">
      <c r="A128" s="3650" t="s">
        <v>1452</v>
      </c>
      <c r="B128" s="3650"/>
      <c r="C128" s="3650"/>
      <c r="D128" s="3650"/>
      <c r="E128" s="3650"/>
      <c r="F128" s="3650"/>
      <c r="G128" s="3650"/>
      <c r="H128" s="3650"/>
      <c r="I128" s="3650"/>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567" priority="21" stopIfTrue="1" operator="equal">
      <formula>25</formula>
    </cfRule>
  </conditionalFormatting>
  <conditionalFormatting sqref="C8:C9">
    <cfRule type="cellIs" dxfId="566" priority="19" stopIfTrue="1" operator="equal">
      <formula>15</formula>
    </cfRule>
  </conditionalFormatting>
  <conditionalFormatting sqref="C14:C16">
    <cfRule type="cellIs" dxfId="565" priority="13" stopIfTrue="1" operator="equal">
      <formula>30</formula>
    </cfRule>
  </conditionalFormatting>
  <conditionalFormatting sqref="D5:D7">
    <cfRule type="cellIs" dxfId="564" priority="10" stopIfTrue="1" operator="equal">
      <formula>25</formula>
    </cfRule>
  </conditionalFormatting>
  <conditionalFormatting sqref="D8:D9">
    <cfRule type="cellIs" dxfId="563" priority="9" stopIfTrue="1" operator="equal">
      <formula>15</formula>
    </cfRule>
  </conditionalFormatting>
  <conditionalFormatting sqref="C10:D13">
    <cfRule type="cellIs" dxfId="562" priority="8" stopIfTrue="1" operator="equal">
      <formula>15</formula>
    </cfRule>
  </conditionalFormatting>
  <conditionalFormatting sqref="D14:D16">
    <cfRule type="cellIs" dxfId="561" priority="6" stopIfTrue="1" operator="equal">
      <formula>30</formula>
    </cfRule>
  </conditionalFormatting>
  <conditionalFormatting sqref="C90">
    <cfRule type="expression" dxfId="560" priority="3" stopIfTrue="1">
      <formula>$H$88&lt;&gt;"仅含出让金"</formula>
    </cfRule>
  </conditionalFormatting>
  <conditionalFormatting sqref="C91">
    <cfRule type="expression" dxfId="559" priority="2" stopIfTrue="1">
      <formula>$H$91="由企业提供"</formula>
    </cfRule>
  </conditionalFormatting>
  <conditionalFormatting sqref="E36">
    <cfRule type="expression" dxfId="55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06">
        <f ca="1">ROUND(IF(D2="——",C52/10000,C52/10000-E2),4)</f>
        <v>17909.446499999998</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6561</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5459644</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5459644</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5459644</v>
      </c>
      <c r="D10" s="845">
        <f ca="1">IF(B1="",'数据-汇总表'!E6,IF(INDIRECT("'数据-取费表'!c"&amp;$G$1)="住宅",INDIRECT("'数据-取费表'!s"&amp;$G$1),INDIRECT("'数据-取费表'!k"&amp;$G$1)+INDIRECT("'数据-取费表'!s"&amp;$G$1)))</f>
        <v>27298.22</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5459644</v>
      </c>
      <c r="D19" s="849">
        <f ca="1">D9+D10</f>
        <v>27298.22</v>
      </c>
      <c r="E19" s="211">
        <f>'数据-取费表'!B31</f>
        <v>200</v>
      </c>
      <c r="F19" s="231"/>
      <c r="G19" s="1856"/>
    </row>
    <row r="20" spans="1:7" s="214" customFormat="1" ht="13.5" customHeight="1">
      <c r="A20" s="255" t="s">
        <v>1573</v>
      </c>
      <c r="B20" s="210" t="s">
        <v>1574</v>
      </c>
      <c r="C20" s="232">
        <f ca="1">ROUND((C5+C19)*F20,0)</f>
        <v>218386</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934169</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462553</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462553</v>
      </c>
      <c r="D24" s="238"/>
      <c r="E24" s="238"/>
      <c r="F24" s="239"/>
      <c r="G24" s="240" t="s">
        <v>1585</v>
      </c>
    </row>
    <row r="25" spans="1:7" s="214" customFormat="1" ht="24">
      <c r="A25" s="780" t="s">
        <v>1475</v>
      </c>
      <c r="B25" s="215" t="s">
        <v>1586</v>
      </c>
      <c r="C25" s="1128">
        <f ca="1">ROUND(IF('数据-取费表'!B22&lt;=1,C20*F22*'数据-取费表'!B22/2,C20*(POWER((1+F22),'数据-取费表'!B22/2)-1)),0)</f>
        <v>9063</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2227535</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2227535</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15510769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148863063</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137228152</v>
      </c>
      <c r="D34" s="217"/>
      <c r="E34" s="220"/>
      <c r="F34" s="257"/>
      <c r="G34" s="219"/>
    </row>
    <row r="35" spans="1:7" ht="13.5" customHeight="1">
      <c r="A35" s="780" t="s">
        <v>351</v>
      </c>
      <c r="B35" s="215" t="s">
        <v>1526</v>
      </c>
      <c r="C35" s="220">
        <f ca="1">ROUND(C34*F35,0)</f>
        <v>4116845</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0.05</v>
      </c>
      <c r="G36" s="260" t="s">
        <v>1529</v>
      </c>
    </row>
    <row r="37" spans="1:7" s="258" customFormat="1" ht="13.5" customHeight="1">
      <c r="A37" s="780" t="s">
        <v>353</v>
      </c>
      <c r="B37" s="215" t="s">
        <v>1530</v>
      </c>
      <c r="C37" s="249">
        <f ca="1">ROUND(E37*D37,0)</f>
        <v>5459644</v>
      </c>
      <c r="D37" s="217">
        <f ca="1">D19</f>
        <v>27298.22</v>
      </c>
      <c r="E37" s="249">
        <f>'数据-取费表'!B35</f>
        <v>200</v>
      </c>
      <c r="F37" s="259"/>
      <c r="G37" s="261"/>
    </row>
    <row r="38" spans="1:7" ht="13.5" customHeight="1">
      <c r="A38" s="780" t="s">
        <v>354</v>
      </c>
      <c r="B38" s="215" t="s">
        <v>1532</v>
      </c>
      <c r="C38" s="220">
        <f ca="1">ROUND(C34*F38,0)</f>
        <v>2058422</v>
      </c>
      <c r="D38" s="220"/>
      <c r="E38" s="220"/>
      <c r="F38" s="259">
        <f>'数据-取费表'!B36</f>
        <v>1.4999999999999999E-2</v>
      </c>
      <c r="G38" s="219" t="s">
        <v>1527</v>
      </c>
    </row>
    <row r="39" spans="1:7" s="214" customFormat="1" ht="13.5" customHeight="1">
      <c r="A39" s="255" t="s">
        <v>1533</v>
      </c>
      <c r="B39" s="210" t="s">
        <v>1534</v>
      </c>
      <c r="C39" s="232">
        <f ca="1">ROUND(C33*F20,0)</f>
        <v>2977261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6301373</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6177817</v>
      </c>
      <c r="D42" s="238"/>
      <c r="E42" s="238"/>
      <c r="F42" s="239"/>
      <c r="G42" s="3720" t="s">
        <v>1590</v>
      </c>
    </row>
    <row r="43" spans="1:7" ht="13.5" customHeight="1">
      <c r="A43" s="780" t="s">
        <v>347</v>
      </c>
      <c r="B43" s="215" t="s">
        <v>1544</v>
      </c>
      <c r="C43" s="238">
        <f ca="1">ROUND(IF('数据-取费表'!B22&lt;=1,C39*F22*'数据-取费表'!B20/2,C39*(POWER((1+F22),'数据-取费表'!B20/2)-1)),0)</f>
        <v>123556</v>
      </c>
      <c r="D43" s="238"/>
      <c r="E43" s="238"/>
      <c r="F43" s="239"/>
      <c r="G43" s="3721"/>
    </row>
    <row r="44" spans="1:7" ht="13.5" customHeight="1">
      <c r="A44" s="780" t="s">
        <v>348</v>
      </c>
      <c r="B44" s="215" t="s">
        <v>1545</v>
      </c>
      <c r="C44" s="238">
        <f ca="1">ROUND(IF('数据-取费表'!B22&lt;=1,C40*F22*'数据-取费表'!B20/2,C40*(POWER((1+F22),'数据-取费表'!B20/2)-1)),4)</f>
        <v>8.0000000000000004E-4</v>
      </c>
      <c r="D44" s="238"/>
      <c r="E44" s="238"/>
      <c r="F44" s="239"/>
      <c r="G44" s="3722"/>
    </row>
    <row r="45" spans="1:7" s="214" customFormat="1" ht="13.5" customHeight="1">
      <c r="A45" s="255" t="s">
        <v>1546</v>
      </c>
      <c r="B45" s="244" t="s">
        <v>1512</v>
      </c>
      <c r="C45" s="245">
        <f ca="1">C46</f>
        <v>30368065</v>
      </c>
      <c r="D45" s="235">
        <f ca="1">C47</f>
        <v>4.0000000000000001E-3</v>
      </c>
      <c r="E45" s="236" t="s">
        <v>1538</v>
      </c>
      <c r="F45" s="246">
        <f ca="1">F27</f>
        <v>0.2</v>
      </c>
      <c r="G45" s="247" t="s">
        <v>1547</v>
      </c>
    </row>
    <row r="46" spans="1:7" s="214" customFormat="1" ht="13.5" customHeight="1">
      <c r="A46" s="780" t="s">
        <v>346</v>
      </c>
      <c r="B46" s="248" t="s">
        <v>1548</v>
      </c>
      <c r="C46" s="249">
        <f ca="1">ROUND((C33+C39)*F27,0)</f>
        <v>30368065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204479620</v>
      </c>
      <c r="D49" s="232"/>
      <c r="E49" s="232"/>
      <c r="F49" s="264"/>
      <c r="G49" s="234" t="s">
        <v>1553</v>
      </c>
    </row>
    <row r="50" spans="1:7" s="258" customFormat="1">
      <c r="A50" s="255" t="s">
        <v>1554</v>
      </c>
      <c r="B50" s="210" t="s">
        <v>1555</v>
      </c>
      <c r="C50" s="232"/>
      <c r="D50" s="232"/>
      <c r="E50" s="232"/>
      <c r="F50" s="264">
        <f>IF('数据-取费表'!B24=0,'数据-取费表'!N16,1)</f>
        <v>0.8</v>
      </c>
      <c r="G50" s="247"/>
    </row>
    <row r="51" spans="1:7" ht="16.5" customHeight="1">
      <c r="A51" s="255" t="s">
        <v>1557</v>
      </c>
      <c r="B51" s="210" t="s">
        <v>1592</v>
      </c>
      <c r="C51" s="232">
        <f ca="1">ROUND(C49*F50,0)</f>
        <v>163583696</v>
      </c>
      <c r="D51" s="232"/>
      <c r="E51" s="232"/>
      <c r="F51" s="264"/>
      <c r="G51" s="234" t="s">
        <v>1559</v>
      </c>
    </row>
    <row r="52" spans="1:7" s="208" customFormat="1" ht="16.5" thickBot="1">
      <c r="A52" s="265" t="s">
        <v>1560</v>
      </c>
      <c r="B52" s="266"/>
      <c r="C52" s="267">
        <f ca="1">C31+C51</f>
        <v>179094465</v>
      </c>
      <c r="D52" s="266"/>
      <c r="E52" s="266"/>
      <c r="F52" s="266"/>
      <c r="G52" s="268"/>
    </row>
    <row r="55" spans="1:7" ht="15">
      <c r="B55" s="270" t="s">
        <v>1561</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38" t="str">
        <f>项目基本情况!B1</f>
        <v>北京市房地产抵押价值预评估</v>
      </c>
      <c r="C37" s="3538"/>
      <c r="D37" s="3538"/>
      <c r="E37" s="3538"/>
      <c r="F37" s="3538"/>
      <c r="G37" s="3538"/>
      <c r="H37" s="3538"/>
      <c r="I37" s="353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788"/>
      <c r="F1" s="2788"/>
      <c r="G1" s="2653"/>
      <c r="H1" s="2788"/>
      <c r="I1" s="2788"/>
      <c r="J1" s="2788"/>
      <c r="K1" s="2789">
        <f>MATCH(C1,'数据-取费表'!A6:A16,0)+5</f>
        <v>7</v>
      </c>
    </row>
    <row r="2" spans="1:33" ht="18" customHeight="1">
      <c r="A2" s="201" t="s">
        <v>1461</v>
      </c>
      <c r="B2" s="204">
        <f ca="1">C32</f>
        <v>0</v>
      </c>
      <c r="C2" s="276" t="s">
        <v>1594</v>
      </c>
      <c r="D2" s="276"/>
      <c r="E2" s="2788"/>
      <c r="F2" s="2788"/>
      <c r="G2" s="2788"/>
      <c r="H2" s="2788"/>
      <c r="I2" s="2788"/>
      <c r="J2" s="2788"/>
      <c r="K2" s="2788"/>
    </row>
    <row r="3" spans="1:33" ht="18" customHeight="1" thickBot="1">
      <c r="A3" s="203" t="s">
        <v>1463</v>
      </c>
      <c r="B3" s="204">
        <f ca="1">ROUND(B2*10000/IF(C1="",'数据-汇总表'!E3,INDIRECT("'数据-取费表'!K"&amp;$K$1)),0)</f>
        <v>0</v>
      </c>
      <c r="C3" s="276" t="s">
        <v>1595</v>
      </c>
      <c r="D3" s="276"/>
      <c r="E3" s="2788"/>
      <c r="F3" s="2788"/>
      <c r="G3" s="2788"/>
      <c r="H3" s="2788"/>
      <c r="I3" s="2788"/>
      <c r="J3" s="2788"/>
      <c r="K3" s="2788"/>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0.05</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27298.22</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27298.22</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546</v>
      </c>
      <c r="D20" s="846">
        <f ca="1">IF(C1="",'数据-汇总表'!E6,IF(INDIRECT("'数据-取费表'!c"&amp;$K$1)="住宅",INDIRECT("'数据-取费表'!s"&amp;$K$1),INDIRECT("'数据-取费表'!k"&amp;$K$1)+INDIRECT("'数据-取费表'!s"&amp;$K$1)))</f>
        <v>27298.22</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4" sqref="M3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673</v>
      </c>
      <c r="E1" s="3408" t="s">
        <v>3397</v>
      </c>
      <c r="F1" s="1879" t="s">
        <v>3398</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179205</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16"/>
      <c r="M2" s="2717"/>
      <c r="N2" s="2717"/>
      <c r="O2" s="2717"/>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65647</v>
      </c>
      <c r="C3" s="354" t="s">
        <v>1767</v>
      </c>
      <c r="D3" s="353">
        <f>IF(D1="",'数据-汇总表'!E3,SUMIF('数据-汇总表'!$C19:$C33,D1,'数据-汇总表'!$E19:$E33))</f>
        <v>27298.22</v>
      </c>
      <c r="E3" s="1954"/>
      <c r="F3" s="909"/>
      <c r="G3" s="908"/>
      <c r="H3" s="908"/>
      <c r="I3" s="908"/>
      <c r="J3" s="908"/>
      <c r="K3" s="910"/>
      <c r="L3" s="2716"/>
      <c r="M3" s="2717"/>
      <c r="N3" s="2717"/>
      <c r="O3" s="2717"/>
      <c r="P3" s="1952"/>
      <c r="Q3" s="912"/>
      <c r="R3" s="912"/>
      <c r="S3" s="912"/>
      <c r="T3" s="912"/>
      <c r="U3" s="912"/>
      <c r="V3" s="912"/>
      <c r="W3" s="912"/>
      <c r="X3" s="912"/>
      <c r="Y3" s="912"/>
      <c r="Z3" s="912"/>
      <c r="AA3" s="912"/>
      <c r="AB3" s="912"/>
      <c r="AC3" s="1954"/>
    </row>
    <row r="4" spans="1:29" ht="15">
      <c r="A4" s="355" t="s">
        <v>1768</v>
      </c>
      <c r="B4" s="356"/>
      <c r="C4" s="3742" t="s">
        <v>1769</v>
      </c>
      <c r="D4" s="3743"/>
      <c r="E4" s="3744" t="s">
        <v>1770</v>
      </c>
      <c r="F4" s="3745"/>
      <c r="G4" s="3742" t="s">
        <v>1771</v>
      </c>
      <c r="H4" s="3743"/>
      <c r="I4" s="3742" t="s">
        <v>1772</v>
      </c>
      <c r="J4" s="3743"/>
      <c r="K4" s="559" t="s">
        <v>1773</v>
      </c>
      <c r="L4" s="2697"/>
      <c r="M4" s="2698"/>
      <c r="N4" s="2698"/>
      <c r="O4" s="2698"/>
      <c r="P4" s="3746" t="s">
        <v>1774</v>
      </c>
      <c r="Q4" s="3747"/>
      <c r="R4" s="3729" t="s">
        <v>1770</v>
      </c>
      <c r="S4" s="3730"/>
      <c r="T4" s="3729" t="s">
        <v>1771</v>
      </c>
      <c r="U4" s="3730"/>
      <c r="V4" s="3726" t="s">
        <v>1772</v>
      </c>
      <c r="W4" s="3726"/>
      <c r="X4" s="1355"/>
      <c r="Y4" s="3729" t="s">
        <v>1774</v>
      </c>
      <c r="Z4" s="3730"/>
      <c r="AA4" s="3723" t="s">
        <v>1770</v>
      </c>
      <c r="AB4" s="3726" t="s">
        <v>1771</v>
      </c>
      <c r="AC4" s="3723" t="s">
        <v>1772</v>
      </c>
    </row>
    <row r="5" spans="1:29" ht="15">
      <c r="A5" s="358"/>
      <c r="B5" s="359"/>
      <c r="C5" s="3735" t="s">
        <v>1672</v>
      </c>
      <c r="D5" s="3736"/>
      <c r="E5" s="3733" t="str">
        <f>Sheet1!B24</f>
        <v>通州富力中心</v>
      </c>
      <c r="F5" s="3734"/>
      <c r="G5" s="3735" t="str">
        <f>Sheet1!B17</f>
        <v>金茂广场1#楼</v>
      </c>
      <c r="H5" s="3736"/>
      <c r="I5" s="3735" t="str">
        <f>Sheet1!B20</f>
        <v>诺德中心</v>
      </c>
      <c r="J5" s="3736"/>
      <c r="K5" s="559"/>
      <c r="L5" s="2697"/>
      <c r="M5" s="2698"/>
      <c r="N5" s="2698"/>
      <c r="O5" s="2698"/>
      <c r="P5" s="3748"/>
      <c r="Q5" s="3749"/>
      <c r="R5" s="3731"/>
      <c r="S5" s="3732"/>
      <c r="T5" s="3731"/>
      <c r="U5" s="3732"/>
      <c r="V5" s="3726"/>
      <c r="W5" s="3726"/>
      <c r="X5" s="1355"/>
      <c r="Y5" s="3731"/>
      <c r="Z5" s="3732"/>
      <c r="AA5" s="3724"/>
      <c r="AB5" s="3726"/>
      <c r="AC5" s="3724"/>
    </row>
    <row r="6" spans="1:29" ht="15.75" thickBot="1">
      <c r="A6" s="360"/>
      <c r="B6" s="361"/>
      <c r="C6" s="3737" t="s">
        <v>1676</v>
      </c>
      <c r="D6" s="3738"/>
      <c r="E6" s="3739" t="s">
        <v>1676</v>
      </c>
      <c r="F6" s="3740"/>
      <c r="G6" s="3737" t="s">
        <v>1676</v>
      </c>
      <c r="H6" s="3738"/>
      <c r="I6" s="3737" t="s">
        <v>1676</v>
      </c>
      <c r="J6" s="3738"/>
      <c r="K6" s="559" t="s">
        <v>1677</v>
      </c>
      <c r="L6" s="2697"/>
      <c r="M6" s="2698"/>
      <c r="N6" s="2698"/>
      <c r="O6" s="2698"/>
      <c r="P6" s="3750"/>
      <c r="Q6" s="3751"/>
      <c r="R6" s="3731"/>
      <c r="S6" s="3732"/>
      <c r="T6" s="3752"/>
      <c r="U6" s="3753"/>
      <c r="V6" s="3726"/>
      <c r="W6" s="3726"/>
      <c r="X6" s="1355"/>
      <c r="Y6" s="3752"/>
      <c r="Z6" s="3753"/>
      <c r="AA6" s="3725"/>
      <c r="AB6" s="3726"/>
      <c r="AC6" s="3725"/>
    </row>
    <row r="7" spans="1:29" s="108" customFormat="1" ht="15.75" thickBot="1">
      <c r="A7" s="362" t="s">
        <v>1678</v>
      </c>
      <c r="B7" s="363"/>
      <c r="C7" s="364">
        <f>'数据-取费表'!B2</f>
        <v>45009</v>
      </c>
      <c r="D7" s="365">
        <v>100</v>
      </c>
      <c r="E7" s="366">
        <v>44805</v>
      </c>
      <c r="F7" s="367">
        <f>SUMIF(58:58,YEAR(E7)&amp;"-"&amp;MONTH(E7),59:59)</f>
        <v>100</v>
      </c>
      <c r="G7" s="366">
        <v>44805</v>
      </c>
      <c r="H7" s="365">
        <f>SUMIF(58:58,YEAR(G7)&amp;"-"&amp;MONTH(G7),59:59)</f>
        <v>100</v>
      </c>
      <c r="I7" s="366">
        <v>44896</v>
      </c>
      <c r="J7" s="365">
        <f>SUMIF(58:58,YEAR(I7)&amp;"-"&amp;MONTH(I7),59:59)</f>
        <v>100</v>
      </c>
      <c r="K7" s="560"/>
      <c r="L7" s="2699"/>
      <c r="M7" s="2700"/>
      <c r="N7" s="2700"/>
      <c r="O7" s="2700"/>
      <c r="P7" s="3727" t="s">
        <v>1679</v>
      </c>
      <c r="Q7" s="3754"/>
      <c r="R7" s="701" t="s">
        <v>14</v>
      </c>
      <c r="S7" s="702">
        <f t="shared" ref="S7:S15" si="0">F7</f>
        <v>100</v>
      </c>
      <c r="T7" s="701" t="s">
        <v>14</v>
      </c>
      <c r="U7" s="702">
        <f t="shared" ref="U7:U15" si="1">H7</f>
        <v>100</v>
      </c>
      <c r="V7" s="701" t="s">
        <v>14</v>
      </c>
      <c r="W7" s="702">
        <f t="shared" ref="W7:W15" si="2">J7</f>
        <v>100</v>
      </c>
      <c r="X7" s="703"/>
      <c r="Y7" s="3727" t="s">
        <v>1679</v>
      </c>
      <c r="Z7" s="3728"/>
      <c r="AA7" s="704">
        <f>D7/F7</f>
        <v>1</v>
      </c>
      <c r="AB7" s="704">
        <f>D7/H7</f>
        <v>1</v>
      </c>
      <c r="AC7" s="704">
        <f>D7/J7</f>
        <v>1</v>
      </c>
    </row>
    <row r="8" spans="1:29" s="108" customFormat="1" ht="15.75" thickBot="1">
      <c r="A8" s="362" t="s">
        <v>1680</v>
      </c>
      <c r="B8" s="363"/>
      <c r="C8" s="368" t="s">
        <v>3520</v>
      </c>
      <c r="D8" s="365">
        <v>100</v>
      </c>
      <c r="E8" s="368" t="s">
        <v>3520</v>
      </c>
      <c r="F8" s="367">
        <f>SUMIF(61:61,E8,62:62)-SUMIF(61:61,C8,62:62)+100</f>
        <v>100</v>
      </c>
      <c r="G8" s="368" t="s">
        <v>3520</v>
      </c>
      <c r="H8" s="365">
        <f>SUMIF(61:61,G8,62:62)-SUMIF(61:61,C8,62:62)+100</f>
        <v>100</v>
      </c>
      <c r="I8" s="368" t="s">
        <v>3520</v>
      </c>
      <c r="J8" s="365">
        <f>SUMIF(61:61,I8,62:62)-SUMIF(61:61,C8,62:62)+100</f>
        <v>100</v>
      </c>
      <c r="K8" s="560"/>
      <c r="L8" s="2699"/>
      <c r="M8" s="2700"/>
      <c r="N8" s="2700"/>
      <c r="O8" s="2700"/>
      <c r="P8" s="3727" t="s">
        <v>1682</v>
      </c>
      <c r="Q8" s="3728"/>
      <c r="R8" s="701" t="s">
        <v>14</v>
      </c>
      <c r="S8" s="702">
        <f t="shared" si="0"/>
        <v>100</v>
      </c>
      <c r="T8" s="701" t="s">
        <v>14</v>
      </c>
      <c r="U8" s="702">
        <f t="shared" si="1"/>
        <v>100</v>
      </c>
      <c r="V8" s="701" t="s">
        <v>14</v>
      </c>
      <c r="W8" s="702">
        <f t="shared" si="2"/>
        <v>100</v>
      </c>
      <c r="X8" s="703"/>
      <c r="Y8" s="3727" t="s">
        <v>1682</v>
      </c>
      <c r="Z8" s="3728"/>
      <c r="AA8" s="704">
        <f t="shared" ref="AA8:AA46" si="3">D8/F8</f>
        <v>1</v>
      </c>
      <c r="AB8" s="704">
        <f t="shared" ref="AB8:AB46" si="4">D8/H8</f>
        <v>1</v>
      </c>
      <c r="AC8" s="704">
        <f t="shared" ref="AC8:AC46" si="5">D8/J8</f>
        <v>1</v>
      </c>
    </row>
    <row r="9" spans="1:29" s="108" customFormat="1" ht="15">
      <c r="A9" s="369" t="s">
        <v>1683</v>
      </c>
      <c r="B9" s="63" t="s">
        <v>1684</v>
      </c>
      <c r="C9" s="3442" t="s">
        <v>3521</v>
      </c>
      <c r="D9" s="126">
        <v>100</v>
      </c>
      <c r="E9" s="3443" t="s">
        <v>3522</v>
      </c>
      <c r="F9" s="372">
        <f>SUMIF(63:63,E9,64:64)-SUMIF(63:63,C9,64:64)+100</f>
        <v>90</v>
      </c>
      <c r="G9" s="3443" t="s">
        <v>3523</v>
      </c>
      <c r="H9" s="126">
        <f>SUMIF(63:63,G9,64:64)-SUMIF(63:63,C9,64:64)+100</f>
        <v>90</v>
      </c>
      <c r="I9" s="3443" t="s">
        <v>3522</v>
      </c>
      <c r="J9" s="126">
        <f>SUMIF(63:63,I9,64:64)-SUMIF(63:63,C9,64:64)+100</f>
        <v>90</v>
      </c>
      <c r="K9" s="560"/>
      <c r="L9" s="2699"/>
      <c r="M9" s="2700"/>
      <c r="N9" s="2700"/>
      <c r="O9" s="2700"/>
      <c r="P9" s="3741" t="s">
        <v>1685</v>
      </c>
      <c r="Q9" s="1343" t="str">
        <f t="shared" ref="Q9:Q15" si="6">B9</f>
        <v>用途</v>
      </c>
      <c r="R9" s="701" t="s">
        <v>14</v>
      </c>
      <c r="S9" s="702">
        <f t="shared" si="0"/>
        <v>90</v>
      </c>
      <c r="T9" s="701" t="s">
        <v>14</v>
      </c>
      <c r="U9" s="702">
        <f t="shared" si="1"/>
        <v>90</v>
      </c>
      <c r="V9" s="701" t="s">
        <v>14</v>
      </c>
      <c r="W9" s="702">
        <f t="shared" si="2"/>
        <v>90</v>
      </c>
      <c r="X9" s="703"/>
      <c r="Y9" s="3696" t="s">
        <v>1686</v>
      </c>
      <c r="Z9" s="52" t="str">
        <f t="shared" ref="Z9:Z15" si="7">Q9</f>
        <v>用途</v>
      </c>
      <c r="AA9" s="704">
        <f t="shared" si="3"/>
        <v>1.1111111111111112</v>
      </c>
      <c r="AB9" s="704">
        <f t="shared" si="4"/>
        <v>1.1111111111111112</v>
      </c>
      <c r="AC9" s="704">
        <f t="shared" si="5"/>
        <v>1.1111111111111112</v>
      </c>
    </row>
    <row r="10" spans="1:29" s="378" customFormat="1" ht="27">
      <c r="A10" s="374"/>
      <c r="B10" s="375" t="s">
        <v>1687</v>
      </c>
      <c r="C10" s="3416"/>
      <c r="D10" s="127">
        <v>100</v>
      </c>
      <c r="E10" s="3417"/>
      <c r="F10" s="376">
        <f>SUMIF(65:65,E10,66:66)-SUMIF(65:65,C10,66:66)+100</f>
        <v>100</v>
      </c>
      <c r="G10" s="3416"/>
      <c r="H10" s="127">
        <f>SUMIF(65:65,G10,66:66)-SUMIF(65:65,C10,66:66)+100</f>
        <v>100</v>
      </c>
      <c r="I10" s="3416"/>
      <c r="J10" s="127">
        <f>SUMIF(65:65,I10,66:66)-SUMIF(65:65,C10,66:66)+100</f>
        <v>100</v>
      </c>
      <c r="K10" s="560"/>
      <c r="L10" s="2701"/>
      <c r="M10" s="2702"/>
      <c r="N10" s="2702"/>
      <c r="O10" s="2702"/>
      <c r="P10" s="3741"/>
      <c r="Q10" s="1343" t="str">
        <f t="shared" si="6"/>
        <v>土地使用年限（年）</v>
      </c>
      <c r="R10" s="701" t="s">
        <v>14</v>
      </c>
      <c r="S10" s="702">
        <f t="shared" si="0"/>
        <v>100</v>
      </c>
      <c r="T10" s="701" t="s">
        <v>14</v>
      </c>
      <c r="U10" s="702">
        <f t="shared" si="1"/>
        <v>100</v>
      </c>
      <c r="V10" s="701" t="s">
        <v>14</v>
      </c>
      <c r="W10" s="702">
        <f t="shared" si="2"/>
        <v>100</v>
      </c>
      <c r="X10" s="703"/>
      <c r="Y10" s="3696"/>
      <c r="Z10" s="52"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03"/>
      <c r="M11" s="2698"/>
      <c r="N11" s="2698"/>
      <c r="O11" s="2698"/>
      <c r="P11" s="3741"/>
      <c r="Q11" s="1343" t="str">
        <f t="shared" si="6"/>
        <v>容积率</v>
      </c>
      <c r="R11" s="701" t="s">
        <v>14</v>
      </c>
      <c r="S11" s="702">
        <f t="shared" si="0"/>
        <v>100</v>
      </c>
      <c r="T11" s="701" t="s">
        <v>14</v>
      </c>
      <c r="U11" s="702">
        <f t="shared" si="1"/>
        <v>100</v>
      </c>
      <c r="V11" s="701" t="s">
        <v>14</v>
      </c>
      <c r="W11" s="702">
        <f t="shared" si="2"/>
        <v>100</v>
      </c>
      <c r="X11" s="703"/>
      <c r="Y11" s="3696"/>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9"/>
      <c r="M12" s="2700"/>
      <c r="N12" s="2700"/>
      <c r="O12" s="2700"/>
      <c r="P12" s="3741"/>
      <c r="Q12" s="1343">
        <f t="shared" si="6"/>
        <v>111</v>
      </c>
      <c r="R12" s="701" t="s">
        <v>14</v>
      </c>
      <c r="S12" s="702">
        <f t="shared" si="0"/>
        <v>100</v>
      </c>
      <c r="T12" s="701" t="s">
        <v>14</v>
      </c>
      <c r="U12" s="702">
        <f t="shared" si="1"/>
        <v>100</v>
      </c>
      <c r="V12" s="701" t="s">
        <v>14</v>
      </c>
      <c r="W12" s="702">
        <f t="shared" si="2"/>
        <v>100</v>
      </c>
      <c r="X12" s="703"/>
      <c r="Y12" s="369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04"/>
      <c r="M13" s="2698"/>
      <c r="N13" s="2698"/>
      <c r="O13" s="2698"/>
      <c r="P13" s="3741"/>
      <c r="Q13" s="1343">
        <f t="shared" si="6"/>
        <v>111</v>
      </c>
      <c r="R13" s="701" t="s">
        <v>14</v>
      </c>
      <c r="S13" s="702">
        <f t="shared" si="0"/>
        <v>100</v>
      </c>
      <c r="T13" s="701" t="s">
        <v>14</v>
      </c>
      <c r="U13" s="702">
        <f t="shared" si="1"/>
        <v>100</v>
      </c>
      <c r="V13" s="701" t="s">
        <v>14</v>
      </c>
      <c r="W13" s="702">
        <f t="shared" si="2"/>
        <v>100</v>
      </c>
      <c r="X13" s="703"/>
      <c r="Y13" s="369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04"/>
      <c r="M14" s="2698"/>
      <c r="N14" s="2698"/>
      <c r="O14" s="2698"/>
      <c r="P14" s="3741"/>
      <c r="Q14" s="1343">
        <f t="shared" si="6"/>
        <v>111</v>
      </c>
      <c r="R14" s="701" t="s">
        <v>14</v>
      </c>
      <c r="S14" s="702">
        <f t="shared" si="0"/>
        <v>100</v>
      </c>
      <c r="T14" s="701" t="s">
        <v>14</v>
      </c>
      <c r="U14" s="702">
        <f t="shared" si="1"/>
        <v>100</v>
      </c>
      <c r="V14" s="701" t="s">
        <v>14</v>
      </c>
      <c r="W14" s="702">
        <f t="shared" si="2"/>
        <v>100</v>
      </c>
      <c r="X14" s="703"/>
      <c r="Y14" s="3696"/>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95</v>
      </c>
      <c r="G15" s="395"/>
      <c r="H15" s="392">
        <f>SUMIF(76:76,G16,77:77)-SUMIF(76:76,C16,77:77)+100</f>
        <v>95</v>
      </c>
      <c r="I15" s="393"/>
      <c r="J15" s="392">
        <f>SUMIF(76:76,I16,77:77)-SUMIF(76:76,C16,77:77)+100</f>
        <v>95</v>
      </c>
      <c r="K15" s="563">
        <v>5</v>
      </c>
      <c r="L15" s="2704"/>
      <c r="M15" s="2698"/>
      <c r="N15" s="2698"/>
      <c r="O15" s="2698"/>
      <c r="P15" s="3755" t="s">
        <v>1690</v>
      </c>
      <c r="Q15" s="1352" t="str">
        <f t="shared" si="6"/>
        <v>商业繁华度</v>
      </c>
      <c r="R15" s="705" t="s">
        <v>14</v>
      </c>
      <c r="S15" s="706">
        <f t="shared" si="0"/>
        <v>95</v>
      </c>
      <c r="T15" s="705" t="s">
        <v>14</v>
      </c>
      <c r="U15" s="706">
        <f t="shared" si="1"/>
        <v>95</v>
      </c>
      <c r="V15" s="705" t="s">
        <v>14</v>
      </c>
      <c r="W15" s="706">
        <f t="shared" si="2"/>
        <v>95</v>
      </c>
      <c r="X15" s="1355"/>
      <c r="Y15" s="3757" t="s">
        <v>1690</v>
      </c>
      <c r="Z15" s="1356" t="str">
        <f t="shared" si="7"/>
        <v>商业繁华度</v>
      </c>
      <c r="AA15" s="1353">
        <f t="shared" si="3"/>
        <v>1.0526315789473684</v>
      </c>
      <c r="AB15" s="1353">
        <f t="shared" si="4"/>
        <v>1.0526315789473684</v>
      </c>
      <c r="AC15" s="1353">
        <f t="shared" si="5"/>
        <v>1.0526315789473684</v>
      </c>
    </row>
    <row r="16" spans="1:29" ht="15">
      <c r="A16" s="379"/>
      <c r="B16" s="397"/>
      <c r="C16" s="3452" t="s">
        <v>3524</v>
      </c>
      <c r="D16" s="399"/>
      <c r="E16" s="3452" t="s">
        <v>3525</v>
      </c>
      <c r="F16" s="400"/>
      <c r="G16" s="3452" t="s">
        <v>3525</v>
      </c>
      <c r="H16" s="401"/>
      <c r="I16" s="3452" t="s">
        <v>3525</v>
      </c>
      <c r="J16" s="399"/>
      <c r="K16" s="564"/>
      <c r="L16" s="2704"/>
      <c r="M16" s="2698"/>
      <c r="N16" s="2698"/>
      <c r="O16" s="2698"/>
      <c r="P16" s="3756"/>
      <c r="Q16" s="1352"/>
      <c r="R16" s="705"/>
      <c r="S16" s="706"/>
      <c r="T16" s="705"/>
      <c r="U16" s="706"/>
      <c r="V16" s="705"/>
      <c r="W16" s="706"/>
      <c r="X16" s="1355"/>
      <c r="Y16" s="375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4"/>
      <c r="M17" s="2698"/>
      <c r="N17" s="2698"/>
      <c r="O17" s="2698"/>
      <c r="P17" s="3756"/>
      <c r="Q17" s="1352" t="str">
        <f>B17</f>
        <v>交通便捷度</v>
      </c>
      <c r="R17" s="705" t="s">
        <v>14</v>
      </c>
      <c r="S17" s="706">
        <f>F17</f>
        <v>100</v>
      </c>
      <c r="T17" s="705" t="s">
        <v>14</v>
      </c>
      <c r="U17" s="706">
        <f>H17</f>
        <v>100</v>
      </c>
      <c r="V17" s="705" t="s">
        <v>14</v>
      </c>
      <c r="W17" s="706">
        <f>J17</f>
        <v>100</v>
      </c>
      <c r="X17" s="1355"/>
      <c r="Y17" s="375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04"/>
      <c r="M18" s="2698"/>
      <c r="N18" s="2698"/>
      <c r="O18" s="2698"/>
      <c r="P18" s="3756"/>
      <c r="Q18" s="1352"/>
      <c r="R18" s="705"/>
      <c r="S18" s="706"/>
      <c r="T18" s="705"/>
      <c r="U18" s="706"/>
      <c r="V18" s="705"/>
      <c r="W18" s="706"/>
      <c r="X18" s="1355"/>
      <c r="Y18" s="3758"/>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4"/>
      <c r="M19" s="2698"/>
      <c r="N19" s="2698"/>
      <c r="O19" s="2698"/>
      <c r="P19" s="3756"/>
      <c r="Q19" s="1352" t="str">
        <f>B19</f>
        <v>公共配套设施</v>
      </c>
      <c r="R19" s="705" t="s">
        <v>14</v>
      </c>
      <c r="S19" s="706">
        <f>F19</f>
        <v>100</v>
      </c>
      <c r="T19" s="705" t="s">
        <v>14</v>
      </c>
      <c r="U19" s="706">
        <f>H19</f>
        <v>100</v>
      </c>
      <c r="V19" s="705" t="s">
        <v>14</v>
      </c>
      <c r="W19" s="706">
        <f>J19</f>
        <v>100</v>
      </c>
      <c r="X19" s="1355"/>
      <c r="Y19" s="375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04"/>
      <c r="M20" s="2698"/>
      <c r="N20" s="2698"/>
      <c r="O20" s="2698"/>
      <c r="P20" s="3756"/>
      <c r="Q20" s="1352"/>
      <c r="R20" s="705"/>
      <c r="S20" s="706"/>
      <c r="T20" s="705"/>
      <c r="U20" s="706"/>
      <c r="V20" s="705"/>
      <c r="W20" s="706"/>
      <c r="X20" s="1355"/>
      <c r="Y20" s="3758"/>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4"/>
      <c r="M21" s="2698"/>
      <c r="N21" s="2698"/>
      <c r="O21" s="2698"/>
      <c r="P21" s="3756"/>
      <c r="Q21" s="1352" t="str">
        <f>B21</f>
        <v>基础设施水平</v>
      </c>
      <c r="R21" s="705" t="s">
        <v>14</v>
      </c>
      <c r="S21" s="706">
        <f>F21</f>
        <v>100</v>
      </c>
      <c r="T21" s="705" t="s">
        <v>14</v>
      </c>
      <c r="U21" s="706">
        <f>H21</f>
        <v>100</v>
      </c>
      <c r="V21" s="705" t="s">
        <v>14</v>
      </c>
      <c r="W21" s="706">
        <f>J21</f>
        <v>100</v>
      </c>
      <c r="X21" s="1355"/>
      <c r="Y21" s="37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04"/>
      <c r="M22" s="2698"/>
      <c r="N22" s="2698"/>
      <c r="O22" s="2698"/>
      <c r="P22" s="3756"/>
      <c r="Q22" s="1352"/>
      <c r="R22" s="705"/>
      <c r="S22" s="706"/>
      <c r="T22" s="705"/>
      <c r="U22" s="706"/>
      <c r="V22" s="705"/>
      <c r="W22" s="706"/>
      <c r="X22" s="1355"/>
      <c r="Y22" s="375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4"/>
      <c r="M23" s="2698"/>
      <c r="N23" s="2698"/>
      <c r="O23" s="2698"/>
      <c r="P23" s="3756"/>
      <c r="Q23" s="1352" t="str">
        <f>B23</f>
        <v>自然及人文环境</v>
      </c>
      <c r="R23" s="705" t="s">
        <v>14</v>
      </c>
      <c r="S23" s="706">
        <f>F23</f>
        <v>100</v>
      </c>
      <c r="T23" s="705" t="s">
        <v>14</v>
      </c>
      <c r="U23" s="706">
        <f>H23</f>
        <v>100</v>
      </c>
      <c r="V23" s="705" t="s">
        <v>14</v>
      </c>
      <c r="W23" s="706">
        <f>J23</f>
        <v>100</v>
      </c>
      <c r="X23" s="1355"/>
      <c r="Y23" s="375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04"/>
      <c r="M24" s="2698"/>
      <c r="N24" s="2698"/>
      <c r="O24" s="2698"/>
      <c r="P24" s="3756"/>
      <c r="Q24" s="1352"/>
      <c r="R24" s="705"/>
      <c r="S24" s="706"/>
      <c r="T24" s="705"/>
      <c r="U24" s="706"/>
      <c r="V24" s="705"/>
      <c r="W24" s="706"/>
      <c r="X24" s="1355"/>
      <c r="Y24" s="3758"/>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04"/>
      <c r="M25" s="2698"/>
      <c r="N25" s="2698"/>
      <c r="O25" s="2698"/>
      <c r="P25" s="3756"/>
      <c r="Q25" s="1352" t="str">
        <f t="shared" ref="Q25:Q46" si="11">B25</f>
        <v>临街状况</v>
      </c>
      <c r="R25" s="705" t="s">
        <v>14</v>
      </c>
      <c r="S25" s="706">
        <f>F25</f>
        <v>100</v>
      </c>
      <c r="T25" s="705" t="s">
        <v>14</v>
      </c>
      <c r="U25" s="706">
        <f>H25</f>
        <v>100</v>
      </c>
      <c r="V25" s="705" t="s">
        <v>14</v>
      </c>
      <c r="W25" s="706">
        <f>J25</f>
        <v>100</v>
      </c>
      <c r="X25" s="1355"/>
      <c r="Y25" s="3758"/>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04"/>
      <c r="M26" s="2698"/>
      <c r="N26" s="2698"/>
      <c r="O26" s="2698"/>
      <c r="P26" s="3756"/>
      <c r="Q26" s="1352" t="str">
        <f t="shared" si="11"/>
        <v>平面位置/可视性</v>
      </c>
      <c r="R26" s="705" t="s">
        <v>14</v>
      </c>
      <c r="S26" s="706">
        <f>F26</f>
        <v>100</v>
      </c>
      <c r="T26" s="705" t="s">
        <v>14</v>
      </c>
      <c r="U26" s="706">
        <f>H26</f>
        <v>100</v>
      </c>
      <c r="V26" s="705" t="s">
        <v>14</v>
      </c>
      <c r="W26" s="706">
        <f>J26</f>
        <v>100</v>
      </c>
      <c r="X26" s="1355"/>
      <c r="Y26" s="3758"/>
      <c r="Z26" s="1356" t="str">
        <f>Q26</f>
        <v>平面位置/可视性</v>
      </c>
      <c r="AA26" s="1353">
        <f t="shared" si="3"/>
        <v>1</v>
      </c>
      <c r="AB26" s="1353">
        <f t="shared" si="4"/>
        <v>1</v>
      </c>
      <c r="AC26" s="1353">
        <f t="shared" si="5"/>
        <v>1</v>
      </c>
    </row>
    <row r="27" spans="1:29" s="108" customFormat="1" ht="15">
      <c r="A27" s="382"/>
      <c r="B27" s="402" t="s">
        <v>1781</v>
      </c>
      <c r="C27" s="3453" t="s">
        <v>3526</v>
      </c>
      <c r="D27" s="413">
        <v>100</v>
      </c>
      <c r="E27" s="3453" t="s">
        <v>3527</v>
      </c>
      <c r="F27" s="415">
        <f>SUMIF(90:90,E27,91:91)-SUMIF(90:90,C27,91:91)+100</f>
        <v>90</v>
      </c>
      <c r="G27" s="3453" t="s">
        <v>3528</v>
      </c>
      <c r="H27" s="413">
        <f>SUMIF(90:90,G27,91:91)-SUMIF(90:90,C27,91:91)+100</f>
        <v>95</v>
      </c>
      <c r="I27" s="3453" t="s">
        <v>3529</v>
      </c>
      <c r="J27" s="413">
        <f>SUMIF(90:90,I27,91:91)-SUMIF(90:90,C27,91:91)+100</f>
        <v>95</v>
      </c>
      <c r="K27" s="561">
        <v>5</v>
      </c>
      <c r="L27" s="2699"/>
      <c r="M27" s="2700"/>
      <c r="N27" s="2700"/>
      <c r="O27" s="2700"/>
      <c r="P27" s="3756"/>
      <c r="Q27" s="1343" t="str">
        <f t="shared" si="11"/>
        <v>人流量</v>
      </c>
      <c r="R27" s="701" t="s">
        <v>14</v>
      </c>
      <c r="S27" s="702">
        <f>F27</f>
        <v>90</v>
      </c>
      <c r="T27" s="701" t="s">
        <v>14</v>
      </c>
      <c r="U27" s="702">
        <f>H27</f>
        <v>95</v>
      </c>
      <c r="V27" s="701" t="s">
        <v>14</v>
      </c>
      <c r="W27" s="702">
        <f>J27</f>
        <v>95</v>
      </c>
      <c r="X27" s="703"/>
      <c r="Y27" s="3758"/>
      <c r="Z27" s="52" t="str">
        <f>Q27</f>
        <v>人流量</v>
      </c>
      <c r="AA27" s="1353">
        <f>D27/F27</f>
        <v>1.1111111111111112</v>
      </c>
      <c r="AB27" s="1353">
        <f>D27/H27</f>
        <v>1.0526315789473684</v>
      </c>
      <c r="AC27" s="1353">
        <f>D27/J27</f>
        <v>1.0526315789473684</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04"/>
      <c r="M28" s="2698"/>
      <c r="N28" s="2698"/>
      <c r="O28" s="2698"/>
      <c r="P28" s="375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4"/>
      <c r="M29" s="2698"/>
      <c r="N29" s="2698"/>
      <c r="O29" s="2698"/>
      <c r="P29" s="3756"/>
      <c r="Q29" s="1352">
        <f t="shared" si="11"/>
        <v>111</v>
      </c>
      <c r="R29" s="705" t="s">
        <v>14</v>
      </c>
      <c r="S29" s="706">
        <f t="shared" si="12"/>
        <v>100</v>
      </c>
      <c r="T29" s="705" t="s">
        <v>14</v>
      </c>
      <c r="U29" s="706">
        <f t="shared" si="13"/>
        <v>100</v>
      </c>
      <c r="V29" s="705" t="s">
        <v>14</v>
      </c>
      <c r="W29" s="706">
        <f t="shared" si="14"/>
        <v>100</v>
      </c>
      <c r="X29" s="1355"/>
      <c r="Y29" s="375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4"/>
      <c r="M30" s="2698"/>
      <c r="N30" s="2698"/>
      <c r="O30" s="2698"/>
      <c r="P30" s="3756"/>
      <c r="Q30" s="1352">
        <f t="shared" si="11"/>
        <v>111</v>
      </c>
      <c r="R30" s="705" t="s">
        <v>14</v>
      </c>
      <c r="S30" s="706">
        <f t="shared" si="12"/>
        <v>100</v>
      </c>
      <c r="T30" s="705" t="s">
        <v>14</v>
      </c>
      <c r="U30" s="706">
        <f t="shared" si="13"/>
        <v>100</v>
      </c>
      <c r="V30" s="705" t="s">
        <v>14</v>
      </c>
      <c r="W30" s="706">
        <f t="shared" si="14"/>
        <v>100</v>
      </c>
      <c r="X30" s="1355"/>
      <c r="Y30" s="375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4"/>
      <c r="M31" s="2698"/>
      <c r="N31" s="2698"/>
      <c r="O31" s="2698"/>
      <c r="P31" s="3756"/>
      <c r="Q31" s="1352">
        <f t="shared" si="11"/>
        <v>111</v>
      </c>
      <c r="R31" s="705" t="s">
        <v>14</v>
      </c>
      <c r="S31" s="706">
        <f t="shared" si="12"/>
        <v>100</v>
      </c>
      <c r="T31" s="705" t="s">
        <v>14</v>
      </c>
      <c r="U31" s="706">
        <f t="shared" si="13"/>
        <v>100</v>
      </c>
      <c r="V31" s="705" t="s">
        <v>14</v>
      </c>
      <c r="W31" s="706">
        <f t="shared" si="14"/>
        <v>100</v>
      </c>
      <c r="X31" s="1355"/>
      <c r="Y31" s="3758"/>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04"/>
      <c r="M32" s="2698"/>
      <c r="N32" s="2698"/>
      <c r="O32" s="2698"/>
      <c r="P32" s="3759" t="s">
        <v>1695</v>
      </c>
      <c r="Q32" s="1352" t="str">
        <f t="shared" si="11"/>
        <v>商业类型</v>
      </c>
      <c r="R32" s="705" t="s">
        <v>14</v>
      </c>
      <c r="S32" s="706">
        <f t="shared" si="12"/>
        <v>100</v>
      </c>
      <c r="T32" s="705" t="s">
        <v>14</v>
      </c>
      <c r="U32" s="706">
        <f t="shared" si="13"/>
        <v>100</v>
      </c>
      <c r="V32" s="705" t="s">
        <v>14</v>
      </c>
      <c r="W32" s="706">
        <f t="shared" si="14"/>
        <v>100</v>
      </c>
      <c r="X32" s="1355"/>
      <c r="Y32" s="3762" t="s">
        <v>1695</v>
      </c>
      <c r="Z32" s="1356" t="str">
        <f t="shared" si="15"/>
        <v>商业类型</v>
      </c>
      <c r="AA32" s="1353">
        <f t="shared" si="3"/>
        <v>1</v>
      </c>
      <c r="AB32" s="1353">
        <f t="shared" si="4"/>
        <v>1</v>
      </c>
      <c r="AC32" s="1353">
        <f t="shared" si="5"/>
        <v>1</v>
      </c>
    </row>
    <row r="33" spans="1:29" s="422" customFormat="1" ht="15">
      <c r="A33" s="419"/>
      <c r="B33" s="375" t="s">
        <v>1696</v>
      </c>
      <c r="C33" s="420">
        <f>D3</f>
        <v>27298.22</v>
      </c>
      <c r="D33" s="127">
        <v>100</v>
      </c>
      <c r="E33" s="3445">
        <f>Sheet1!F24</f>
        <v>53000</v>
      </c>
      <c r="F33" s="376">
        <f>LOOKUP(E33,103:103,104:104)-LOOKUP(C33,103:103,104:104)+100</f>
        <v>103</v>
      </c>
      <c r="G33" s="3446">
        <f>Sheet1!F17</f>
        <v>7618</v>
      </c>
      <c r="H33" s="127">
        <f>LOOKUP(G33,103:103,104:104)-LOOKUP(C33,103:103,104:104)+100</f>
        <v>98</v>
      </c>
      <c r="I33" s="3446">
        <f>Sheet1!F20</f>
        <v>6461</v>
      </c>
      <c r="J33" s="127">
        <f>LOOKUP(I33,103:103,104:104)-LOOKUP(C33,103:103,104:104)+100</f>
        <v>98</v>
      </c>
      <c r="K33" s="562"/>
      <c r="L33" s="2703"/>
      <c r="M33" s="2705"/>
      <c r="N33" s="2705"/>
      <c r="O33" s="2705"/>
      <c r="P33" s="3760"/>
      <c r="Q33" s="707" t="str">
        <f t="shared" si="11"/>
        <v>项目建筑规模</v>
      </c>
      <c r="R33" s="708" t="s">
        <v>14</v>
      </c>
      <c r="S33" s="709">
        <f t="shared" si="12"/>
        <v>103</v>
      </c>
      <c r="T33" s="708" t="s">
        <v>14</v>
      </c>
      <c r="U33" s="709">
        <f t="shared" si="13"/>
        <v>98</v>
      </c>
      <c r="V33" s="708" t="s">
        <v>14</v>
      </c>
      <c r="W33" s="709">
        <f t="shared" si="14"/>
        <v>98</v>
      </c>
      <c r="X33" s="710"/>
      <c r="Y33" s="3762"/>
      <c r="Z33" s="711" t="str">
        <f t="shared" si="15"/>
        <v>项目建筑规模</v>
      </c>
      <c r="AA33" s="1353">
        <f t="shared" si="3"/>
        <v>0.970873786407767</v>
      </c>
      <c r="AB33" s="1353">
        <f t="shared" si="4"/>
        <v>1.0204081632653061</v>
      </c>
      <c r="AC33" s="1353">
        <f t="shared" si="5"/>
        <v>1.0204081632653061</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04"/>
      <c r="M34" s="2698"/>
      <c r="N34" s="2698"/>
      <c r="O34" s="2698"/>
      <c r="P34" s="3760"/>
      <c r="Q34" s="1352" t="str">
        <f t="shared" si="11"/>
        <v>建筑结构</v>
      </c>
      <c r="R34" s="705" t="s">
        <v>14</v>
      </c>
      <c r="S34" s="706">
        <f t="shared" si="12"/>
        <v>100</v>
      </c>
      <c r="T34" s="705" t="s">
        <v>14</v>
      </c>
      <c r="U34" s="706">
        <f t="shared" si="13"/>
        <v>100</v>
      </c>
      <c r="V34" s="705" t="s">
        <v>14</v>
      </c>
      <c r="W34" s="706">
        <f t="shared" si="14"/>
        <v>100</v>
      </c>
      <c r="X34" s="1355"/>
      <c r="Y34" s="3762"/>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04"/>
      <c r="M35" s="2698"/>
      <c r="N35" s="2698"/>
      <c r="O35" s="2698"/>
      <c r="P35" s="3760"/>
      <c r="Q35" s="1352" t="str">
        <f t="shared" si="11"/>
        <v>公共部分装修</v>
      </c>
      <c r="R35" s="705" t="s">
        <v>14</v>
      </c>
      <c r="S35" s="706">
        <f t="shared" si="12"/>
        <v>100</v>
      </c>
      <c r="T35" s="705" t="s">
        <v>14</v>
      </c>
      <c r="U35" s="706">
        <f t="shared" si="13"/>
        <v>100</v>
      </c>
      <c r="V35" s="705" t="s">
        <v>14</v>
      </c>
      <c r="W35" s="706">
        <f t="shared" si="14"/>
        <v>100</v>
      </c>
      <c r="X35" s="1355"/>
      <c r="Y35" s="3762"/>
      <c r="Z35" s="1356" t="str">
        <f t="shared" si="15"/>
        <v>公共部分装修</v>
      </c>
      <c r="AA35" s="1353">
        <f t="shared" si="3"/>
        <v>1</v>
      </c>
      <c r="AB35" s="1353">
        <f t="shared" si="4"/>
        <v>1</v>
      </c>
      <c r="AC35" s="1353">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04"/>
      <c r="M36" s="2698"/>
      <c r="N36" s="2698"/>
      <c r="O36" s="2698"/>
      <c r="P36" s="3760"/>
      <c r="Q36" s="1352" t="str">
        <f t="shared" si="11"/>
        <v>成新度</v>
      </c>
      <c r="R36" s="705" t="s">
        <v>14</v>
      </c>
      <c r="S36" s="706">
        <f t="shared" si="12"/>
        <v>100</v>
      </c>
      <c r="T36" s="705" t="s">
        <v>14</v>
      </c>
      <c r="U36" s="706">
        <f t="shared" si="13"/>
        <v>100</v>
      </c>
      <c r="V36" s="705" t="s">
        <v>14</v>
      </c>
      <c r="W36" s="706">
        <f t="shared" si="14"/>
        <v>100</v>
      </c>
      <c r="X36" s="1355"/>
      <c r="Y36" s="3762"/>
      <c r="Z36" s="1356" t="str">
        <f t="shared" si="15"/>
        <v>成新度</v>
      </c>
      <c r="AA36" s="1353">
        <f t="shared" si="3"/>
        <v>1</v>
      </c>
      <c r="AB36" s="1353">
        <f t="shared" si="4"/>
        <v>1</v>
      </c>
      <c r="AC36" s="1353">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9"/>
      <c r="M37" s="2700"/>
      <c r="N37" s="2700"/>
      <c r="O37" s="2700"/>
      <c r="P37" s="3760"/>
      <c r="Q37" s="1343" t="str">
        <f t="shared" si="11"/>
        <v>市政基础设施</v>
      </c>
      <c r="R37" s="701" t="s">
        <v>14</v>
      </c>
      <c r="S37" s="702">
        <f t="shared" si="12"/>
        <v>100</v>
      </c>
      <c r="T37" s="701" t="s">
        <v>14</v>
      </c>
      <c r="U37" s="702">
        <f t="shared" si="13"/>
        <v>100</v>
      </c>
      <c r="V37" s="701" t="s">
        <v>14</v>
      </c>
      <c r="W37" s="702">
        <f t="shared" si="14"/>
        <v>100</v>
      </c>
      <c r="X37" s="703"/>
      <c r="Y37" s="3762"/>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04"/>
      <c r="M38" s="2698"/>
      <c r="N38" s="2698"/>
      <c r="O38" s="2698"/>
      <c r="P38" s="3760" t="s">
        <v>1695</v>
      </c>
      <c r="Q38" s="1352" t="str">
        <f t="shared" si="11"/>
        <v>业态</v>
      </c>
      <c r="R38" s="705" t="s">
        <v>14</v>
      </c>
      <c r="S38" s="706">
        <f t="shared" si="12"/>
        <v>100</v>
      </c>
      <c r="T38" s="705" t="s">
        <v>14</v>
      </c>
      <c r="U38" s="706">
        <f t="shared" si="13"/>
        <v>100</v>
      </c>
      <c r="V38" s="705" t="s">
        <v>14</v>
      </c>
      <c r="W38" s="706">
        <f t="shared" si="14"/>
        <v>100</v>
      </c>
      <c r="X38" s="1355"/>
      <c r="Y38" s="3762"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04"/>
      <c r="M39" s="2698"/>
      <c r="N39" s="2698"/>
      <c r="O39" s="2698"/>
      <c r="P39" s="3760"/>
      <c r="Q39" s="1352" t="str">
        <f t="shared" si="11"/>
        <v>层高</v>
      </c>
      <c r="R39" s="705" t="s">
        <v>14</v>
      </c>
      <c r="S39" s="706">
        <f t="shared" si="12"/>
        <v>100</v>
      </c>
      <c r="T39" s="705" t="s">
        <v>14</v>
      </c>
      <c r="U39" s="706">
        <f t="shared" si="13"/>
        <v>100</v>
      </c>
      <c r="V39" s="705" t="s">
        <v>14</v>
      </c>
      <c r="W39" s="706">
        <f t="shared" si="14"/>
        <v>100</v>
      </c>
      <c r="X39" s="1355"/>
      <c r="Y39" s="3762"/>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4"/>
      <c r="M40" s="2698"/>
      <c r="N40" s="2698"/>
      <c r="O40" s="2698"/>
      <c r="P40" s="3760"/>
      <c r="Q40" s="1352" t="str">
        <f t="shared" si="11"/>
        <v>单套建筑面积</v>
      </c>
      <c r="R40" s="705" t="s">
        <v>14</v>
      </c>
      <c r="S40" s="706">
        <f t="shared" si="12"/>
        <v>100</v>
      </c>
      <c r="T40" s="705" t="s">
        <v>14</v>
      </c>
      <c r="U40" s="706">
        <f t="shared" si="13"/>
        <v>100</v>
      </c>
      <c r="V40" s="705" t="s">
        <v>14</v>
      </c>
      <c r="W40" s="706">
        <f t="shared" si="14"/>
        <v>100</v>
      </c>
      <c r="X40" s="1355"/>
      <c r="Y40" s="3762"/>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3"/>
      <c r="M41" s="2705"/>
      <c r="N41" s="2705"/>
      <c r="O41" s="2705"/>
      <c r="P41" s="3760"/>
      <c r="Q41" s="707" t="str">
        <f t="shared" si="11"/>
        <v>进深比</v>
      </c>
      <c r="R41" s="708" t="s">
        <v>14</v>
      </c>
      <c r="S41" s="709">
        <f t="shared" si="12"/>
        <v>100</v>
      </c>
      <c r="T41" s="708" t="s">
        <v>14</v>
      </c>
      <c r="U41" s="709">
        <f t="shared" si="13"/>
        <v>100</v>
      </c>
      <c r="V41" s="708" t="s">
        <v>14</v>
      </c>
      <c r="W41" s="709">
        <f t="shared" si="14"/>
        <v>100</v>
      </c>
      <c r="X41" s="710"/>
      <c r="Y41" s="3762"/>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04"/>
      <c r="M42" s="2698"/>
      <c r="N42" s="2698"/>
      <c r="O42" s="2698"/>
      <c r="P42" s="3760"/>
      <c r="Q42" s="1352" t="str">
        <f t="shared" si="11"/>
        <v>内部装修</v>
      </c>
      <c r="R42" s="705" t="s">
        <v>14</v>
      </c>
      <c r="S42" s="706">
        <f t="shared" si="12"/>
        <v>100</v>
      </c>
      <c r="T42" s="705" t="s">
        <v>14</v>
      </c>
      <c r="U42" s="706">
        <f t="shared" si="13"/>
        <v>100</v>
      </c>
      <c r="V42" s="705" t="s">
        <v>14</v>
      </c>
      <c r="W42" s="706">
        <f t="shared" si="14"/>
        <v>100</v>
      </c>
      <c r="X42" s="1355"/>
      <c r="Y42" s="3762"/>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04"/>
      <c r="M43" s="2698"/>
      <c r="N43" s="2698"/>
      <c r="O43" s="2698"/>
      <c r="P43" s="3760"/>
      <c r="Q43" s="1352" t="str">
        <f t="shared" si="11"/>
        <v>内部装修维护情况</v>
      </c>
      <c r="R43" s="705" t="s">
        <v>14</v>
      </c>
      <c r="S43" s="706">
        <f t="shared" si="12"/>
        <v>100</v>
      </c>
      <c r="T43" s="705" t="s">
        <v>14</v>
      </c>
      <c r="U43" s="706">
        <f t="shared" si="13"/>
        <v>100</v>
      </c>
      <c r="V43" s="705" t="s">
        <v>14</v>
      </c>
      <c r="W43" s="706">
        <f t="shared" si="14"/>
        <v>100</v>
      </c>
      <c r="X43" s="1355"/>
      <c r="Y43" s="376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9"/>
      <c r="M44" s="2700"/>
      <c r="N44" s="2700"/>
      <c r="O44" s="2700"/>
      <c r="P44" s="3760"/>
      <c r="Q44" s="1343">
        <f t="shared" si="11"/>
        <v>111</v>
      </c>
      <c r="R44" s="701" t="s">
        <v>14</v>
      </c>
      <c r="S44" s="702">
        <f t="shared" si="12"/>
        <v>100</v>
      </c>
      <c r="T44" s="701" t="s">
        <v>14</v>
      </c>
      <c r="U44" s="702">
        <f t="shared" si="13"/>
        <v>100</v>
      </c>
      <c r="V44" s="701" t="s">
        <v>14</v>
      </c>
      <c r="W44" s="702">
        <f t="shared" si="14"/>
        <v>100</v>
      </c>
      <c r="X44" s="703"/>
      <c r="Y44" s="376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4"/>
      <c r="M45" s="2698"/>
      <c r="N45" s="2698"/>
      <c r="O45" s="2698"/>
      <c r="P45" s="3760"/>
      <c r="Q45" s="1352">
        <f t="shared" si="11"/>
        <v>111</v>
      </c>
      <c r="R45" s="705" t="s">
        <v>14</v>
      </c>
      <c r="S45" s="706">
        <f t="shared" si="12"/>
        <v>100</v>
      </c>
      <c r="T45" s="705" t="s">
        <v>14</v>
      </c>
      <c r="U45" s="706">
        <f t="shared" si="13"/>
        <v>100</v>
      </c>
      <c r="V45" s="705" t="s">
        <v>14</v>
      </c>
      <c r="W45" s="706">
        <f t="shared" si="14"/>
        <v>100</v>
      </c>
      <c r="X45" s="1355"/>
      <c r="Y45" s="376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4"/>
      <c r="M46" s="2698"/>
      <c r="N46" s="2698"/>
      <c r="O46" s="2698"/>
      <c r="P46" s="3761"/>
      <c r="Q46" s="1352">
        <f t="shared" si="11"/>
        <v>111</v>
      </c>
      <c r="R46" s="705" t="s">
        <v>14</v>
      </c>
      <c r="S46" s="706">
        <f t="shared" si="12"/>
        <v>100</v>
      </c>
      <c r="T46" s="705" t="s">
        <v>14</v>
      </c>
      <c r="U46" s="706">
        <f t="shared" si="13"/>
        <v>100</v>
      </c>
      <c r="V46" s="705" t="s">
        <v>14</v>
      </c>
      <c r="W46" s="706">
        <f t="shared" si="14"/>
        <v>100</v>
      </c>
      <c r="X46" s="1355"/>
      <c r="Y46" s="3763"/>
      <c r="Z46" s="1356">
        <f t="shared" si="15"/>
        <v>111</v>
      </c>
      <c r="AA46" s="1353">
        <f t="shared" si="3"/>
        <v>1</v>
      </c>
      <c r="AB46" s="1353">
        <f t="shared" si="4"/>
        <v>1</v>
      </c>
      <c r="AC46" s="1353">
        <f t="shared" si="5"/>
        <v>1</v>
      </c>
    </row>
    <row r="47" spans="1:29" ht="15">
      <c r="A47" s="430" t="s">
        <v>1707</v>
      </c>
      <c r="B47" s="431"/>
      <c r="C47" s="1154" t="s">
        <v>0</v>
      </c>
      <c r="D47" s="1155"/>
      <c r="E47" s="3447">
        <f>Sheet1!L24</f>
        <v>50000</v>
      </c>
      <c r="F47" s="1157"/>
      <c r="G47" s="3448">
        <f>Sheet1!L17</f>
        <v>56867</v>
      </c>
      <c r="H47" s="1159"/>
      <c r="I47" s="3447">
        <f>Sheet1!L20</f>
        <v>49683</v>
      </c>
      <c r="J47" s="1159"/>
      <c r="K47" s="714"/>
      <c r="L47" s="2706"/>
      <c r="M47" s="2707"/>
      <c r="N47" s="2698"/>
      <c r="O47" s="2707"/>
      <c r="P47" s="3764" t="str">
        <f>A47</f>
        <v>成交单价（元/平方米）</v>
      </c>
      <c r="Q47" s="3764"/>
      <c r="R47" s="3726">
        <f>E47</f>
        <v>50000</v>
      </c>
      <c r="S47" s="3726"/>
      <c r="T47" s="3726">
        <f>G47</f>
        <v>56867</v>
      </c>
      <c r="U47" s="3726"/>
      <c r="V47" s="3726">
        <f>I47</f>
        <v>49683</v>
      </c>
      <c r="W47" s="3726"/>
      <c r="X47" s="690"/>
      <c r="Y47" s="712"/>
      <c r="Z47" s="690"/>
      <c r="AA47" s="690"/>
      <c r="AB47" s="690"/>
      <c r="AC47" s="690"/>
    </row>
    <row r="48" spans="1:29" ht="15.75" thickBot="1">
      <c r="A48" s="437" t="s">
        <v>1792</v>
      </c>
      <c r="B48" s="438"/>
      <c r="C48" s="1160">
        <f>R49</f>
        <v>65647</v>
      </c>
      <c r="D48" s="2317" t="s">
        <v>2137</v>
      </c>
      <c r="E48" s="1161">
        <f>R48</f>
        <v>63085</v>
      </c>
      <c r="F48" s="2318"/>
      <c r="G48" s="1160">
        <f>T48</f>
        <v>71441</v>
      </c>
      <c r="H48" s="2318"/>
      <c r="I48" s="1161">
        <f>V48</f>
        <v>62415</v>
      </c>
      <c r="J48" s="2318"/>
      <c r="K48" s="2320">
        <f>F48+H48+J48</f>
        <v>0</v>
      </c>
      <c r="L48" s="2706"/>
      <c r="M48" s="2707"/>
      <c r="N48" s="2698"/>
      <c r="O48" s="2707"/>
      <c r="P48" s="3764" t="str">
        <f>A48</f>
        <v>比较价值（元/平方米）</v>
      </c>
      <c r="Q48" s="3764"/>
      <c r="R48" s="3765">
        <f>IF(F1="售价",ROUND(PRODUCT(R47,AA7:AA46),0),ROUND(PRODUCT(R47,AA7:AA46),1))</f>
        <v>63085</v>
      </c>
      <c r="S48" s="3765"/>
      <c r="T48" s="3765">
        <f>IF(F1="售价",ROUND(PRODUCT(T47,AB7:AB46),0),ROUND(PRODUCT(T47,AB7:AB46),1))</f>
        <v>71441</v>
      </c>
      <c r="U48" s="3765"/>
      <c r="V48" s="3765">
        <f>IF(F1="售价",ROUND(PRODUCT(V47,AC7:AC46),0),ROUND(PRODUCT(V47,AC7:AC46),1))</f>
        <v>62415</v>
      </c>
      <c r="W48" s="3765"/>
      <c r="X48" s="690"/>
      <c r="Y48" s="690"/>
      <c r="Z48" s="690"/>
      <c r="AA48" s="690"/>
      <c r="AB48" s="690"/>
      <c r="AC48" s="690"/>
    </row>
    <row r="49" spans="1:29" ht="15.75" thickBot="1">
      <c r="A49" s="441" t="s">
        <v>1793</v>
      </c>
      <c r="B49" s="442"/>
      <c r="C49" s="1163">
        <f>R49</f>
        <v>65647</v>
      </c>
      <c r="D49" s="1163"/>
      <c r="E49" s="1163"/>
      <c r="F49" s="1163"/>
      <c r="G49" s="1163"/>
      <c r="H49" s="1163"/>
      <c r="I49" s="1163"/>
      <c r="J49" s="1163"/>
      <c r="K49" s="715"/>
      <c r="L49" s="2706"/>
      <c r="M49" s="2707"/>
      <c r="N49" s="2698"/>
      <c r="O49" s="2707"/>
      <c r="P49" s="3766" t="str">
        <f>A49</f>
        <v>估价对象XX用房的比较价值（楼面单价，元/平方米）</v>
      </c>
      <c r="Q49" s="3767"/>
      <c r="R49" s="3768">
        <f>IF(F1="售价",ROUND(IF(D48="简单平均",AVERAGE(R48:V48),R48*F48+T48*H48+V48*J48),0),ROUND(IF(D48="简单平均",AVERAGE(R48:V48),R48*F48+T48*H48+V48*J48),1))</f>
        <v>65647</v>
      </c>
      <c r="S49" s="3768"/>
      <c r="T49" s="3768"/>
      <c r="U49" s="3768"/>
      <c r="V49" s="3768"/>
      <c r="W49" s="3768"/>
      <c r="X49" s="690"/>
      <c r="Y49" s="690"/>
      <c r="Z49" s="690"/>
      <c r="AA49" s="690"/>
      <c r="AB49" s="690"/>
      <c r="AC49" s="690"/>
    </row>
    <row r="50" spans="1:29">
      <c r="A50" s="2707"/>
      <c r="B50" s="2707"/>
      <c r="C50" s="2707"/>
      <c r="D50" s="2707"/>
      <c r="E50" s="2707"/>
      <c r="F50" s="2707"/>
      <c r="G50" s="2711"/>
      <c r="H50" s="2707"/>
      <c r="I50" s="2707"/>
      <c r="J50" s="2707"/>
      <c r="K50" s="2712"/>
      <c r="L50" s="2708"/>
      <c r="M50" s="2707"/>
      <c r="N50" s="2707"/>
      <c r="O50" s="2707"/>
      <c r="P50" s="2718"/>
      <c r="Q50" s="2707"/>
      <c r="R50" s="2707"/>
      <c r="S50" s="2707"/>
      <c r="T50" s="2707"/>
      <c r="U50" s="2707"/>
      <c r="V50" s="2707"/>
      <c r="W50" s="2707"/>
      <c r="X50" s="2707"/>
      <c r="Y50" s="2707"/>
      <c r="Z50" s="2707"/>
      <c r="AA50" s="2707"/>
      <c r="AB50" s="2707"/>
      <c r="AC50" s="2707"/>
    </row>
    <row r="51" spans="1:29">
      <c r="A51" s="2707"/>
      <c r="B51" s="2707"/>
      <c r="C51" s="2707"/>
      <c r="D51" s="2707"/>
      <c r="E51" s="2707"/>
      <c r="F51" s="2707"/>
      <c r="G51" s="2707"/>
      <c r="H51" s="2707"/>
      <c r="I51" s="2707"/>
      <c r="J51" s="2707"/>
      <c r="K51" s="2712"/>
      <c r="L51" s="2708"/>
      <c r="M51" s="2707"/>
      <c r="N51" s="2707"/>
      <c r="O51" s="2707"/>
      <c r="P51" s="2718"/>
      <c r="Q51" s="2707"/>
      <c r="R51" s="2707"/>
      <c r="S51" s="2707"/>
      <c r="T51" s="2707"/>
      <c r="U51" s="2707"/>
      <c r="V51" s="2707"/>
      <c r="W51" s="2707"/>
      <c r="X51" s="2707"/>
      <c r="Y51" s="2707"/>
      <c r="Z51" s="2707"/>
      <c r="AA51" s="2707"/>
      <c r="AB51" s="2707"/>
      <c r="AC51" s="2707"/>
    </row>
    <row r="52" spans="1:29" ht="13.5" customHeight="1">
      <c r="A52" s="2707"/>
      <c r="B52" s="2707"/>
      <c r="C52" s="446" t="s">
        <v>1794</v>
      </c>
      <c r="D52" s="447"/>
      <c r="E52" s="448">
        <f>IF(E47&lt;E48,E48/E47-1,E47/E48-1)</f>
        <v>0.26170000000000004</v>
      </c>
      <c r="F52" s="449" t="str">
        <f>IF(OR(E52&gt;=0.3,E52&lt;=-0.3),"超过30%","")</f>
        <v/>
      </c>
      <c r="G52" s="448">
        <f>IF(G47&lt;G48,G48/G47-1,G47/G48-1)</f>
        <v>0.25628220233175658</v>
      </c>
      <c r="H52" s="449" t="str">
        <f>IF(OR(G52&gt;=0.3,G52&lt;=-0.3),"超过30%","")</f>
        <v/>
      </c>
      <c r="I52" s="448">
        <f>IF(I47&lt;I48,I48/I47-1,I47/I48-1)</f>
        <v>0.25626471831411157</v>
      </c>
      <c r="J52" s="449" t="str">
        <f>IF(OR(I52&gt;=0.3,I52&lt;=-0.3),"超过30%","")</f>
        <v/>
      </c>
      <c r="K52" s="2712"/>
      <c r="L52" s="2708"/>
      <c r="M52" s="2707"/>
      <c r="N52" s="2707"/>
      <c r="O52" s="2707"/>
      <c r="P52" s="2718"/>
      <c r="Q52" s="2707"/>
      <c r="R52" s="2707"/>
      <c r="S52" s="2707"/>
      <c r="T52" s="2707"/>
      <c r="U52" s="2707"/>
      <c r="V52" s="2707"/>
      <c r="W52" s="2707"/>
      <c r="X52" s="2707"/>
      <c r="Y52" s="2707"/>
      <c r="Z52" s="2707"/>
      <c r="AA52" s="2707"/>
      <c r="AB52" s="2707"/>
      <c r="AC52" s="2707"/>
    </row>
    <row r="53" spans="1:29" ht="13.5" customHeight="1">
      <c r="A53" s="2707"/>
      <c r="B53" s="2707"/>
      <c r="C53" s="446" t="s">
        <v>1795</v>
      </c>
      <c r="D53" s="450"/>
      <c r="E53" s="448">
        <f>IF(E48&lt;G48,G48/E48-1,E48/G48-1)</f>
        <v>0.13245620987556461</v>
      </c>
      <c r="F53" s="449" t="str">
        <f>IF(OR(E53&gt;=0.2,E53&lt;=-0.2),"超过20%","")</f>
        <v/>
      </c>
      <c r="G53" s="448">
        <f>IF(G48&lt;I48,I48/G48-1,G48/I48-1)</f>
        <v>0.14461267323560034</v>
      </c>
      <c r="H53" s="449" t="str">
        <f>IF(OR(G53&gt;=0.2,G53&lt;=-0.2),"超过20%","")</f>
        <v/>
      </c>
      <c r="I53" s="448">
        <f>IF(I48&lt;E48,E48/I48-1,I48/E48-1)</f>
        <v>1.0734599054714522E-2</v>
      </c>
      <c r="J53" s="449" t="str">
        <f>IF(OR(I53&gt;=0.2,I53&lt;=-0.2),"超过20%","")</f>
        <v/>
      </c>
      <c r="K53" s="2712"/>
      <c r="L53" s="2708"/>
      <c r="M53" s="2707"/>
      <c r="N53" s="2707"/>
      <c r="O53" s="2707"/>
      <c r="P53" s="2718"/>
      <c r="Q53" s="2707"/>
      <c r="R53" s="2707"/>
      <c r="S53" s="2707"/>
      <c r="T53" s="2707"/>
      <c r="U53" s="2707"/>
      <c r="V53" s="2707"/>
      <c r="W53" s="2707"/>
      <c r="X53" s="2707"/>
      <c r="Y53" s="2707"/>
      <c r="Z53" s="2707"/>
      <c r="AA53" s="2707"/>
      <c r="AB53" s="2707"/>
      <c r="AC53" s="2707"/>
    </row>
    <row r="54" spans="1:29" s="451" customFormat="1" ht="13.5" customHeight="1">
      <c r="A54" s="2710"/>
      <c r="B54" s="2710"/>
      <c r="C54" s="446" t="s">
        <v>1796</v>
      </c>
      <c r="D54" s="450"/>
      <c r="E54" s="448">
        <f>IF(E47&lt;G47,G47/E47-1,E47/G47-1)</f>
        <v>0.13734000000000002</v>
      </c>
      <c r="F54" s="449" t="str">
        <f>IF(OR(E54&gt;=0.3,E54&lt;=-0.3),"超过30%","")</f>
        <v/>
      </c>
      <c r="G54" s="448">
        <f>IF(G47&lt;I47,I47/G47-1,G47/I47-1)</f>
        <v>0.14459674335285722</v>
      </c>
      <c r="H54" s="449" t="str">
        <f>IF(OR(G54&gt;=0.3,G54&lt;=-0.3),"超过30%","")</f>
        <v/>
      </c>
      <c r="I54" s="448">
        <f>IF(I47&lt;E47,E47/I47-1,I47/E47-1)</f>
        <v>6.3804520660990516E-3</v>
      </c>
      <c r="J54" s="449" t="str">
        <f>IF(OR(I54&gt;=0.3,I54&lt;=-0.3),"超过30%","")</f>
        <v/>
      </c>
      <c r="K54" s="2715"/>
      <c r="L54" s="2709"/>
      <c r="M54" s="2710"/>
      <c r="N54" s="2710"/>
      <c r="O54" s="2710"/>
      <c r="P54" s="2719"/>
      <c r="Q54" s="2710"/>
      <c r="R54" s="2710"/>
      <c r="S54" s="2710"/>
      <c r="T54" s="2710"/>
      <c r="U54" s="2710"/>
      <c r="V54" s="2710"/>
      <c r="W54" s="2710"/>
      <c r="X54" s="2710"/>
      <c r="Y54" s="2710"/>
      <c r="Z54" s="2710"/>
      <c r="AA54" s="2710"/>
      <c r="AB54" s="2710"/>
      <c r="AC54" s="2710"/>
    </row>
    <row r="55" spans="1:29" s="451" customFormat="1">
      <c r="A55" s="2710"/>
      <c r="B55" s="2713"/>
      <c r="C55" s="2714"/>
      <c r="D55" s="2710"/>
      <c r="E55" s="2710"/>
      <c r="F55" s="2710"/>
      <c r="G55" s="2710"/>
      <c r="H55" s="2710"/>
      <c r="I55" s="2710"/>
      <c r="J55" s="2710"/>
      <c r="K55" s="2715"/>
      <c r="L55" s="2709"/>
      <c r="M55" s="2710"/>
      <c r="N55" s="2710"/>
      <c r="O55" s="2710"/>
      <c r="P55" s="2719"/>
      <c r="Q55" s="2710"/>
      <c r="R55" s="2710"/>
      <c r="S55" s="2710"/>
      <c r="T55" s="2710"/>
      <c r="U55" s="2710"/>
      <c r="V55" s="2710"/>
      <c r="W55" s="2710"/>
      <c r="X55" s="2710"/>
      <c r="Y55" s="2710"/>
      <c r="Z55" s="2710"/>
      <c r="AA55" s="2710"/>
      <c r="AB55" s="2710"/>
      <c r="AC55" s="2710"/>
    </row>
    <row r="56" spans="1:29">
      <c r="A56" s="2707"/>
      <c r="B56" s="2713"/>
      <c r="C56" s="2714"/>
      <c r="D56" s="2707"/>
      <c r="E56" s="2707"/>
      <c r="F56" s="2707"/>
      <c r="G56" s="2707"/>
      <c r="H56" s="2707"/>
      <c r="I56" s="2707"/>
      <c r="J56" s="2707"/>
      <c r="K56" s="2712"/>
      <c r="L56" s="2708"/>
      <c r="M56" s="2707"/>
      <c r="N56" s="2707"/>
      <c r="O56" s="2707"/>
      <c r="P56" s="2718"/>
      <c r="Q56" s="2707"/>
      <c r="R56" s="2707"/>
      <c r="S56" s="2707"/>
      <c r="T56" s="2707"/>
      <c r="U56" s="2707"/>
      <c r="V56" s="2707"/>
      <c r="W56" s="2707"/>
      <c r="X56" s="2707"/>
      <c r="Y56" s="2707"/>
      <c r="Z56" s="2707"/>
      <c r="AA56" s="2707"/>
      <c r="AB56" s="2707"/>
      <c r="AC56" s="2707"/>
    </row>
    <row r="57" spans="1:29" ht="21.75" thickBot="1">
      <c r="A57" s="694" t="s">
        <v>1797</v>
      </c>
      <c r="B57" s="690"/>
      <c r="C57" s="695"/>
      <c r="D57" s="695"/>
      <c r="E57" s="695"/>
      <c r="F57" s="696"/>
      <c r="G57" s="696"/>
      <c r="H57" s="695"/>
      <c r="I57" s="695"/>
      <c r="J57" s="695"/>
      <c r="K57" s="697"/>
      <c r="L57" s="942"/>
      <c r="M57" s="940"/>
      <c r="N57" s="940"/>
      <c r="O57" s="940"/>
      <c r="P57" s="2720"/>
      <c r="Q57" s="2721"/>
      <c r="R57" s="2707"/>
      <c r="S57" s="2707"/>
      <c r="T57" s="2707"/>
      <c r="U57" s="2707"/>
      <c r="V57" s="2707"/>
      <c r="W57" s="2707"/>
      <c r="X57" s="2707"/>
      <c r="Y57" s="2707"/>
      <c r="Z57" s="2707"/>
      <c r="AA57" s="2707"/>
      <c r="AB57" s="2707"/>
      <c r="AC57" s="2707"/>
    </row>
    <row r="58" spans="1:29" s="457" customFormat="1" ht="15">
      <c r="A58" s="454" t="s">
        <v>1678</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22"/>
      <c r="Q58" s="2723"/>
      <c r="R58" s="2723"/>
      <c r="S58" s="2723"/>
      <c r="T58" s="2723"/>
      <c r="U58" s="2723"/>
      <c r="V58" s="2723"/>
      <c r="W58" s="2723"/>
      <c r="X58" s="2723"/>
      <c r="Y58" s="2723"/>
      <c r="Z58" s="2723"/>
      <c r="AA58" s="2723"/>
      <c r="AB58" s="2723"/>
      <c r="AC58" s="2723"/>
    </row>
    <row r="59" spans="1:29" s="108" customFormat="1" ht="15">
      <c r="A59" s="458"/>
      <c r="B59" s="459"/>
      <c r="C59" s="1183">
        <v>100</v>
      </c>
      <c r="D59" s="461">
        <v>100</v>
      </c>
      <c r="E59" s="461">
        <v>100</v>
      </c>
      <c r="F59" s="461">
        <v>100</v>
      </c>
      <c r="G59" s="461">
        <v>100</v>
      </c>
      <c r="H59" s="461">
        <v>100</v>
      </c>
      <c r="I59" s="461">
        <v>100</v>
      </c>
      <c r="J59" s="461">
        <v>100</v>
      </c>
      <c r="K59" s="461">
        <v>100</v>
      </c>
      <c r="L59" s="461"/>
      <c r="M59" s="462"/>
      <c r="N59" s="461"/>
      <c r="O59" s="462"/>
      <c r="P59" s="2724"/>
      <c r="Q59" s="2643"/>
      <c r="R59" s="2643"/>
      <c r="S59" s="2643"/>
      <c r="T59" s="2643"/>
      <c r="U59" s="2643"/>
      <c r="V59" s="2643"/>
      <c r="W59" s="2643"/>
      <c r="X59" s="2643"/>
      <c r="Y59" s="2643"/>
      <c r="Z59" s="2643"/>
      <c r="AA59" s="2643"/>
      <c r="AB59" s="2643"/>
      <c r="AC59" s="2643"/>
    </row>
    <row r="60" spans="1:29" s="108" customFormat="1" ht="15.75" thickBot="1">
      <c r="A60" s="464" t="s">
        <v>1715</v>
      </c>
      <c r="B60" s="465"/>
      <c r="C60" s="466"/>
      <c r="D60" s="467"/>
      <c r="E60" s="467"/>
      <c r="F60" s="467"/>
      <c r="G60" s="467"/>
      <c r="H60" s="467"/>
      <c r="I60" s="467"/>
      <c r="J60" s="467"/>
      <c r="K60" s="467"/>
      <c r="L60" s="467"/>
      <c r="M60" s="468"/>
      <c r="N60" s="467"/>
      <c r="O60" s="468"/>
      <c r="P60" s="2724"/>
      <c r="Q60" s="2721"/>
      <c r="R60" s="2643"/>
      <c r="S60" s="2643"/>
      <c r="T60" s="2643"/>
      <c r="U60" s="2643"/>
      <c r="V60" s="2643"/>
      <c r="W60" s="2643"/>
      <c r="X60" s="2643"/>
      <c r="Y60" s="2643"/>
      <c r="Z60" s="2643"/>
      <c r="AA60" s="2643"/>
      <c r="AB60" s="2643"/>
      <c r="AC60" s="2643"/>
    </row>
    <row r="61" spans="1:29" s="108" customFormat="1" ht="15">
      <c r="A61" s="470" t="s">
        <v>1680</v>
      </c>
      <c r="B61" s="459"/>
      <c r="C61" s="471" t="s">
        <v>1775</v>
      </c>
      <c r="D61" s="472"/>
      <c r="E61" s="472"/>
      <c r="F61" s="472"/>
      <c r="G61" s="472"/>
      <c r="H61" s="472"/>
      <c r="I61" s="472"/>
      <c r="J61" s="472"/>
      <c r="K61" s="472"/>
      <c r="L61" s="473"/>
      <c r="M61" s="474"/>
      <c r="N61" s="2734"/>
      <c r="O61" s="2734"/>
      <c r="P61" s="2725"/>
      <c r="Q61" s="2721"/>
      <c r="R61" s="2643"/>
      <c r="S61" s="2643"/>
      <c r="T61" s="2643"/>
      <c r="U61" s="2643"/>
      <c r="V61" s="2643"/>
      <c r="W61" s="2643"/>
      <c r="X61" s="2643"/>
      <c r="Y61" s="2643"/>
      <c r="Z61" s="2643"/>
      <c r="AA61" s="2643"/>
      <c r="AB61" s="2643"/>
      <c r="AC61" s="2643"/>
    </row>
    <row r="62" spans="1:29" s="108" customFormat="1" ht="15.75" thickBot="1">
      <c r="A62" s="470"/>
      <c r="B62" s="459"/>
      <c r="C62" s="460">
        <v>100</v>
      </c>
      <c r="D62" s="461"/>
      <c r="E62" s="461"/>
      <c r="F62" s="461"/>
      <c r="G62" s="461"/>
      <c r="H62" s="461"/>
      <c r="I62" s="461"/>
      <c r="J62" s="461"/>
      <c r="K62" s="461"/>
      <c r="L62" s="461"/>
      <c r="M62" s="463"/>
      <c r="N62" s="2734"/>
      <c r="O62" s="2734"/>
      <c r="P62" s="2724"/>
      <c r="Q62" s="2721"/>
      <c r="R62" s="2643"/>
      <c r="S62" s="2643"/>
      <c r="T62" s="2643"/>
      <c r="U62" s="2643"/>
      <c r="V62" s="2643"/>
      <c r="W62" s="2643"/>
      <c r="X62" s="2643"/>
      <c r="Y62" s="2643"/>
      <c r="Z62" s="2643"/>
      <c r="AA62" s="2643"/>
      <c r="AB62" s="2643"/>
      <c r="AC62" s="2643"/>
    </row>
    <row r="63" spans="1:29">
      <c r="A63" s="476" t="s">
        <v>1718</v>
      </c>
      <c r="B63" s="477" t="s">
        <v>1684</v>
      </c>
      <c r="C63" s="478" t="str">
        <f>C9</f>
        <v>商业</v>
      </c>
      <c r="D63" s="3444" t="s">
        <v>3522</v>
      </c>
      <c r="E63" s="479"/>
      <c r="F63" s="479"/>
      <c r="G63" s="479"/>
      <c r="H63" s="479"/>
      <c r="I63" s="479"/>
      <c r="J63" s="479"/>
      <c r="K63" s="480"/>
      <c r="L63" s="481"/>
      <c r="M63" s="482"/>
      <c r="N63" s="2735"/>
      <c r="O63" s="2735"/>
      <c r="P63" s="2726"/>
      <c r="Q63" s="2721"/>
      <c r="R63" s="2707"/>
      <c r="S63" s="2707"/>
      <c r="T63" s="2707"/>
      <c r="U63" s="2707"/>
      <c r="V63" s="2707"/>
      <c r="W63" s="2707"/>
      <c r="X63" s="2707"/>
      <c r="Y63" s="2707"/>
      <c r="Z63" s="2707"/>
      <c r="AA63" s="2707"/>
      <c r="AB63" s="2707"/>
      <c r="AC63" s="2707"/>
    </row>
    <row r="64" spans="1:29" ht="15.75" thickBot="1">
      <c r="A64" s="483"/>
      <c r="B64" s="484"/>
      <c r="C64" s="485">
        <v>100</v>
      </c>
      <c r="D64" s="485">
        <v>90</v>
      </c>
      <c r="E64" s="485"/>
      <c r="F64" s="485"/>
      <c r="G64" s="485"/>
      <c r="H64" s="485"/>
      <c r="I64" s="485"/>
      <c r="J64" s="485"/>
      <c r="K64" s="485"/>
      <c r="L64" s="485"/>
      <c r="M64" s="486"/>
      <c r="N64" s="2736"/>
      <c r="O64" s="2736"/>
      <c r="P64" s="2726"/>
      <c r="Q64" s="2721"/>
      <c r="R64" s="2707"/>
      <c r="S64" s="2707"/>
      <c r="T64" s="2707"/>
      <c r="U64" s="2707"/>
      <c r="V64" s="2707"/>
      <c r="W64" s="2707"/>
      <c r="X64" s="2707"/>
      <c r="Y64" s="2707"/>
      <c r="Z64" s="2707"/>
      <c r="AA64" s="2707"/>
      <c r="AB64" s="2707"/>
      <c r="AC64" s="2707"/>
    </row>
    <row r="65" spans="1:29" ht="27.75" thickTop="1">
      <c r="A65" s="483"/>
      <c r="B65" s="487" t="s">
        <v>1687</v>
      </c>
      <c r="C65" s="532"/>
      <c r="D65" s="532"/>
      <c r="E65" s="532"/>
      <c r="F65" s="532"/>
      <c r="G65" s="532"/>
      <c r="H65" s="532"/>
      <c r="I65" s="532"/>
      <c r="J65" s="532"/>
      <c r="K65" s="533"/>
      <c r="L65" s="534"/>
      <c r="M65" s="535"/>
      <c r="N65" s="2735"/>
      <c r="O65" s="2735"/>
      <c r="P65" s="2726"/>
      <c r="Q65" s="2721"/>
      <c r="R65" s="2707"/>
      <c r="S65" s="2707"/>
      <c r="T65" s="2707"/>
      <c r="U65" s="2707"/>
      <c r="V65" s="2707"/>
      <c r="W65" s="2707"/>
      <c r="X65" s="2707"/>
      <c r="Y65" s="2707"/>
      <c r="Z65" s="2707"/>
      <c r="AA65" s="2707"/>
      <c r="AB65" s="2707"/>
      <c r="AC65" s="2707"/>
    </row>
    <row r="66" spans="1:29" ht="15.75" thickBot="1">
      <c r="A66" s="483"/>
      <c r="B66" s="492"/>
      <c r="C66" s="485"/>
      <c r="D66" s="485"/>
      <c r="E66" s="485"/>
      <c r="F66" s="485"/>
      <c r="G66" s="485"/>
      <c r="H66" s="485"/>
      <c r="I66" s="485"/>
      <c r="J66" s="485"/>
      <c r="K66" s="485"/>
      <c r="L66" s="485"/>
      <c r="M66" s="486"/>
      <c r="N66" s="2736"/>
      <c r="O66" s="2736"/>
      <c r="P66" s="2726"/>
      <c r="Q66" s="2721"/>
      <c r="R66" s="2707"/>
      <c r="S66" s="2707"/>
      <c r="T66" s="2707"/>
      <c r="U66" s="2707"/>
      <c r="V66" s="2707"/>
      <c r="W66" s="2707"/>
      <c r="X66" s="2707"/>
      <c r="Y66" s="2707"/>
      <c r="Z66" s="2707"/>
      <c r="AA66" s="2707"/>
      <c r="AB66" s="2707"/>
      <c r="AC66" s="2707"/>
    </row>
    <row r="67" spans="1:29" ht="15.75" thickTop="1">
      <c r="A67" s="483"/>
      <c r="B67" s="495" t="s">
        <v>1688</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36"/>
      <c r="O67" s="2736"/>
      <c r="P67" s="2726"/>
      <c r="Q67" s="2721"/>
      <c r="R67" s="2707"/>
      <c r="S67" s="2707"/>
      <c r="T67" s="2707"/>
      <c r="U67" s="2707"/>
      <c r="V67" s="2707"/>
      <c r="W67" s="2707"/>
      <c r="X67" s="2707"/>
      <c r="Y67" s="2707"/>
      <c r="Z67" s="2707"/>
      <c r="AA67" s="2707"/>
      <c r="AB67" s="2707"/>
      <c r="AC67" s="2707"/>
    </row>
    <row r="68" spans="1:29" ht="15">
      <c r="A68" s="483"/>
      <c r="B68" s="497"/>
      <c r="C68" s="498">
        <v>0</v>
      </c>
      <c r="D68" s="498">
        <v>1</v>
      </c>
      <c r="E68" s="498">
        <v>2</v>
      </c>
      <c r="F68" s="498">
        <v>3</v>
      </c>
      <c r="G68" s="498">
        <v>4</v>
      </c>
      <c r="H68" s="498"/>
      <c r="I68" s="498"/>
      <c r="J68" s="498"/>
      <c r="K68" s="499"/>
      <c r="L68" s="500"/>
      <c r="M68" s="501"/>
      <c r="N68" s="2735"/>
      <c r="O68" s="2735"/>
      <c r="P68" s="2726"/>
      <c r="Q68" s="2721"/>
      <c r="R68" s="2707"/>
      <c r="S68" s="2707"/>
      <c r="T68" s="2707"/>
      <c r="U68" s="2707"/>
      <c r="V68" s="2707"/>
      <c r="W68" s="2707"/>
      <c r="X68" s="2707"/>
      <c r="Y68" s="2707"/>
      <c r="Z68" s="2707"/>
      <c r="AA68" s="2707"/>
      <c r="AB68" s="2707"/>
      <c r="AC68" s="270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6"/>
      <c r="O69" s="2736"/>
      <c r="P69" s="2726"/>
      <c r="Q69" s="2721"/>
      <c r="R69" s="2707"/>
      <c r="S69" s="2707"/>
      <c r="T69" s="2707"/>
      <c r="U69" s="2707"/>
      <c r="V69" s="2707"/>
      <c r="W69" s="2707"/>
      <c r="X69" s="2707"/>
      <c r="Y69" s="2707"/>
      <c r="Z69" s="2707"/>
      <c r="AA69" s="2707"/>
      <c r="AB69" s="2707"/>
      <c r="AC69" s="2707"/>
    </row>
    <row r="70" spans="1:29" s="422" customFormat="1" ht="15.75" thickTop="1">
      <c r="A70" s="502"/>
      <c r="B70" s="487">
        <f>B12</f>
        <v>111</v>
      </c>
      <c r="C70" s="503"/>
      <c r="D70" s="503"/>
      <c r="E70" s="503"/>
      <c r="F70" s="503"/>
      <c r="G70" s="503"/>
      <c r="H70" s="504"/>
      <c r="I70" s="504"/>
      <c r="J70" s="504"/>
      <c r="K70" s="504"/>
      <c r="L70" s="505"/>
      <c r="M70" s="506"/>
      <c r="N70" s="2737"/>
      <c r="O70" s="2737"/>
      <c r="P70" s="2727"/>
      <c r="Q70" s="2728"/>
      <c r="R70" s="2729"/>
      <c r="S70" s="2729"/>
      <c r="T70" s="2729"/>
      <c r="U70" s="2729"/>
      <c r="V70" s="2729"/>
      <c r="W70" s="2729"/>
      <c r="X70" s="2729"/>
      <c r="Y70" s="2729"/>
      <c r="Z70" s="2729"/>
      <c r="AA70" s="2729"/>
      <c r="AB70" s="2729"/>
      <c r="AC70" s="2729"/>
    </row>
    <row r="71" spans="1:29" s="422" customFormat="1" ht="15.75" thickBot="1">
      <c r="A71" s="502"/>
      <c r="B71" s="492"/>
      <c r="C71" s="509"/>
      <c r="D71" s="485"/>
      <c r="E71" s="485"/>
      <c r="F71" s="485"/>
      <c r="G71" s="485"/>
      <c r="H71" s="485"/>
      <c r="I71" s="485"/>
      <c r="J71" s="485"/>
      <c r="K71" s="485"/>
      <c r="L71" s="485"/>
      <c r="M71" s="486"/>
      <c r="N71" s="2736"/>
      <c r="O71" s="2736"/>
      <c r="P71" s="2727"/>
      <c r="Q71" s="2728"/>
      <c r="R71" s="2729"/>
      <c r="S71" s="2729"/>
      <c r="T71" s="2729"/>
      <c r="U71" s="2729"/>
      <c r="V71" s="2729"/>
      <c r="W71" s="2729"/>
      <c r="X71" s="2729"/>
      <c r="Y71" s="2729"/>
      <c r="Z71" s="2729"/>
      <c r="AA71" s="2729"/>
      <c r="AB71" s="2729"/>
      <c r="AC71" s="2729"/>
    </row>
    <row r="72" spans="1:29" s="422" customFormat="1" ht="15.75" thickTop="1">
      <c r="A72" s="502"/>
      <c r="B72" s="487">
        <f>B13</f>
        <v>111</v>
      </c>
      <c r="C72" s="503"/>
      <c r="D72" s="503"/>
      <c r="E72" s="503"/>
      <c r="F72" s="503"/>
      <c r="G72" s="503"/>
      <c r="H72" s="504"/>
      <c r="I72" s="504"/>
      <c r="J72" s="504"/>
      <c r="K72" s="504"/>
      <c r="L72" s="505"/>
      <c r="M72" s="506"/>
      <c r="N72" s="2737"/>
      <c r="O72" s="2737"/>
      <c r="P72" s="2730"/>
      <c r="Q72" s="2731"/>
      <c r="R72" s="2729"/>
      <c r="S72" s="2729"/>
      <c r="T72" s="2729"/>
      <c r="U72" s="2729"/>
      <c r="V72" s="2729"/>
      <c r="W72" s="2729"/>
      <c r="X72" s="2729"/>
      <c r="Y72" s="2729"/>
      <c r="Z72" s="2729"/>
      <c r="AA72" s="2729"/>
      <c r="AB72" s="2729"/>
      <c r="AC72" s="2729"/>
    </row>
    <row r="73" spans="1:29" s="422" customFormat="1" ht="15.75" thickBot="1">
      <c r="A73" s="502"/>
      <c r="B73" s="492"/>
      <c r="C73" s="509"/>
      <c r="D73" s="485"/>
      <c r="E73" s="485"/>
      <c r="F73" s="485"/>
      <c r="G73" s="509"/>
      <c r="H73" s="511"/>
      <c r="I73" s="511"/>
      <c r="J73" s="511"/>
      <c r="K73" s="511"/>
      <c r="L73" s="511"/>
      <c r="M73" s="512"/>
      <c r="N73" s="2737"/>
      <c r="O73" s="2737"/>
      <c r="P73" s="2727"/>
      <c r="Q73" s="2728"/>
      <c r="R73" s="2729"/>
      <c r="S73" s="2729"/>
      <c r="T73" s="2729"/>
      <c r="U73" s="2729"/>
      <c r="V73" s="2729"/>
      <c r="W73" s="2729"/>
      <c r="X73" s="2729"/>
      <c r="Y73" s="2729"/>
      <c r="Z73" s="2729"/>
      <c r="AA73" s="2729"/>
      <c r="AB73" s="2729"/>
      <c r="AC73" s="2729"/>
    </row>
    <row r="74" spans="1:29" s="422" customFormat="1" ht="15.75" thickTop="1">
      <c r="A74" s="502"/>
      <c r="B74" s="495">
        <f>B14</f>
        <v>111</v>
      </c>
      <c r="C74" s="503"/>
      <c r="D74" s="503"/>
      <c r="E74" s="503"/>
      <c r="F74" s="503"/>
      <c r="G74" s="472"/>
      <c r="H74" s="513"/>
      <c r="I74" s="513"/>
      <c r="J74" s="513"/>
      <c r="K74" s="513"/>
      <c r="L74" s="514"/>
      <c r="M74" s="515"/>
      <c r="N74" s="2737"/>
      <c r="O74" s="2737"/>
      <c r="P74" s="2732"/>
      <c r="Q74" s="2728"/>
      <c r="R74" s="2729"/>
      <c r="S74" s="2729"/>
      <c r="T74" s="2729"/>
      <c r="U74" s="2729"/>
      <c r="V74" s="2729"/>
      <c r="W74" s="2729"/>
      <c r="X74" s="2729"/>
      <c r="Y74" s="2729"/>
      <c r="Z74" s="2729"/>
      <c r="AA74" s="2729"/>
      <c r="AB74" s="2729"/>
      <c r="AC74" s="2729"/>
    </row>
    <row r="75" spans="1:29" s="422" customFormat="1" ht="15.75" thickBot="1">
      <c r="A75" s="517"/>
      <c r="B75" s="518"/>
      <c r="C75" s="519"/>
      <c r="D75" s="519"/>
      <c r="E75" s="519"/>
      <c r="F75" s="519"/>
      <c r="G75" s="519"/>
      <c r="H75" s="520"/>
      <c r="I75" s="520"/>
      <c r="J75" s="520"/>
      <c r="K75" s="520"/>
      <c r="L75" s="520"/>
      <c r="M75" s="521"/>
      <c r="N75" s="2737"/>
      <c r="O75" s="2737"/>
      <c r="P75" s="2727"/>
      <c r="Q75" s="2728"/>
      <c r="R75" s="2729"/>
      <c r="S75" s="2729"/>
      <c r="T75" s="2729"/>
      <c r="U75" s="2729"/>
      <c r="V75" s="2729"/>
      <c r="W75" s="2729"/>
      <c r="X75" s="2729"/>
      <c r="Y75" s="2729"/>
      <c r="Z75" s="2729"/>
      <c r="AA75" s="2729"/>
      <c r="AB75" s="2729"/>
      <c r="AC75" s="2729"/>
    </row>
    <row r="76" spans="1:29">
      <c r="A76" s="476" t="s">
        <v>1689</v>
      </c>
      <c r="B76" s="477" t="s">
        <v>1719</v>
      </c>
      <c r="C76" s="522" t="s">
        <v>1720</v>
      </c>
      <c r="D76" s="522" t="s">
        <v>1721</v>
      </c>
      <c r="E76" s="522" t="s">
        <v>1722</v>
      </c>
      <c r="F76" s="522" t="s">
        <v>1723</v>
      </c>
      <c r="G76" s="522" t="s">
        <v>1724</v>
      </c>
      <c r="H76" s="478"/>
      <c r="I76" s="478"/>
      <c r="J76" s="478"/>
      <c r="K76" s="523"/>
      <c r="L76" s="524"/>
      <c r="M76" s="525"/>
      <c r="N76" s="2735"/>
      <c r="O76" s="2735"/>
      <c r="P76" s="2733"/>
      <c r="Q76" s="2721"/>
      <c r="R76" s="2707"/>
      <c r="S76" s="2707"/>
      <c r="T76" s="2707"/>
      <c r="U76" s="2707"/>
      <c r="V76" s="2707"/>
      <c r="W76" s="2707"/>
      <c r="X76" s="2707"/>
      <c r="Y76" s="2707"/>
      <c r="Z76" s="2707"/>
      <c r="AA76" s="2707"/>
      <c r="AB76" s="2707"/>
      <c r="AC76" s="2707"/>
    </row>
    <row r="77" spans="1:29" ht="15.75" thickBot="1">
      <c r="A77" s="483"/>
      <c r="B77" s="492"/>
      <c r="C77" s="493">
        <v>100</v>
      </c>
      <c r="D77" s="493">
        <f>C77-$K15</f>
        <v>95</v>
      </c>
      <c r="E77" s="493">
        <f>D77-$K15</f>
        <v>90</v>
      </c>
      <c r="F77" s="493">
        <f>E77-$K15</f>
        <v>85</v>
      </c>
      <c r="G77" s="493">
        <f>F77-$K15</f>
        <v>80</v>
      </c>
      <c r="H77" s="493"/>
      <c r="I77" s="493"/>
      <c r="J77" s="493"/>
      <c r="K77" s="493"/>
      <c r="L77" s="493"/>
      <c r="M77" s="494"/>
      <c r="N77" s="2736"/>
      <c r="O77" s="2736"/>
      <c r="P77" s="2726"/>
      <c r="Q77" s="2721"/>
      <c r="R77" s="2707"/>
      <c r="S77" s="2707"/>
      <c r="T77" s="2707"/>
      <c r="U77" s="2707"/>
      <c r="V77" s="2707"/>
      <c r="W77" s="2707"/>
      <c r="X77" s="2707"/>
      <c r="Y77" s="2707"/>
      <c r="Z77" s="2707"/>
      <c r="AA77" s="2707"/>
      <c r="AB77" s="2707"/>
      <c r="AC77" s="2707"/>
    </row>
    <row r="78" spans="1:29" ht="15.75" thickTop="1">
      <c r="A78" s="483"/>
      <c r="B78" s="487" t="s">
        <v>1725</v>
      </c>
      <c r="C78" s="527" t="s">
        <v>1720</v>
      </c>
      <c r="D78" s="527" t="s">
        <v>1721</v>
      </c>
      <c r="E78" s="527" t="s">
        <v>1722</v>
      </c>
      <c r="F78" s="527" t="s">
        <v>1723</v>
      </c>
      <c r="G78" s="527" t="s">
        <v>1724</v>
      </c>
      <c r="H78" s="488"/>
      <c r="I78" s="488"/>
      <c r="J78" s="488"/>
      <c r="K78" s="489"/>
      <c r="L78" s="490"/>
      <c r="M78" s="491"/>
      <c r="N78" s="2735"/>
      <c r="O78" s="2735"/>
      <c r="P78" s="2726"/>
      <c r="Q78" s="2721"/>
      <c r="R78" s="2707"/>
      <c r="S78" s="2707"/>
      <c r="T78" s="2707"/>
      <c r="U78" s="2707"/>
      <c r="V78" s="2707"/>
      <c r="W78" s="2707"/>
      <c r="X78" s="2707"/>
      <c r="Y78" s="2707"/>
      <c r="Z78" s="2707"/>
      <c r="AA78" s="2707"/>
      <c r="AB78" s="2707"/>
      <c r="AC78" s="2707"/>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6"/>
      <c r="O79" s="2736"/>
      <c r="P79" s="2726"/>
      <c r="Q79" s="2721"/>
      <c r="R79" s="2707"/>
      <c r="S79" s="2707"/>
      <c r="T79" s="2707"/>
      <c r="U79" s="2707"/>
      <c r="V79" s="2707"/>
      <c r="W79" s="2707"/>
      <c r="X79" s="2707"/>
      <c r="Y79" s="2707"/>
      <c r="Z79" s="2707"/>
      <c r="AA79" s="2707"/>
      <c r="AB79" s="2707"/>
      <c r="AC79" s="2707"/>
    </row>
    <row r="80" spans="1:29" ht="15.75" thickTop="1">
      <c r="A80" s="483"/>
      <c r="B80" s="487" t="s">
        <v>1726</v>
      </c>
      <c r="C80" s="527" t="s">
        <v>1720</v>
      </c>
      <c r="D80" s="527" t="s">
        <v>1721</v>
      </c>
      <c r="E80" s="527" t="s">
        <v>1722</v>
      </c>
      <c r="F80" s="527" t="s">
        <v>1723</v>
      </c>
      <c r="G80" s="527" t="s">
        <v>1724</v>
      </c>
      <c r="H80" s="488"/>
      <c r="I80" s="488"/>
      <c r="J80" s="488"/>
      <c r="K80" s="489"/>
      <c r="L80" s="490"/>
      <c r="M80" s="491"/>
      <c r="N80" s="2735"/>
      <c r="O80" s="2735"/>
      <c r="P80" s="2726"/>
      <c r="Q80" s="2721"/>
      <c r="R80" s="2707"/>
      <c r="S80" s="2707"/>
      <c r="T80" s="2707"/>
      <c r="U80" s="2707"/>
      <c r="V80" s="2707"/>
      <c r="W80" s="2707"/>
      <c r="X80" s="2707"/>
      <c r="Y80" s="2707"/>
      <c r="Z80" s="2707"/>
      <c r="AA80" s="2707"/>
      <c r="AB80" s="2707"/>
      <c r="AC80" s="2707"/>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6"/>
      <c r="O81" s="2736"/>
      <c r="P81" s="2726"/>
      <c r="Q81" s="2721"/>
      <c r="R81" s="2707"/>
      <c r="S81" s="2707"/>
      <c r="T81" s="2707"/>
      <c r="U81" s="2707"/>
      <c r="V81" s="2707"/>
      <c r="W81" s="2707"/>
      <c r="X81" s="2707"/>
      <c r="Y81" s="2707"/>
      <c r="Z81" s="2707"/>
      <c r="AA81" s="2707"/>
      <c r="AB81" s="2707"/>
      <c r="AC81" s="2707"/>
    </row>
    <row r="82" spans="1:29" ht="15.75" thickTop="1">
      <c r="A82" s="483"/>
      <c r="B82" s="495" t="s">
        <v>1778</v>
      </c>
      <c r="C82" s="608" t="s">
        <v>1798</v>
      </c>
      <c r="D82" s="608" t="s">
        <v>1799</v>
      </c>
      <c r="E82" s="608" t="s">
        <v>1800</v>
      </c>
      <c r="F82" s="608" t="s">
        <v>1801</v>
      </c>
      <c r="G82" s="608" t="s">
        <v>1802</v>
      </c>
      <c r="H82" s="488"/>
      <c r="I82" s="488"/>
      <c r="J82" s="488"/>
      <c r="K82" s="488"/>
      <c r="L82" s="488"/>
      <c r="M82" s="1129"/>
      <c r="N82" s="2736"/>
      <c r="O82" s="2736"/>
      <c r="P82" s="2726"/>
      <c r="Q82" s="2721"/>
      <c r="R82" s="2707"/>
      <c r="S82" s="2707"/>
      <c r="T82" s="2707"/>
      <c r="U82" s="2707"/>
      <c r="V82" s="2707"/>
      <c r="W82" s="2707"/>
      <c r="X82" s="2707"/>
      <c r="Y82" s="2707"/>
      <c r="Z82" s="2707"/>
      <c r="AA82" s="2707"/>
      <c r="AB82" s="2707"/>
      <c r="AC82" s="2707"/>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6"/>
      <c r="O83" s="2736"/>
      <c r="P83" s="2726"/>
      <c r="Q83" s="2721"/>
      <c r="R83" s="2707"/>
      <c r="S83" s="2707"/>
      <c r="T83" s="2707"/>
      <c r="U83" s="2707"/>
      <c r="V83" s="2707"/>
      <c r="W83" s="2707"/>
      <c r="X83" s="2707"/>
      <c r="Y83" s="2707"/>
      <c r="Z83" s="2707"/>
      <c r="AA83" s="2707"/>
      <c r="AB83" s="2707"/>
      <c r="AC83" s="2707"/>
    </row>
    <row r="84" spans="1:29" ht="15.75" thickTop="1">
      <c r="A84" s="483"/>
      <c r="B84" s="487" t="s">
        <v>1732</v>
      </c>
      <c r="C84" s="527" t="s">
        <v>1720</v>
      </c>
      <c r="D84" s="527" t="s">
        <v>1721</v>
      </c>
      <c r="E84" s="527" t="s">
        <v>1722</v>
      </c>
      <c r="F84" s="527" t="s">
        <v>1723</v>
      </c>
      <c r="G84" s="527" t="s">
        <v>1724</v>
      </c>
      <c r="H84" s="488"/>
      <c r="I84" s="488"/>
      <c r="J84" s="488"/>
      <c r="K84" s="489"/>
      <c r="L84" s="490"/>
      <c r="M84" s="491"/>
      <c r="N84" s="2735"/>
      <c r="O84" s="2735"/>
      <c r="P84" s="2726"/>
      <c r="Q84" s="2721"/>
      <c r="R84" s="2707"/>
      <c r="S84" s="2707"/>
      <c r="T84" s="2707"/>
      <c r="U84" s="2707"/>
      <c r="V84" s="2707"/>
      <c r="W84" s="2707"/>
      <c r="X84" s="2707"/>
      <c r="Y84" s="2707"/>
      <c r="Z84" s="2707"/>
      <c r="AA84" s="2707"/>
      <c r="AB84" s="2707"/>
      <c r="AC84" s="2707"/>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6"/>
      <c r="O85" s="2736"/>
      <c r="P85" s="2726"/>
      <c r="Q85" s="2721"/>
      <c r="R85" s="2707"/>
      <c r="S85" s="2707"/>
      <c r="T85" s="2707"/>
      <c r="U85" s="2707"/>
      <c r="V85" s="2707"/>
      <c r="W85" s="2707"/>
      <c r="X85" s="2707"/>
      <c r="Y85" s="2707"/>
      <c r="Z85" s="2707"/>
      <c r="AA85" s="2707"/>
      <c r="AB85" s="2707"/>
      <c r="AC85" s="2707"/>
    </row>
    <row r="86" spans="1:29" s="108" customFormat="1" ht="15.75" thickTop="1">
      <c r="A86" s="528"/>
      <c r="B86" s="487" t="s">
        <v>1803</v>
      </c>
      <c r="C86" s="503"/>
      <c r="D86" s="503"/>
      <c r="E86" s="503"/>
      <c r="F86" s="503"/>
      <c r="G86" s="503"/>
      <c r="H86" s="503"/>
      <c r="I86" s="503"/>
      <c r="J86" s="503"/>
      <c r="K86" s="503"/>
      <c r="L86" s="529"/>
      <c r="M86" s="530"/>
      <c r="N86" s="2734"/>
      <c r="O86" s="2734"/>
      <c r="P86" s="2726"/>
      <c r="Q86" s="2721"/>
      <c r="R86" s="2643"/>
      <c r="S86" s="2643"/>
      <c r="T86" s="2643"/>
      <c r="U86" s="2643"/>
      <c r="V86" s="2643"/>
      <c r="W86" s="2643"/>
      <c r="X86" s="2643"/>
      <c r="Y86" s="2643"/>
      <c r="Z86" s="2643"/>
      <c r="AA86" s="2643"/>
      <c r="AB86" s="2643"/>
      <c r="AC86" s="264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6"/>
      <c r="O87" s="2736"/>
      <c r="P87" s="2726"/>
      <c r="Q87" s="2721"/>
      <c r="R87" s="2643"/>
      <c r="S87" s="2643"/>
      <c r="T87" s="2643"/>
      <c r="U87" s="2643"/>
      <c r="V87" s="2643"/>
      <c r="W87" s="2643"/>
      <c r="X87" s="2643"/>
      <c r="Y87" s="2643"/>
      <c r="Z87" s="2643"/>
      <c r="AA87" s="2643"/>
      <c r="AB87" s="2643"/>
      <c r="AC87" s="2643"/>
    </row>
    <row r="88" spans="1:29" s="108" customFormat="1" ht="15.75" thickTop="1">
      <c r="A88" s="528"/>
      <c r="B88" s="487" t="str">
        <f>B26</f>
        <v>平面位置/可视性</v>
      </c>
      <c r="C88" s="503"/>
      <c r="D88" s="503"/>
      <c r="E88" s="503"/>
      <c r="F88" s="1927"/>
      <c r="G88" s="503"/>
      <c r="H88" s="503"/>
      <c r="I88" s="503"/>
      <c r="J88" s="503"/>
      <c r="K88" s="503"/>
      <c r="L88" s="503"/>
      <c r="M88" s="530"/>
      <c r="N88" s="2734"/>
      <c r="O88" s="2734"/>
      <c r="P88" s="2726"/>
      <c r="Q88" s="2721"/>
      <c r="R88" s="2643"/>
      <c r="S88" s="2643"/>
      <c r="T88" s="2643"/>
      <c r="U88" s="2643"/>
      <c r="V88" s="2643"/>
      <c r="W88" s="2643"/>
      <c r="X88" s="2643"/>
      <c r="Y88" s="2643"/>
      <c r="Z88" s="2643"/>
      <c r="AA88" s="2643"/>
      <c r="AB88" s="2643"/>
      <c r="AC88" s="2643"/>
    </row>
    <row r="89" spans="1:29" s="108" customFormat="1" ht="15.75" thickBot="1">
      <c r="A89" s="528"/>
      <c r="B89" s="492"/>
      <c r="C89" s="509"/>
      <c r="D89" s="485"/>
      <c r="E89" s="485"/>
      <c r="F89" s="485"/>
      <c r="G89" s="485"/>
      <c r="H89" s="485"/>
      <c r="I89" s="485"/>
      <c r="J89" s="485"/>
      <c r="K89" s="485"/>
      <c r="L89" s="485"/>
      <c r="M89" s="485"/>
      <c r="N89" s="2736"/>
      <c r="O89" s="2736"/>
      <c r="P89" s="2726"/>
      <c r="Q89" s="2721"/>
      <c r="R89" s="2643"/>
      <c r="S89" s="2643"/>
      <c r="T89" s="2643"/>
      <c r="U89" s="2643"/>
      <c r="V89" s="2643"/>
      <c r="W89" s="2643"/>
      <c r="X89" s="2643"/>
      <c r="Y89" s="2643"/>
      <c r="Z89" s="2643"/>
      <c r="AA89" s="2643"/>
      <c r="AB89" s="2643"/>
      <c r="AC89" s="2643"/>
    </row>
    <row r="90" spans="1:29" s="422" customFormat="1" ht="15.75" thickTop="1">
      <c r="A90" s="502"/>
      <c r="B90" s="487" t="str">
        <f>B27</f>
        <v>人流量</v>
      </c>
      <c r="C90" s="3454" t="s">
        <v>3526</v>
      </c>
      <c r="D90" s="3454" t="s">
        <v>3529</v>
      </c>
      <c r="E90" s="3454" t="s">
        <v>3530</v>
      </c>
      <c r="F90" s="3454" t="s">
        <v>3531</v>
      </c>
      <c r="G90" s="3454" t="s">
        <v>3532</v>
      </c>
      <c r="H90" s="504"/>
      <c r="I90" s="504"/>
      <c r="J90" s="504"/>
      <c r="K90" s="504"/>
      <c r="L90" s="505"/>
      <c r="M90" s="506"/>
      <c r="N90" s="2737"/>
      <c r="O90" s="2737"/>
      <c r="P90" s="2727"/>
      <c r="Q90" s="2728"/>
      <c r="R90" s="2729"/>
      <c r="S90" s="2729"/>
      <c r="T90" s="2729"/>
      <c r="U90" s="2729"/>
      <c r="V90" s="2729"/>
      <c r="W90" s="2729"/>
      <c r="X90" s="2729"/>
      <c r="Y90" s="2729"/>
      <c r="Z90" s="2729"/>
      <c r="AA90" s="2729"/>
      <c r="AB90" s="2729"/>
      <c r="AC90" s="2729"/>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37"/>
      <c r="O91" s="2737"/>
      <c r="P91" s="2727"/>
      <c r="Q91" s="2728"/>
      <c r="R91" s="2729"/>
      <c r="S91" s="2729"/>
      <c r="T91" s="2729"/>
      <c r="U91" s="2729"/>
      <c r="V91" s="2729"/>
      <c r="W91" s="2729"/>
      <c r="X91" s="2729"/>
      <c r="Y91" s="2729"/>
      <c r="Z91" s="2729"/>
      <c r="AA91" s="2729"/>
      <c r="AB91" s="2729"/>
      <c r="AC91" s="2729"/>
    </row>
    <row r="92" spans="1:29" ht="15.75" thickTop="1">
      <c r="A92" s="483"/>
      <c r="B92" s="487" t="str">
        <f>B28</f>
        <v>楼层</v>
      </c>
      <c r="C92" s="503"/>
      <c r="D92" s="503"/>
      <c r="E92" s="503"/>
      <c r="F92" s="503"/>
      <c r="G92" s="503"/>
      <c r="H92" s="503"/>
      <c r="I92" s="503"/>
      <c r="J92" s="503"/>
      <c r="K92" s="503"/>
      <c r="L92" s="529"/>
      <c r="M92" s="530"/>
      <c r="N92" s="2735"/>
      <c r="O92" s="2735"/>
      <c r="P92" s="2726"/>
      <c r="Q92" s="2721"/>
      <c r="R92" s="2707"/>
      <c r="S92" s="2707"/>
      <c r="T92" s="2707"/>
      <c r="U92" s="2707"/>
      <c r="V92" s="2707"/>
      <c r="W92" s="2707"/>
      <c r="X92" s="2707"/>
      <c r="Y92" s="2707"/>
      <c r="Z92" s="2707"/>
      <c r="AA92" s="2707"/>
      <c r="AB92" s="2707"/>
      <c r="AC92" s="2707"/>
    </row>
    <row r="93" spans="1:29" ht="15.75" thickBot="1">
      <c r="A93" s="483"/>
      <c r="B93" s="492"/>
      <c r="C93" s="485"/>
      <c r="D93" s="485"/>
      <c r="E93" s="485"/>
      <c r="F93" s="485"/>
      <c r="G93" s="485"/>
      <c r="H93" s="485"/>
      <c r="I93" s="485"/>
      <c r="J93" s="485"/>
      <c r="K93" s="485"/>
      <c r="L93" s="485"/>
      <c r="M93" s="486"/>
      <c r="N93" s="2736"/>
      <c r="O93" s="2736"/>
      <c r="P93" s="2726"/>
      <c r="Q93" s="2721"/>
      <c r="R93" s="2707"/>
      <c r="S93" s="2707"/>
      <c r="T93" s="2707"/>
      <c r="U93" s="2707"/>
      <c r="V93" s="2707"/>
      <c r="W93" s="2707"/>
      <c r="X93" s="2707"/>
      <c r="Y93" s="2707"/>
      <c r="Z93" s="2707"/>
      <c r="AA93" s="2707"/>
      <c r="AB93" s="2707"/>
      <c r="AC93" s="2707"/>
    </row>
    <row r="94" spans="1:29" ht="15.75" thickTop="1">
      <c r="A94" s="483"/>
      <c r="B94" s="487">
        <f>B29</f>
        <v>111</v>
      </c>
      <c r="C94" s="503"/>
      <c r="D94" s="503"/>
      <c r="E94" s="503"/>
      <c r="F94" s="503"/>
      <c r="G94" s="532"/>
      <c r="H94" s="532"/>
      <c r="I94" s="532"/>
      <c r="J94" s="532"/>
      <c r="K94" s="533"/>
      <c r="L94" s="534"/>
      <c r="M94" s="535"/>
      <c r="N94" s="2735"/>
      <c r="O94" s="2735"/>
      <c r="P94" s="2726"/>
      <c r="Q94" s="2721"/>
      <c r="R94" s="2707"/>
      <c r="S94" s="2707"/>
      <c r="T94" s="2707"/>
      <c r="U94" s="2707"/>
      <c r="V94" s="2707"/>
      <c r="W94" s="2707"/>
      <c r="X94" s="2707"/>
      <c r="Y94" s="2707"/>
      <c r="Z94" s="2707"/>
      <c r="AA94" s="2707"/>
      <c r="AB94" s="2707"/>
      <c r="AC94" s="2707"/>
    </row>
    <row r="95" spans="1:29" ht="15.75" thickBot="1">
      <c r="A95" s="483"/>
      <c r="B95" s="492"/>
      <c r="C95" s="509"/>
      <c r="D95" s="485"/>
      <c r="E95" s="485"/>
      <c r="F95" s="485"/>
      <c r="G95" s="485"/>
      <c r="H95" s="485"/>
      <c r="I95" s="485"/>
      <c r="J95" s="485"/>
      <c r="K95" s="485"/>
      <c r="L95" s="485"/>
      <c r="M95" s="486"/>
      <c r="N95" s="2736"/>
      <c r="O95" s="2736"/>
      <c r="P95" s="2726"/>
      <c r="Q95" s="2721"/>
      <c r="R95" s="2707"/>
      <c r="S95" s="2707"/>
      <c r="T95" s="2707"/>
      <c r="U95" s="2707"/>
      <c r="V95" s="2707"/>
      <c r="W95" s="2707"/>
      <c r="X95" s="2707"/>
      <c r="Y95" s="2707"/>
      <c r="Z95" s="2707"/>
      <c r="AA95" s="2707"/>
      <c r="AB95" s="2707"/>
      <c r="AC95" s="2707"/>
    </row>
    <row r="96" spans="1:29" ht="15.75" thickTop="1">
      <c r="A96" s="483"/>
      <c r="B96" s="487">
        <f>B30</f>
        <v>111</v>
      </c>
      <c r="C96" s="503"/>
      <c r="D96" s="503"/>
      <c r="E96" s="503"/>
      <c r="F96" s="503"/>
      <c r="G96" s="532"/>
      <c r="H96" s="532"/>
      <c r="I96" s="532"/>
      <c r="J96" s="532"/>
      <c r="K96" s="533"/>
      <c r="L96" s="534"/>
      <c r="M96" s="535"/>
      <c r="N96" s="2735"/>
      <c r="O96" s="2735"/>
      <c r="P96" s="2726"/>
      <c r="Q96" s="2721"/>
      <c r="R96" s="2707"/>
      <c r="S96" s="2707"/>
      <c r="T96" s="2707"/>
      <c r="U96" s="2707"/>
      <c r="V96" s="2707"/>
      <c r="W96" s="2707"/>
      <c r="X96" s="2707"/>
      <c r="Y96" s="2707"/>
      <c r="Z96" s="2707"/>
      <c r="AA96" s="2707"/>
      <c r="AB96" s="2707"/>
      <c r="AC96" s="2707"/>
    </row>
    <row r="97" spans="1:29" ht="15.75" thickBot="1">
      <c r="A97" s="483"/>
      <c r="B97" s="492"/>
      <c r="C97" s="509"/>
      <c r="D97" s="485"/>
      <c r="E97" s="485"/>
      <c r="F97" s="485"/>
      <c r="G97" s="485"/>
      <c r="H97" s="485"/>
      <c r="I97" s="485"/>
      <c r="J97" s="485"/>
      <c r="K97" s="485"/>
      <c r="L97" s="485"/>
      <c r="M97" s="486"/>
      <c r="N97" s="2736"/>
      <c r="O97" s="2736"/>
      <c r="P97" s="2726"/>
      <c r="Q97" s="2721"/>
      <c r="R97" s="2707"/>
      <c r="S97" s="2707"/>
      <c r="T97" s="2707"/>
      <c r="U97" s="2707"/>
      <c r="V97" s="2707"/>
      <c r="W97" s="2707"/>
      <c r="X97" s="2707"/>
      <c r="Y97" s="2707"/>
      <c r="Z97" s="2707"/>
      <c r="AA97" s="2707"/>
      <c r="AB97" s="2707"/>
      <c r="AC97" s="2707"/>
    </row>
    <row r="98" spans="1:29" ht="15.75" thickTop="1">
      <c r="A98" s="483"/>
      <c r="B98" s="495">
        <f>B31</f>
        <v>111</v>
      </c>
      <c r="C98" s="503"/>
      <c r="D98" s="503"/>
      <c r="E98" s="503"/>
      <c r="F98" s="503"/>
      <c r="G98" s="536"/>
      <c r="H98" s="536"/>
      <c r="I98" s="536"/>
      <c r="J98" s="536"/>
      <c r="K98" s="537"/>
      <c r="L98" s="538"/>
      <c r="M98" s="539"/>
      <c r="N98" s="2735"/>
      <c r="O98" s="2735"/>
      <c r="P98" s="2726"/>
      <c r="Q98" s="2721"/>
      <c r="R98" s="2707"/>
      <c r="S98" s="2707"/>
      <c r="T98" s="2707"/>
      <c r="U98" s="2707"/>
      <c r="V98" s="2707"/>
      <c r="W98" s="2707"/>
      <c r="X98" s="2707"/>
      <c r="Y98" s="2707"/>
      <c r="Z98" s="2707"/>
      <c r="AA98" s="2707"/>
      <c r="AB98" s="2707"/>
      <c r="AC98" s="2707"/>
    </row>
    <row r="99" spans="1:29" ht="15.75" thickBot="1">
      <c r="A99" s="1928"/>
      <c r="B99" s="518"/>
      <c r="C99" s="519"/>
      <c r="D99" s="519"/>
      <c r="E99" s="519"/>
      <c r="F99" s="519"/>
      <c r="G99" s="540"/>
      <c r="H99" s="540"/>
      <c r="I99" s="540"/>
      <c r="J99" s="540"/>
      <c r="K99" s="540"/>
      <c r="L99" s="540"/>
      <c r="M99" s="541"/>
      <c r="N99" s="2736"/>
      <c r="O99" s="2736"/>
      <c r="P99" s="2726"/>
      <c r="Q99" s="2721"/>
      <c r="R99" s="2707"/>
      <c r="S99" s="2707"/>
      <c r="T99" s="2707"/>
      <c r="U99" s="2707"/>
      <c r="V99" s="2707"/>
      <c r="W99" s="2707"/>
      <c r="X99" s="2707"/>
      <c r="Y99" s="2707"/>
      <c r="Z99" s="2707"/>
      <c r="AA99" s="2707"/>
      <c r="AB99" s="2707"/>
      <c r="AC99" s="2707"/>
    </row>
    <row r="100" spans="1:29">
      <c r="A100" s="476" t="s">
        <v>1693</v>
      </c>
      <c r="B100" s="477" t="s">
        <v>1804</v>
      </c>
      <c r="C100" s="479"/>
      <c r="D100" s="479"/>
      <c r="E100" s="479"/>
      <c r="F100" s="479"/>
      <c r="G100" s="479"/>
      <c r="H100" s="479"/>
      <c r="I100" s="479"/>
      <c r="J100" s="479"/>
      <c r="K100" s="480"/>
      <c r="L100" s="481"/>
      <c r="M100" s="482"/>
      <c r="N100" s="2735"/>
      <c r="O100" s="2735"/>
      <c r="P100" s="2726"/>
      <c r="Q100" s="2721"/>
      <c r="R100" s="2707"/>
      <c r="S100" s="2707"/>
      <c r="T100" s="2707"/>
      <c r="U100" s="2707"/>
      <c r="V100" s="2707"/>
      <c r="W100" s="2707"/>
      <c r="X100" s="2707"/>
      <c r="Y100" s="2707"/>
      <c r="Z100" s="2707"/>
      <c r="AA100" s="2707"/>
      <c r="AB100" s="2707"/>
      <c r="AC100" s="270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6"/>
      <c r="O101" s="2736"/>
      <c r="P101" s="2726"/>
      <c r="Q101" s="2721"/>
      <c r="R101" s="2707"/>
      <c r="S101" s="2707"/>
      <c r="T101" s="2707"/>
      <c r="U101" s="2707"/>
      <c r="V101" s="2707"/>
      <c r="W101" s="2707"/>
      <c r="X101" s="2707"/>
      <c r="Y101" s="2707"/>
      <c r="Z101" s="2707"/>
      <c r="AA101" s="2707"/>
      <c r="AB101" s="2707"/>
      <c r="AC101" s="2707"/>
    </row>
    <row r="102" spans="1:29" ht="29.25" thickTop="1">
      <c r="A102" s="483"/>
      <c r="B102" s="487" t="s">
        <v>1736</v>
      </c>
      <c r="C102" s="527" t="str">
        <f>C103&amp;"(含)"&amp;"-"&amp;D103</f>
        <v>0(含)-10000</v>
      </c>
      <c r="D102" s="527" t="str">
        <f t="shared" ref="D102:L102" si="23">D103&amp;"(含)"&amp;"-"&amp;E103</f>
        <v>10000(含)-20000</v>
      </c>
      <c r="E102" s="527" t="str">
        <f t="shared" si="23"/>
        <v>20000(含)-30000</v>
      </c>
      <c r="F102" s="527" t="str">
        <f t="shared" si="23"/>
        <v>30000(含)-40000</v>
      </c>
      <c r="G102" s="527" t="str">
        <f t="shared" si="23"/>
        <v>40000(含)-50000</v>
      </c>
      <c r="H102" s="527" t="str">
        <f t="shared" si="23"/>
        <v>50000(含)-</v>
      </c>
      <c r="I102" s="527" t="str">
        <f t="shared" si="23"/>
        <v>(含)-</v>
      </c>
      <c r="J102" s="527" t="str">
        <f t="shared" si="23"/>
        <v>(含)-</v>
      </c>
      <c r="K102" s="527" t="str">
        <f t="shared" si="23"/>
        <v>(含)-</v>
      </c>
      <c r="L102" s="527" t="str">
        <f t="shared" si="23"/>
        <v>(含)-</v>
      </c>
      <c r="M102" s="570" t="str">
        <f>M103&amp;"(含)"&amp;"-"&amp;P103</f>
        <v>(含)-</v>
      </c>
      <c r="N102" s="2734"/>
      <c r="O102" s="2734"/>
      <c r="P102" s="2726"/>
      <c r="Q102" s="2721"/>
      <c r="R102" s="2707"/>
      <c r="S102" s="2707"/>
      <c r="T102" s="2707"/>
      <c r="U102" s="2707"/>
      <c r="V102" s="2707"/>
      <c r="W102" s="2707"/>
      <c r="X102" s="2707"/>
      <c r="Y102" s="2707"/>
      <c r="Z102" s="2707"/>
      <c r="AA102" s="2707"/>
      <c r="AB102" s="2707"/>
      <c r="AC102" s="2707"/>
    </row>
    <row r="103" spans="1:29" s="422" customFormat="1">
      <c r="A103" s="542"/>
      <c r="B103" s="543"/>
      <c r="C103" s="544">
        <v>0</v>
      </c>
      <c r="D103" s="544">
        <v>10000</v>
      </c>
      <c r="E103" s="544">
        <v>20000</v>
      </c>
      <c r="F103" s="544">
        <v>30000</v>
      </c>
      <c r="G103" s="544">
        <v>40000</v>
      </c>
      <c r="H103" s="544">
        <v>50000</v>
      </c>
      <c r="I103" s="544"/>
      <c r="J103" s="545"/>
      <c r="K103" s="545"/>
      <c r="L103" s="546"/>
      <c r="M103" s="547"/>
      <c r="N103" s="2737"/>
      <c r="O103" s="2737"/>
      <c r="P103" s="2727"/>
      <c r="Q103" s="2728"/>
      <c r="R103" s="2729"/>
      <c r="S103" s="2729"/>
      <c r="T103" s="2729"/>
      <c r="U103" s="2729"/>
      <c r="V103" s="2729"/>
      <c r="W103" s="2729"/>
      <c r="X103" s="2729"/>
      <c r="Y103" s="2729"/>
      <c r="Z103" s="2729"/>
      <c r="AA103" s="2729"/>
      <c r="AB103" s="2729"/>
      <c r="AC103" s="2729"/>
    </row>
    <row r="104" spans="1:29" s="422" customFormat="1" ht="15.75" thickBot="1">
      <c r="A104" s="502"/>
      <c r="B104" s="492"/>
      <c r="C104" s="509">
        <v>100</v>
      </c>
      <c r="D104" s="485">
        <v>101</v>
      </c>
      <c r="E104" s="485">
        <v>102</v>
      </c>
      <c r="F104" s="485">
        <v>103</v>
      </c>
      <c r="G104" s="485">
        <v>104</v>
      </c>
      <c r="H104" s="485">
        <v>105</v>
      </c>
      <c r="I104" s="485"/>
      <c r="J104" s="485"/>
      <c r="K104" s="485"/>
      <c r="L104" s="485"/>
      <c r="M104" s="486"/>
      <c r="N104" s="2736"/>
      <c r="O104" s="2736"/>
      <c r="P104" s="2727"/>
      <c r="Q104" s="2728"/>
      <c r="R104" s="2729"/>
      <c r="S104" s="2729"/>
      <c r="T104" s="2729"/>
      <c r="U104" s="2729"/>
      <c r="V104" s="2729"/>
      <c r="W104" s="2729"/>
      <c r="X104" s="2729"/>
      <c r="Y104" s="2729"/>
      <c r="Z104" s="2729"/>
      <c r="AA104" s="2729"/>
      <c r="AB104" s="2729"/>
      <c r="AC104" s="2729"/>
    </row>
    <row r="105" spans="1:29" ht="15" thickTop="1">
      <c r="A105" s="548"/>
      <c r="B105" s="487" t="s">
        <v>1737</v>
      </c>
      <c r="C105" s="503"/>
      <c r="D105" s="503"/>
      <c r="E105" s="532"/>
      <c r="F105" s="532"/>
      <c r="G105" s="532"/>
      <c r="H105" s="532"/>
      <c r="I105" s="532"/>
      <c r="J105" s="532"/>
      <c r="K105" s="533"/>
      <c r="L105" s="534"/>
      <c r="M105" s="535"/>
      <c r="N105" s="2735"/>
      <c r="O105" s="2735"/>
      <c r="P105" s="2726"/>
      <c r="Q105" s="2721"/>
      <c r="R105" s="2707"/>
      <c r="S105" s="2707"/>
      <c r="T105" s="2707"/>
      <c r="U105" s="2707"/>
      <c r="V105" s="2707"/>
      <c r="W105" s="2707"/>
      <c r="X105" s="2707"/>
      <c r="Y105" s="2707"/>
      <c r="Z105" s="2707"/>
      <c r="AA105" s="2707"/>
      <c r="AB105" s="2707"/>
      <c r="AC105" s="2707"/>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6"/>
      <c r="O106" s="2736"/>
      <c r="P106" s="2726"/>
      <c r="Q106" s="2721"/>
      <c r="R106" s="2707"/>
      <c r="S106" s="2707"/>
      <c r="T106" s="2707"/>
      <c r="U106" s="2707"/>
      <c r="V106" s="2707"/>
      <c r="W106" s="2707"/>
      <c r="X106" s="2707"/>
      <c r="Y106" s="2707"/>
      <c r="Z106" s="2707"/>
      <c r="AA106" s="2707"/>
      <c r="AB106" s="2707"/>
      <c r="AC106" s="2707"/>
    </row>
    <row r="107" spans="1:29" ht="15" thickTop="1">
      <c r="A107" s="548"/>
      <c r="B107" s="487" t="s">
        <v>1739</v>
      </c>
      <c r="C107" s="503"/>
      <c r="D107" s="503"/>
      <c r="E107" s="503"/>
      <c r="F107" s="532"/>
      <c r="G107" s="532"/>
      <c r="H107" s="532"/>
      <c r="I107" s="532"/>
      <c r="J107" s="532"/>
      <c r="K107" s="533"/>
      <c r="L107" s="534"/>
      <c r="M107" s="535"/>
      <c r="N107" s="2735"/>
      <c r="O107" s="2735"/>
      <c r="P107" s="2726"/>
      <c r="Q107" s="2721"/>
      <c r="R107" s="2707"/>
      <c r="S107" s="2707"/>
      <c r="T107" s="2707"/>
      <c r="U107" s="2707"/>
      <c r="V107" s="2707"/>
      <c r="W107" s="2707"/>
      <c r="X107" s="2707"/>
      <c r="Y107" s="2707"/>
      <c r="Z107" s="2707"/>
      <c r="AA107" s="2707"/>
      <c r="AB107" s="2707"/>
      <c r="AC107" s="2707"/>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6"/>
      <c r="O108" s="2736"/>
      <c r="P108" s="2726"/>
      <c r="Q108" s="2721"/>
      <c r="R108" s="2707"/>
      <c r="S108" s="2707"/>
      <c r="T108" s="2707"/>
      <c r="U108" s="2707"/>
      <c r="V108" s="2707"/>
      <c r="W108" s="2707"/>
      <c r="X108" s="2707"/>
      <c r="Y108" s="2707"/>
      <c r="Z108" s="2707"/>
      <c r="AA108" s="2707"/>
      <c r="AB108" s="2707"/>
      <c r="AC108" s="2707"/>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5"/>
      <c r="O109" s="2735"/>
      <c r="P109" s="2726"/>
      <c r="Q109" s="2721"/>
      <c r="R109" s="2707"/>
      <c r="S109" s="2707"/>
      <c r="T109" s="2707"/>
      <c r="U109" s="2707"/>
      <c r="V109" s="2707"/>
      <c r="W109" s="2707"/>
      <c r="X109" s="2707"/>
      <c r="Y109" s="2707"/>
      <c r="Z109" s="2707"/>
      <c r="AA109" s="2707"/>
      <c r="AB109" s="2707"/>
      <c r="AC109" s="2707"/>
    </row>
    <row r="110" spans="1:29">
      <c r="A110" s="548"/>
      <c r="B110" s="495"/>
      <c r="C110" s="552">
        <v>0.5</v>
      </c>
      <c r="D110" s="552">
        <v>0.6</v>
      </c>
      <c r="E110" s="552">
        <v>0.7</v>
      </c>
      <c r="F110" s="552">
        <v>0.8</v>
      </c>
      <c r="G110" s="552">
        <v>0.9</v>
      </c>
      <c r="H110" s="552">
        <v>1.0001</v>
      </c>
      <c r="I110" s="571"/>
      <c r="J110" s="571"/>
      <c r="K110" s="572"/>
      <c r="L110" s="573"/>
      <c r="M110" s="574"/>
      <c r="N110" s="2735"/>
      <c r="O110" s="2735"/>
      <c r="P110" s="2726"/>
      <c r="Q110" s="2721"/>
      <c r="R110" s="2707"/>
      <c r="S110" s="2707"/>
      <c r="T110" s="2707"/>
      <c r="U110" s="2707"/>
      <c r="V110" s="2707"/>
      <c r="W110" s="2707"/>
      <c r="X110" s="2707"/>
      <c r="Y110" s="2707"/>
      <c r="Z110" s="2707"/>
      <c r="AA110" s="2707"/>
      <c r="AB110" s="2707"/>
      <c r="AC110" s="2707"/>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6"/>
      <c r="O111" s="2736"/>
      <c r="P111" s="2726"/>
      <c r="Q111" s="2721"/>
      <c r="R111" s="2707"/>
      <c r="S111" s="2707"/>
      <c r="T111" s="2707"/>
      <c r="U111" s="2707"/>
      <c r="V111" s="2707"/>
      <c r="W111" s="2707"/>
      <c r="X111" s="2707"/>
      <c r="Y111" s="2707"/>
      <c r="Z111" s="2707"/>
      <c r="AA111" s="2707"/>
      <c r="AB111" s="2707"/>
      <c r="AC111" s="2707"/>
    </row>
    <row r="112" spans="1:29" s="422" customFormat="1" ht="15" thickTop="1">
      <c r="A112" s="542"/>
      <c r="B112" s="487" t="s">
        <v>1741</v>
      </c>
      <c r="C112" s="503"/>
      <c r="D112" s="503"/>
      <c r="E112" s="503"/>
      <c r="F112" s="503"/>
      <c r="G112" s="503"/>
      <c r="H112" s="532"/>
      <c r="I112" s="532"/>
      <c r="J112" s="532"/>
      <c r="K112" s="533"/>
      <c r="L112" s="534"/>
      <c r="M112" s="535"/>
      <c r="N112" s="2737"/>
      <c r="O112" s="2737"/>
      <c r="P112" s="2727"/>
      <c r="Q112" s="2728"/>
      <c r="R112" s="2729"/>
      <c r="S112" s="2729"/>
      <c r="T112" s="2729"/>
      <c r="U112" s="2729"/>
      <c r="V112" s="2729"/>
      <c r="W112" s="2729"/>
      <c r="X112" s="2729"/>
      <c r="Y112" s="2729"/>
      <c r="Z112" s="2729"/>
      <c r="AA112" s="2729"/>
      <c r="AB112" s="2729"/>
      <c r="AC112" s="2729"/>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7"/>
      <c r="O113" s="2737"/>
      <c r="P113" s="2727"/>
      <c r="Q113" s="2728"/>
      <c r="R113" s="2729"/>
      <c r="S113" s="2729"/>
      <c r="T113" s="2729"/>
      <c r="U113" s="2729"/>
      <c r="V113" s="2729"/>
      <c r="W113" s="2729"/>
      <c r="X113" s="2729"/>
      <c r="Y113" s="2729"/>
      <c r="Z113" s="2729"/>
      <c r="AA113" s="2729"/>
      <c r="AB113" s="2729"/>
      <c r="AC113" s="2729"/>
    </row>
    <row r="114" spans="1:29" ht="15" thickTop="1">
      <c r="A114" s="548"/>
      <c r="B114" s="487" t="s">
        <v>1805</v>
      </c>
      <c r="C114" s="503"/>
      <c r="D114" s="503"/>
      <c r="E114" s="532"/>
      <c r="F114" s="532"/>
      <c r="G114" s="532"/>
      <c r="H114" s="532"/>
      <c r="I114" s="532"/>
      <c r="J114" s="532"/>
      <c r="K114" s="533"/>
      <c r="L114" s="534"/>
      <c r="M114" s="535"/>
      <c r="N114" s="2735"/>
      <c r="O114" s="2735"/>
      <c r="P114" s="2726"/>
      <c r="Q114" s="2721"/>
      <c r="R114" s="2707"/>
      <c r="S114" s="2707"/>
      <c r="T114" s="2707"/>
      <c r="U114" s="2707"/>
      <c r="V114" s="2707"/>
      <c r="W114" s="2707"/>
      <c r="X114" s="2707"/>
      <c r="Y114" s="2707"/>
      <c r="Z114" s="2707"/>
      <c r="AA114" s="2707"/>
      <c r="AB114" s="2707"/>
      <c r="AC114" s="2707"/>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6"/>
      <c r="O115" s="2736"/>
      <c r="P115" s="2726"/>
      <c r="Q115" s="2721"/>
      <c r="R115" s="2707"/>
      <c r="S115" s="2707"/>
      <c r="T115" s="2707"/>
      <c r="U115" s="2707"/>
      <c r="V115" s="2707"/>
      <c r="W115" s="2707"/>
      <c r="X115" s="2707"/>
      <c r="Y115" s="2707"/>
      <c r="Z115" s="2707"/>
      <c r="AA115" s="2707"/>
      <c r="AB115" s="2707"/>
      <c r="AC115" s="2707"/>
    </row>
    <row r="116" spans="1:29" ht="15" thickTop="1">
      <c r="A116" s="548"/>
      <c r="B116" s="487" t="s">
        <v>1806</v>
      </c>
      <c r="C116" s="503"/>
      <c r="D116" s="503"/>
      <c r="E116" s="503"/>
      <c r="F116" s="503"/>
      <c r="G116" s="503"/>
      <c r="H116" s="532"/>
      <c r="I116" s="532"/>
      <c r="J116" s="532"/>
      <c r="K116" s="533"/>
      <c r="L116" s="534"/>
      <c r="M116" s="535"/>
      <c r="N116" s="2735"/>
      <c r="O116" s="2735"/>
      <c r="P116" s="2726"/>
      <c r="Q116" s="2721"/>
      <c r="R116" s="2707"/>
      <c r="S116" s="2707"/>
      <c r="T116" s="2707"/>
      <c r="U116" s="2707"/>
      <c r="V116" s="2707"/>
      <c r="W116" s="2707"/>
      <c r="X116" s="2707"/>
      <c r="Y116" s="2707"/>
      <c r="Z116" s="2707"/>
      <c r="AA116" s="2707"/>
      <c r="AB116" s="2707"/>
      <c r="AC116" s="270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6"/>
      <c r="O117" s="2736"/>
      <c r="P117" s="2726"/>
      <c r="Q117" s="2721"/>
      <c r="R117" s="2707"/>
      <c r="S117" s="2707"/>
      <c r="T117" s="2707"/>
      <c r="U117" s="2707"/>
      <c r="V117" s="2707"/>
      <c r="W117" s="2707"/>
      <c r="X117" s="2707"/>
      <c r="Y117" s="2707"/>
      <c r="Z117" s="2707"/>
      <c r="AA117" s="2707"/>
      <c r="AB117" s="2707"/>
      <c r="AC117" s="2707"/>
    </row>
    <row r="118" spans="1:29" ht="15" thickTop="1">
      <c r="A118" s="548"/>
      <c r="B118" s="487" t="s">
        <v>1807</v>
      </c>
      <c r="C118" s="575"/>
      <c r="D118" s="575"/>
      <c r="E118" s="575"/>
      <c r="F118" s="575"/>
      <c r="G118" s="575"/>
      <c r="H118" s="504"/>
      <c r="I118" s="504"/>
      <c r="J118" s="504"/>
      <c r="K118" s="504"/>
      <c r="L118" s="505"/>
      <c r="M118" s="506"/>
      <c r="N118" s="2735"/>
      <c r="O118" s="2735"/>
      <c r="P118" s="2726"/>
      <c r="Q118" s="2721"/>
      <c r="R118" s="2707"/>
      <c r="S118" s="2707"/>
      <c r="T118" s="2707"/>
      <c r="U118" s="2707"/>
      <c r="V118" s="2707"/>
      <c r="W118" s="2707"/>
      <c r="X118" s="2707"/>
      <c r="Y118" s="2707"/>
      <c r="Z118" s="2707"/>
      <c r="AA118" s="2707"/>
      <c r="AB118" s="2707"/>
      <c r="AC118" s="2707"/>
    </row>
    <row r="119" spans="1:29" ht="15.75" thickBot="1">
      <c r="A119" s="483"/>
      <c r="B119" s="492"/>
      <c r="C119" s="509"/>
      <c r="D119" s="485"/>
      <c r="E119" s="485"/>
      <c r="F119" s="485"/>
      <c r="G119" s="485"/>
      <c r="H119" s="485"/>
      <c r="I119" s="485"/>
      <c r="J119" s="485"/>
      <c r="K119" s="485"/>
      <c r="L119" s="485"/>
      <c r="M119" s="486"/>
      <c r="N119" s="2736"/>
      <c r="O119" s="2736"/>
      <c r="P119" s="2726"/>
      <c r="Q119" s="2721"/>
      <c r="R119" s="2707"/>
      <c r="S119" s="2707"/>
      <c r="T119" s="2707"/>
      <c r="U119" s="2707"/>
      <c r="V119" s="2707"/>
      <c r="W119" s="2707"/>
      <c r="X119" s="2707"/>
      <c r="Y119" s="2707"/>
      <c r="Z119" s="2707"/>
      <c r="AA119" s="2707"/>
      <c r="AB119" s="2707"/>
      <c r="AC119" s="2707"/>
    </row>
    <row r="120" spans="1:29" s="422" customFormat="1" ht="15" thickTop="1">
      <c r="A120" s="542"/>
      <c r="B120" s="487" t="s">
        <v>1808</v>
      </c>
      <c r="C120" s="532"/>
      <c r="D120" s="532"/>
      <c r="E120" s="532"/>
      <c r="F120" s="532"/>
      <c r="G120" s="504"/>
      <c r="H120" s="504"/>
      <c r="I120" s="504"/>
      <c r="J120" s="504"/>
      <c r="K120" s="504"/>
      <c r="L120" s="505"/>
      <c r="M120" s="506"/>
      <c r="N120" s="2737"/>
      <c r="O120" s="2737"/>
      <c r="P120" s="2727"/>
      <c r="Q120" s="2728"/>
      <c r="R120" s="2729"/>
      <c r="S120" s="2729"/>
      <c r="T120" s="2729"/>
      <c r="U120" s="2729"/>
      <c r="V120" s="2729"/>
      <c r="W120" s="2729"/>
      <c r="X120" s="2729"/>
      <c r="Y120" s="2729"/>
      <c r="Z120" s="2729"/>
      <c r="AA120" s="2729"/>
      <c r="AB120" s="2729"/>
      <c r="AC120" s="2729"/>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7"/>
      <c r="O121" s="2737"/>
      <c r="P121" s="2727"/>
      <c r="Q121" s="2728"/>
      <c r="R121" s="2729"/>
      <c r="S121" s="2729"/>
      <c r="T121" s="2729"/>
      <c r="U121" s="2729"/>
      <c r="V121" s="2729"/>
      <c r="W121" s="2729"/>
      <c r="X121" s="2729"/>
      <c r="Y121" s="2729"/>
      <c r="Z121" s="2729"/>
      <c r="AA121" s="2729"/>
      <c r="AB121" s="2729"/>
      <c r="AC121" s="2729"/>
    </row>
    <row r="122" spans="1:29" ht="15" thickTop="1">
      <c r="A122" s="548"/>
      <c r="B122" s="487" t="s">
        <v>1743</v>
      </c>
      <c r="C122" s="503"/>
      <c r="D122" s="503"/>
      <c r="E122" s="503"/>
      <c r="F122" s="532"/>
      <c r="G122" s="532"/>
      <c r="H122" s="532"/>
      <c r="I122" s="532"/>
      <c r="J122" s="532"/>
      <c r="K122" s="533"/>
      <c r="L122" s="534"/>
      <c r="M122" s="535"/>
      <c r="N122" s="2735"/>
      <c r="O122" s="2735"/>
      <c r="P122" s="2726"/>
      <c r="Q122" s="2721"/>
      <c r="R122" s="2707"/>
      <c r="S122" s="2707"/>
      <c r="T122" s="2707"/>
      <c r="U122" s="2707"/>
      <c r="V122" s="2707"/>
      <c r="W122" s="2707"/>
      <c r="X122" s="2707"/>
      <c r="Y122" s="2707"/>
      <c r="Z122" s="2707"/>
      <c r="AA122" s="2707"/>
      <c r="AB122" s="2707"/>
      <c r="AC122" s="2707"/>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6"/>
      <c r="O123" s="2736"/>
      <c r="P123" s="2726"/>
      <c r="Q123" s="2721"/>
      <c r="R123" s="2707"/>
      <c r="S123" s="2707"/>
      <c r="T123" s="2707"/>
      <c r="U123" s="2707"/>
      <c r="V123" s="2707"/>
      <c r="W123" s="2707"/>
      <c r="X123" s="2707"/>
      <c r="Y123" s="2707"/>
      <c r="Z123" s="2707"/>
      <c r="AA123" s="2707"/>
      <c r="AB123" s="2707"/>
      <c r="AC123" s="2707"/>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35"/>
      <c r="O124" s="2735"/>
      <c r="P124" s="2727"/>
      <c r="Q124" s="2721"/>
      <c r="R124" s="2707"/>
      <c r="S124" s="2707"/>
      <c r="T124" s="2707"/>
      <c r="U124" s="2707"/>
      <c r="V124" s="2707"/>
      <c r="W124" s="2707"/>
      <c r="X124" s="2707"/>
      <c r="Y124" s="2707"/>
      <c r="Z124" s="2707"/>
      <c r="AA124" s="2707"/>
      <c r="AB124" s="2707"/>
      <c r="AC124" s="2707"/>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6"/>
      <c r="O125" s="2736"/>
      <c r="P125" s="2726"/>
      <c r="Q125" s="2721"/>
      <c r="R125" s="2707"/>
      <c r="S125" s="2707"/>
      <c r="T125" s="2707"/>
      <c r="U125" s="2707"/>
      <c r="V125" s="2707"/>
      <c r="W125" s="2707"/>
      <c r="X125" s="2707"/>
      <c r="Y125" s="2707"/>
      <c r="Z125" s="2707"/>
      <c r="AA125" s="2707"/>
      <c r="AB125" s="2707"/>
      <c r="AC125" s="2707"/>
    </row>
    <row r="126" spans="1:29" s="422" customFormat="1" ht="15" thickTop="1">
      <c r="A126" s="542"/>
      <c r="B126" s="487">
        <f>B44</f>
        <v>111</v>
      </c>
      <c r="C126" s="503"/>
      <c r="D126" s="503"/>
      <c r="E126" s="503"/>
      <c r="F126" s="503"/>
      <c r="G126" s="503"/>
      <c r="H126" s="504"/>
      <c r="I126" s="504"/>
      <c r="J126" s="504"/>
      <c r="K126" s="504"/>
      <c r="L126" s="505"/>
      <c r="M126" s="506"/>
      <c r="N126" s="2737"/>
      <c r="O126" s="2737"/>
      <c r="P126" s="2727"/>
      <c r="Q126" s="2728"/>
      <c r="R126" s="2729"/>
      <c r="S126" s="2729"/>
      <c r="T126" s="2729"/>
      <c r="U126" s="2729"/>
      <c r="V126" s="2729"/>
      <c r="W126" s="2729"/>
      <c r="X126" s="2729"/>
      <c r="Y126" s="2729"/>
      <c r="Z126" s="2729"/>
      <c r="AA126" s="2729"/>
      <c r="AB126" s="2729"/>
      <c r="AC126" s="2729"/>
    </row>
    <row r="127" spans="1:29" s="422" customFormat="1" ht="15.75" thickBot="1">
      <c r="A127" s="502"/>
      <c r="B127" s="492"/>
      <c r="C127" s="509"/>
      <c r="D127" s="485"/>
      <c r="E127" s="485"/>
      <c r="F127" s="485"/>
      <c r="G127" s="509"/>
      <c r="H127" s="511"/>
      <c r="I127" s="511"/>
      <c r="J127" s="511"/>
      <c r="K127" s="511"/>
      <c r="L127" s="511"/>
      <c r="M127" s="512"/>
      <c r="N127" s="2737"/>
      <c r="O127" s="2737"/>
      <c r="P127" s="2727"/>
      <c r="Q127" s="2728"/>
      <c r="R127" s="2729"/>
      <c r="S127" s="2729"/>
      <c r="T127" s="2729"/>
      <c r="U127" s="2729"/>
      <c r="V127" s="2729"/>
      <c r="W127" s="2729"/>
      <c r="X127" s="2729"/>
      <c r="Y127" s="2729"/>
      <c r="Z127" s="2729"/>
      <c r="AA127" s="2729"/>
      <c r="AB127" s="2729"/>
      <c r="AC127" s="2729"/>
    </row>
    <row r="128" spans="1:29" ht="15" thickTop="1">
      <c r="A128" s="548"/>
      <c r="B128" s="487">
        <f>B45</f>
        <v>111</v>
      </c>
      <c r="C128" s="503"/>
      <c r="D128" s="503"/>
      <c r="E128" s="503"/>
      <c r="F128" s="503"/>
      <c r="G128" s="532"/>
      <c r="H128" s="532"/>
      <c r="I128" s="532"/>
      <c r="J128" s="532"/>
      <c r="K128" s="533"/>
      <c r="L128" s="534"/>
      <c r="M128" s="535"/>
      <c r="N128" s="2735"/>
      <c r="O128" s="2735"/>
      <c r="P128" s="2726"/>
      <c r="Q128" s="2721"/>
      <c r="R128" s="2707"/>
      <c r="S128" s="2707"/>
      <c r="T128" s="2707"/>
      <c r="U128" s="2707"/>
      <c r="V128" s="2707"/>
      <c r="W128" s="2707"/>
      <c r="X128" s="2707"/>
      <c r="Y128" s="2707"/>
      <c r="Z128" s="2707"/>
      <c r="AA128" s="2707"/>
      <c r="AB128" s="2707"/>
      <c r="AC128" s="2707"/>
    </row>
    <row r="129" spans="1:29" ht="15.75" thickBot="1">
      <c r="A129" s="483"/>
      <c r="B129" s="492"/>
      <c r="C129" s="509"/>
      <c r="D129" s="485"/>
      <c r="E129" s="485"/>
      <c r="F129" s="485"/>
      <c r="G129" s="485"/>
      <c r="H129" s="485"/>
      <c r="I129" s="485"/>
      <c r="J129" s="485"/>
      <c r="K129" s="485"/>
      <c r="L129" s="485"/>
      <c r="M129" s="486"/>
      <c r="N129" s="2736"/>
      <c r="O129" s="2736"/>
      <c r="P129" s="2726"/>
      <c r="Q129" s="2721"/>
      <c r="R129" s="2707"/>
      <c r="S129" s="2707"/>
      <c r="T129" s="2707"/>
      <c r="U129" s="2707"/>
      <c r="V129" s="2707"/>
      <c r="W129" s="2707"/>
      <c r="X129" s="2707"/>
      <c r="Y129" s="2707"/>
      <c r="Z129" s="2707"/>
      <c r="AA129" s="2707"/>
      <c r="AB129" s="2707"/>
      <c r="AC129" s="2707"/>
    </row>
    <row r="130" spans="1:29" ht="15" thickTop="1">
      <c r="A130" s="548"/>
      <c r="B130" s="495">
        <f>B46</f>
        <v>111</v>
      </c>
      <c r="C130" s="503"/>
      <c r="D130" s="503"/>
      <c r="E130" s="503"/>
      <c r="F130" s="503"/>
      <c r="G130" s="536"/>
      <c r="H130" s="536"/>
      <c r="I130" s="536"/>
      <c r="J130" s="536"/>
      <c r="K130" s="472"/>
      <c r="L130" s="473"/>
      <c r="M130" s="539"/>
      <c r="N130" s="2735"/>
      <c r="O130" s="2735"/>
      <c r="P130" s="2726"/>
      <c r="Q130" s="2721"/>
      <c r="R130" s="2707"/>
      <c r="S130" s="2707"/>
      <c r="T130" s="2707"/>
      <c r="U130" s="2707"/>
      <c r="V130" s="2707"/>
      <c r="W130" s="2707"/>
      <c r="X130" s="2707"/>
      <c r="Y130" s="2707"/>
      <c r="Z130" s="2707"/>
      <c r="AA130" s="2707"/>
      <c r="AB130" s="2707"/>
      <c r="AC130" s="2707"/>
    </row>
    <row r="131" spans="1:29" ht="15.75" thickBot="1">
      <c r="A131" s="1928"/>
      <c r="B131" s="518"/>
      <c r="C131" s="519"/>
      <c r="D131" s="519"/>
      <c r="E131" s="519"/>
      <c r="F131" s="519"/>
      <c r="G131" s="540"/>
      <c r="H131" s="540"/>
      <c r="I131" s="540"/>
      <c r="J131" s="540"/>
      <c r="K131" s="540"/>
      <c r="L131" s="540"/>
      <c r="M131" s="541"/>
      <c r="N131" s="2736"/>
      <c r="O131" s="2736"/>
      <c r="P131" s="2726"/>
      <c r="Q131" s="2721"/>
      <c r="R131" s="2707"/>
      <c r="S131" s="2707"/>
      <c r="T131" s="2707"/>
      <c r="U131" s="2707"/>
      <c r="V131" s="2707"/>
      <c r="W131" s="2707"/>
      <c r="X131" s="2707"/>
      <c r="Y131" s="2707"/>
      <c r="Z131" s="2707"/>
      <c r="AA131" s="2707"/>
      <c r="AB131" s="2707"/>
      <c r="AC131" s="270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557" priority="21" stopIfTrue="1" operator="containsText" text="超过">
      <formula>NOT(ISERROR(SEARCH("超过",F52)))</formula>
    </cfRule>
  </conditionalFormatting>
  <conditionalFormatting sqref="H54">
    <cfRule type="containsText" dxfId="556" priority="19" stopIfTrue="1" operator="containsText" text="超过">
      <formula>NOT(ISERROR(SEARCH("超过",H54)))</formula>
    </cfRule>
  </conditionalFormatting>
  <conditionalFormatting sqref="F54">
    <cfRule type="containsText" dxfId="555" priority="18" stopIfTrue="1" operator="containsText" text="超过">
      <formula>NOT(ISERROR(SEARCH("超过",F54)))</formula>
    </cfRule>
  </conditionalFormatting>
  <conditionalFormatting sqref="F53 H53">
    <cfRule type="containsText" dxfId="554" priority="17" stopIfTrue="1" operator="containsText" text="超过">
      <formula>NOT(ISERROR(SEARCH("超过",F53)))</formula>
    </cfRule>
  </conditionalFormatting>
  <conditionalFormatting sqref="E52">
    <cfRule type="expression" dxfId="553" priority="16" stopIfTrue="1">
      <formula>$F$52="超过30%"</formula>
    </cfRule>
  </conditionalFormatting>
  <conditionalFormatting sqref="E53">
    <cfRule type="expression" dxfId="552" priority="15" stopIfTrue="1">
      <formula>$F$53="超过20%"</formula>
    </cfRule>
  </conditionalFormatting>
  <conditionalFormatting sqref="E54">
    <cfRule type="expression" dxfId="551" priority="14" stopIfTrue="1">
      <formula>$F$54="超过30%"</formula>
    </cfRule>
  </conditionalFormatting>
  <conditionalFormatting sqref="G54">
    <cfRule type="expression" dxfId="550" priority="13" stopIfTrue="1">
      <formula>$H$54="超过30%"</formula>
    </cfRule>
  </conditionalFormatting>
  <conditionalFormatting sqref="G52">
    <cfRule type="expression" dxfId="549" priority="12" stopIfTrue="1">
      <formula>$H$52="超过30%"</formula>
    </cfRule>
  </conditionalFormatting>
  <conditionalFormatting sqref="G53">
    <cfRule type="expression" dxfId="548" priority="11" stopIfTrue="1">
      <formula>$H$53="超过20%"</formula>
    </cfRule>
  </conditionalFormatting>
  <conditionalFormatting sqref="J52">
    <cfRule type="containsText" dxfId="547" priority="10" stopIfTrue="1" operator="containsText" text="超过">
      <formula>NOT(ISERROR(SEARCH("超过",J52)))</formula>
    </cfRule>
  </conditionalFormatting>
  <conditionalFormatting sqref="J54">
    <cfRule type="containsText" dxfId="546" priority="9" stopIfTrue="1" operator="containsText" text="超过">
      <formula>NOT(ISERROR(SEARCH("超过",J54)))</formula>
    </cfRule>
  </conditionalFormatting>
  <conditionalFormatting sqref="J53">
    <cfRule type="containsText" dxfId="545" priority="8" stopIfTrue="1" operator="containsText" text="超过">
      <formula>NOT(ISERROR(SEARCH("超过",J53)))</formula>
    </cfRule>
  </conditionalFormatting>
  <conditionalFormatting sqref="I52">
    <cfRule type="expression" dxfId="544" priority="7" stopIfTrue="1">
      <formula>$J$52="超过30%"</formula>
    </cfRule>
  </conditionalFormatting>
  <conditionalFormatting sqref="I53">
    <cfRule type="expression" dxfId="543" priority="6" stopIfTrue="1">
      <formula>$J$53="超过20%"</formula>
    </cfRule>
  </conditionalFormatting>
  <conditionalFormatting sqref="I54">
    <cfRule type="expression" dxfId="542" priority="5" stopIfTrue="1">
      <formula>$J$54="超过30%"</formula>
    </cfRule>
  </conditionalFormatting>
  <conditionalFormatting sqref="F48">
    <cfRule type="expression" dxfId="541" priority="4">
      <formula>$D$48="简单平均"</formula>
    </cfRule>
  </conditionalFormatting>
  <conditionalFormatting sqref="H48">
    <cfRule type="expression" dxfId="540" priority="3">
      <formula>$D$48="简单平均"</formula>
    </cfRule>
  </conditionalFormatting>
  <conditionalFormatting sqref="J48">
    <cfRule type="expression" dxfId="539" priority="2">
      <formula>$D$48="简单平均"</formula>
    </cfRule>
  </conditionalFormatting>
  <conditionalFormatting sqref="F7:F46 H7:H46 J7:J46">
    <cfRule type="cellIs" dxfId="53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A10" sqref="A1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673</v>
      </c>
      <c r="E1" s="3408" t="s">
        <v>3397</v>
      </c>
      <c r="F1" s="1879" t="s">
        <v>3398</v>
      </c>
      <c r="G1" s="1235" t="s">
        <v>1662</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3492" t="s">
        <v>1461</v>
      </c>
      <c r="B2" s="1164">
        <f>IF(E1="项目模式",IF(C2="——",ROUND(C49*D3/10000,0),ROUND(C49*D3/10000,0)-D2),IF(E1="单套模式",IF(C2="——",ROUND(C49*D3/10000,4),ROUND(C49*D3/10000,4)-D2)))</f>
        <v>181099</v>
      </c>
      <c r="C2" s="3493" t="s">
        <v>43</v>
      </c>
      <c r="D2" s="1115" t="e">
        <f ca="1">IF(E1="项目模式",SUMIF(INDIRECT("'"&amp;F2&amp;"'"&amp;"!A:A"),"承租人权益价值",INDIRECT("'"&amp;F2&amp;"'"&amp;"!c:c")),SUMIF(INDIRECT("'"&amp;F2&amp;"'"&amp;"!A:A"),"承租人权益价值（单套）",INDIRECT("'"&amp;F2&amp;"'"&amp;"!c:c")))</f>
        <v>#REF!</v>
      </c>
      <c r="E2" s="3494" t="s">
        <v>1462</v>
      </c>
      <c r="F2" s="3495"/>
      <c r="G2" s="908"/>
      <c r="H2" s="908"/>
      <c r="I2" s="908"/>
      <c r="J2" s="908"/>
      <c r="K2" s="908"/>
      <c r="L2" s="2716"/>
      <c r="M2" s="2717"/>
      <c r="N2" s="2717"/>
      <c r="O2" s="2717"/>
      <c r="P2" s="1952"/>
      <c r="Q2" s="912"/>
      <c r="R2" s="912"/>
      <c r="S2" s="912"/>
      <c r="T2" s="912"/>
      <c r="U2" s="912"/>
      <c r="V2" s="912"/>
      <c r="W2" s="912"/>
      <c r="X2" s="912"/>
      <c r="Y2" s="912"/>
      <c r="Z2" s="912"/>
      <c r="AA2" s="912"/>
      <c r="AB2" s="912"/>
      <c r="AC2" s="1953"/>
    </row>
    <row r="3" spans="1:29" s="352" customFormat="1" ht="28.5" customHeight="1" thickBot="1">
      <c r="A3" s="3491" t="s">
        <v>686</v>
      </c>
      <c r="B3" s="558">
        <f>IF(C2="——",C49,ROUND(B2*10000/'数据-汇总表'!E31,0))</f>
        <v>66341</v>
      </c>
      <c r="C3" s="354" t="s">
        <v>1664</v>
      </c>
      <c r="D3" s="3532">
        <f>M9</f>
        <v>27298.22</v>
      </c>
      <c r="E3" s="1954"/>
      <c r="F3" s="909"/>
      <c r="G3" s="908"/>
      <c r="H3" s="908"/>
      <c r="I3" s="908"/>
      <c r="J3" s="908"/>
      <c r="K3" s="910"/>
      <c r="L3" s="2716"/>
      <c r="M3" s="2717"/>
      <c r="N3" s="2717"/>
      <c r="O3" s="2717"/>
      <c r="P3" s="1952"/>
      <c r="Q3" s="912"/>
      <c r="R3" s="912"/>
      <c r="S3" s="912"/>
      <c r="T3" s="912"/>
      <c r="U3" s="912"/>
      <c r="V3" s="912"/>
      <c r="W3" s="912"/>
      <c r="X3" s="912"/>
      <c r="Y3" s="912"/>
      <c r="Z3" s="912"/>
      <c r="AA3" s="912"/>
      <c r="AB3" s="912"/>
      <c r="AC3" s="1954"/>
    </row>
    <row r="4" spans="1:29" ht="15">
      <c r="A4" s="355" t="s">
        <v>1665</v>
      </c>
      <c r="B4" s="356"/>
      <c r="C4" s="3742" t="s">
        <v>1666</v>
      </c>
      <c r="D4" s="3743"/>
      <c r="E4" s="3744" t="s">
        <v>1667</v>
      </c>
      <c r="F4" s="3745"/>
      <c r="G4" s="3742" t="s">
        <v>1668</v>
      </c>
      <c r="H4" s="3743"/>
      <c r="I4" s="3742" t="s">
        <v>1669</v>
      </c>
      <c r="J4" s="3743"/>
      <c r="K4" s="559" t="s">
        <v>1670</v>
      </c>
      <c r="L4" s="2697"/>
      <c r="M4" s="2698"/>
      <c r="N4" s="2698"/>
      <c r="O4" s="2698"/>
      <c r="P4" s="3746" t="s">
        <v>1671</v>
      </c>
      <c r="Q4" s="3747"/>
      <c r="R4" s="3729" t="s">
        <v>1667</v>
      </c>
      <c r="S4" s="3730"/>
      <c r="T4" s="3729" t="s">
        <v>1668</v>
      </c>
      <c r="U4" s="3730"/>
      <c r="V4" s="3726" t="s">
        <v>1669</v>
      </c>
      <c r="W4" s="3726"/>
      <c r="X4" s="3461"/>
      <c r="Y4" s="3729" t="s">
        <v>1671</v>
      </c>
      <c r="Z4" s="3730"/>
      <c r="AA4" s="3723" t="s">
        <v>1667</v>
      </c>
      <c r="AB4" s="3726" t="s">
        <v>1668</v>
      </c>
      <c r="AC4" s="3723" t="s">
        <v>1669</v>
      </c>
    </row>
    <row r="5" spans="1:29" ht="15">
      <c r="A5" s="358"/>
      <c r="B5" s="359"/>
      <c r="C5" s="3735" t="s">
        <v>1672</v>
      </c>
      <c r="D5" s="3736"/>
      <c r="E5" s="3733" t="str">
        <f>Sheet2!E78</f>
        <v>光熙门独栋</v>
      </c>
      <c r="F5" s="3734"/>
      <c r="G5" s="3735" t="str">
        <f>Sheet2!E77</f>
        <v>新世界燕京大厦</v>
      </c>
      <c r="H5" s="3736"/>
      <c r="I5" s="3735" t="str">
        <f>Sheet2!E85</f>
        <v>北京来福士中心</v>
      </c>
      <c r="J5" s="3736"/>
      <c r="K5" s="559"/>
      <c r="L5" s="2697"/>
      <c r="M5" s="2698">
        <f ca="1">结果表!L23</f>
        <v>176695.33333333334</v>
      </c>
      <c r="N5" s="2698"/>
      <c r="O5" s="2698"/>
      <c r="P5" s="3748"/>
      <c r="Q5" s="3749"/>
      <c r="R5" s="3731"/>
      <c r="S5" s="3732"/>
      <c r="T5" s="3731"/>
      <c r="U5" s="3732"/>
      <c r="V5" s="3726"/>
      <c r="W5" s="3726"/>
      <c r="X5" s="3461"/>
      <c r="Y5" s="3731"/>
      <c r="Z5" s="3732"/>
      <c r="AA5" s="3724"/>
      <c r="AB5" s="3726"/>
      <c r="AC5" s="3724"/>
    </row>
    <row r="6" spans="1:29" ht="15.75" thickBot="1">
      <c r="A6" s="360"/>
      <c r="B6" s="361"/>
      <c r="C6" s="3737" t="s">
        <v>1676</v>
      </c>
      <c r="D6" s="3738"/>
      <c r="E6" s="3739" t="s">
        <v>1676</v>
      </c>
      <c r="F6" s="3740"/>
      <c r="G6" s="3737" t="s">
        <v>1676</v>
      </c>
      <c r="H6" s="3738"/>
      <c r="I6" s="3737" t="s">
        <v>1676</v>
      </c>
      <c r="J6" s="3738"/>
      <c r="K6" s="559" t="s">
        <v>1677</v>
      </c>
      <c r="L6" s="2697"/>
      <c r="M6" s="2698">
        <f ca="1">M5/D3*10000</f>
        <v>64727.785670030258</v>
      </c>
      <c r="N6" s="2698"/>
      <c r="O6" s="2698"/>
      <c r="P6" s="3750"/>
      <c r="Q6" s="3751"/>
      <c r="R6" s="3731"/>
      <c r="S6" s="3732"/>
      <c r="T6" s="3752"/>
      <c r="U6" s="3753"/>
      <c r="V6" s="3726"/>
      <c r="W6" s="3726"/>
      <c r="X6" s="3461"/>
      <c r="Y6" s="3752"/>
      <c r="Z6" s="3753"/>
      <c r="AA6" s="3725"/>
      <c r="AB6" s="3726"/>
      <c r="AC6" s="3725"/>
    </row>
    <row r="7" spans="1:29" s="108" customFormat="1" ht="15.75" thickBot="1">
      <c r="A7" s="362" t="s">
        <v>1678</v>
      </c>
      <c r="B7" s="363"/>
      <c r="C7" s="364">
        <f>'数据-取费表'!B2</f>
        <v>45009</v>
      </c>
      <c r="D7" s="365">
        <v>100</v>
      </c>
      <c r="E7" s="366">
        <v>44256</v>
      </c>
      <c r="F7" s="367">
        <f>SUMIF(58:58,YEAR(E7)&amp;"-"&amp;MONTH(E7),59:59)</f>
        <v>96</v>
      </c>
      <c r="G7" s="366">
        <v>44256</v>
      </c>
      <c r="H7" s="365">
        <f>SUMIF(58:58,YEAR(G7)&amp;"-"&amp;MONTH(G7),59:59)</f>
        <v>96</v>
      </c>
      <c r="I7" s="366">
        <v>44348</v>
      </c>
      <c r="J7" s="365">
        <f>SUMIF(58:58,YEAR(I7)&amp;"-"&amp;MONTH(I7),59:59)</f>
        <v>97</v>
      </c>
      <c r="K7" s="560"/>
      <c r="L7" s="2699"/>
      <c r="M7" s="2700"/>
      <c r="N7" s="2700"/>
      <c r="O7" s="2700"/>
      <c r="P7" s="3727" t="s">
        <v>1679</v>
      </c>
      <c r="Q7" s="3754"/>
      <c r="R7" s="701" t="s">
        <v>14</v>
      </c>
      <c r="S7" s="702">
        <f t="shared" ref="S7:S15" si="0">F7</f>
        <v>96</v>
      </c>
      <c r="T7" s="701" t="s">
        <v>14</v>
      </c>
      <c r="U7" s="702">
        <f t="shared" ref="U7:U15" si="1">H7</f>
        <v>96</v>
      </c>
      <c r="V7" s="701" t="s">
        <v>14</v>
      </c>
      <c r="W7" s="702">
        <f t="shared" ref="W7:W15" si="2">J7</f>
        <v>97</v>
      </c>
      <c r="X7" s="703"/>
      <c r="Y7" s="3727" t="s">
        <v>1679</v>
      </c>
      <c r="Z7" s="3728"/>
      <c r="AA7" s="704">
        <f>D7/F7</f>
        <v>1.0416666666666667</v>
      </c>
      <c r="AB7" s="704">
        <f>D7/H7</f>
        <v>1.0416666666666667</v>
      </c>
      <c r="AC7" s="704">
        <f>D7/J7</f>
        <v>1.0309278350515463</v>
      </c>
    </row>
    <row r="8" spans="1:29" s="108" customFormat="1" ht="15.75" thickBot="1">
      <c r="A8" s="362" t="s">
        <v>1680</v>
      </c>
      <c r="B8" s="363"/>
      <c r="C8" s="368" t="s">
        <v>3520</v>
      </c>
      <c r="D8" s="365">
        <v>100</v>
      </c>
      <c r="E8" s="368" t="s">
        <v>3520</v>
      </c>
      <c r="F8" s="367">
        <f>SUMIF(61:61,E8,62:62)-SUMIF(61:61,C8,62:62)+100</f>
        <v>100</v>
      </c>
      <c r="G8" s="368" t="s">
        <v>3520</v>
      </c>
      <c r="H8" s="365">
        <f>SUMIF(61:61,G8,62:62)-SUMIF(61:61,C8,62:62)+100</f>
        <v>100</v>
      </c>
      <c r="I8" s="368" t="s">
        <v>3520</v>
      </c>
      <c r="J8" s="365">
        <f>SUMIF(61:61,I8,62:62)-SUMIF(61:61,C8,62:62)+100</f>
        <v>100</v>
      </c>
      <c r="K8" s="560"/>
      <c r="L8" s="2699"/>
      <c r="M8" s="2700">
        <f>'数据-基础表'!I13+'数据-基础表'!K13</f>
        <v>18688.46</v>
      </c>
      <c r="N8" s="2700"/>
      <c r="O8" s="2700"/>
      <c r="P8" s="3727" t="s">
        <v>1682</v>
      </c>
      <c r="Q8" s="3728"/>
      <c r="R8" s="701" t="s">
        <v>14</v>
      </c>
      <c r="S8" s="702">
        <f t="shared" si="0"/>
        <v>100</v>
      </c>
      <c r="T8" s="701" t="s">
        <v>14</v>
      </c>
      <c r="U8" s="702">
        <f t="shared" si="1"/>
        <v>100</v>
      </c>
      <c r="V8" s="701" t="s">
        <v>14</v>
      </c>
      <c r="W8" s="702">
        <f t="shared" si="2"/>
        <v>100</v>
      </c>
      <c r="X8" s="703"/>
      <c r="Y8" s="3727" t="s">
        <v>1682</v>
      </c>
      <c r="Z8" s="3728"/>
      <c r="AA8" s="704">
        <f t="shared" ref="AA8:AA46" si="3">D8/F8</f>
        <v>1</v>
      </c>
      <c r="AB8" s="704">
        <f t="shared" ref="AB8:AB46" si="4">D8/H8</f>
        <v>1</v>
      </c>
      <c r="AC8" s="704">
        <f t="shared" ref="AC8:AC46" si="5">D8/J8</f>
        <v>1</v>
      </c>
    </row>
    <row r="9" spans="1:29" s="108" customFormat="1" ht="15">
      <c r="A9" s="369" t="s">
        <v>1683</v>
      </c>
      <c r="B9" s="63" t="s">
        <v>1684</v>
      </c>
      <c r="C9" s="3442" t="s">
        <v>3521</v>
      </c>
      <c r="D9" s="126">
        <v>100</v>
      </c>
      <c r="E9" s="3443" t="s">
        <v>3522</v>
      </c>
      <c r="F9" s="372">
        <f>SUMIF(63:63,E9,64:64)-SUMIF(63:63,C9,64:64)+100</f>
        <v>98</v>
      </c>
      <c r="G9" s="3443" t="s">
        <v>3912</v>
      </c>
      <c r="H9" s="126">
        <f>SUMIF(63:63,G9,64:64)-SUMIF(63:63,C9,64:64)+100</f>
        <v>100</v>
      </c>
      <c r="I9" s="3443" t="s">
        <v>3522</v>
      </c>
      <c r="J9" s="126">
        <f>SUMIF(63:63,I9,64:64)-SUMIF(63:63,C9,64:64)+100</f>
        <v>98</v>
      </c>
      <c r="K9" s="560"/>
      <c r="L9" s="2699"/>
      <c r="M9" s="2700">
        <f>'数据-汇总表'!E3</f>
        <v>27298.22</v>
      </c>
      <c r="N9" s="2700"/>
      <c r="O9" s="2700"/>
      <c r="P9" s="3741" t="s">
        <v>1685</v>
      </c>
      <c r="Q9" s="3456" t="str">
        <f t="shared" ref="Q9:Q15" si="6">B9</f>
        <v>用途</v>
      </c>
      <c r="R9" s="701" t="s">
        <v>14</v>
      </c>
      <c r="S9" s="702">
        <f t="shared" si="0"/>
        <v>98</v>
      </c>
      <c r="T9" s="701" t="s">
        <v>14</v>
      </c>
      <c r="U9" s="702">
        <f t="shared" si="1"/>
        <v>100</v>
      </c>
      <c r="V9" s="701" t="s">
        <v>14</v>
      </c>
      <c r="W9" s="702">
        <f t="shared" si="2"/>
        <v>98</v>
      </c>
      <c r="X9" s="703"/>
      <c r="Y9" s="3696" t="s">
        <v>1686</v>
      </c>
      <c r="Z9" s="3455" t="str">
        <f t="shared" ref="Z9:Z15" si="7">Q9</f>
        <v>用途</v>
      </c>
      <c r="AA9" s="704">
        <f t="shared" si="3"/>
        <v>1.0204081632653061</v>
      </c>
      <c r="AB9" s="704">
        <f t="shared" si="4"/>
        <v>1</v>
      </c>
      <c r="AC9" s="704">
        <f t="shared" si="5"/>
        <v>1.0204081632653061</v>
      </c>
    </row>
    <row r="10" spans="1:29" s="378" customFormat="1" ht="27">
      <c r="A10" s="374"/>
      <c r="B10" s="375" t="s">
        <v>1687</v>
      </c>
      <c r="C10" s="3416" t="s">
        <v>3913</v>
      </c>
      <c r="D10" s="127">
        <v>100</v>
      </c>
      <c r="E10" s="3417" t="s">
        <v>3914</v>
      </c>
      <c r="F10" s="376">
        <f>SUMIF(65:65,E10,66:66)-SUMIF(65:65,C10,66:66)+100</f>
        <v>100</v>
      </c>
      <c r="G10" s="3416" t="s">
        <v>3915</v>
      </c>
      <c r="H10" s="127">
        <f>SUMIF(65:65,G10,66:66)-SUMIF(65:65,C10,66:66)+100</f>
        <v>102</v>
      </c>
      <c r="I10" s="3416" t="s">
        <v>3915</v>
      </c>
      <c r="J10" s="127">
        <f>SUMIF(65:65,I10,66:66)-SUMIF(65:65,C10,66:66)+100</f>
        <v>102</v>
      </c>
      <c r="K10" s="560"/>
      <c r="L10" s="2701"/>
      <c r="M10" s="2702"/>
      <c r="N10" s="2702"/>
      <c r="O10" s="2702"/>
      <c r="P10" s="3741"/>
      <c r="Q10" s="3456" t="str">
        <f t="shared" si="6"/>
        <v>土地使用年限（年）</v>
      </c>
      <c r="R10" s="701" t="s">
        <v>14</v>
      </c>
      <c r="S10" s="702">
        <f t="shared" si="0"/>
        <v>100</v>
      </c>
      <c r="T10" s="701" t="s">
        <v>14</v>
      </c>
      <c r="U10" s="702">
        <f t="shared" si="1"/>
        <v>102</v>
      </c>
      <c r="V10" s="701" t="s">
        <v>14</v>
      </c>
      <c r="W10" s="702">
        <f t="shared" si="2"/>
        <v>102</v>
      </c>
      <c r="X10" s="703"/>
      <c r="Y10" s="3696"/>
      <c r="Z10" s="3455" t="str">
        <f t="shared" si="7"/>
        <v>土地使用年限（年）</v>
      </c>
      <c r="AA10" s="704">
        <f t="shared" si="3"/>
        <v>1</v>
      </c>
      <c r="AB10" s="704">
        <f t="shared" si="4"/>
        <v>0.98039215686274506</v>
      </c>
      <c r="AC10" s="704">
        <f t="shared" si="5"/>
        <v>0.98039215686274506</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03"/>
      <c r="M11" s="2698"/>
      <c r="N11" s="2698"/>
      <c r="O11" s="2698"/>
      <c r="P11" s="3741"/>
      <c r="Q11" s="3456" t="str">
        <f t="shared" si="6"/>
        <v>容积率</v>
      </c>
      <c r="R11" s="701" t="s">
        <v>14</v>
      </c>
      <c r="S11" s="702">
        <f t="shared" si="0"/>
        <v>100</v>
      </c>
      <c r="T11" s="701" t="s">
        <v>14</v>
      </c>
      <c r="U11" s="702">
        <f t="shared" si="1"/>
        <v>100</v>
      </c>
      <c r="V11" s="701" t="s">
        <v>14</v>
      </c>
      <c r="W11" s="702">
        <f t="shared" si="2"/>
        <v>100</v>
      </c>
      <c r="X11" s="703"/>
      <c r="Y11" s="3696"/>
      <c r="Z11" s="3455"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9"/>
      <c r="M12" s="2700"/>
      <c r="N12" s="2700"/>
      <c r="O12" s="2700"/>
      <c r="P12" s="3741"/>
      <c r="Q12" s="3456">
        <f t="shared" si="6"/>
        <v>111</v>
      </c>
      <c r="R12" s="701" t="s">
        <v>14</v>
      </c>
      <c r="S12" s="702">
        <f t="shared" si="0"/>
        <v>100</v>
      </c>
      <c r="T12" s="701" t="s">
        <v>14</v>
      </c>
      <c r="U12" s="702">
        <f t="shared" si="1"/>
        <v>100</v>
      </c>
      <c r="V12" s="701" t="s">
        <v>14</v>
      </c>
      <c r="W12" s="702">
        <f t="shared" si="2"/>
        <v>100</v>
      </c>
      <c r="X12" s="703"/>
      <c r="Y12" s="3696"/>
      <c r="Z12" s="3455">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04"/>
      <c r="M13" s="2698"/>
      <c r="N13" s="2698"/>
      <c r="O13" s="2698"/>
      <c r="P13" s="3741"/>
      <c r="Q13" s="3456">
        <f t="shared" si="6"/>
        <v>111</v>
      </c>
      <c r="R13" s="701" t="s">
        <v>14</v>
      </c>
      <c r="S13" s="702">
        <f t="shared" si="0"/>
        <v>100</v>
      </c>
      <c r="T13" s="701" t="s">
        <v>14</v>
      </c>
      <c r="U13" s="702">
        <f t="shared" si="1"/>
        <v>100</v>
      </c>
      <c r="V13" s="701" t="s">
        <v>14</v>
      </c>
      <c r="W13" s="702">
        <f t="shared" si="2"/>
        <v>100</v>
      </c>
      <c r="X13" s="703"/>
      <c r="Y13" s="3696"/>
      <c r="Z13" s="3455">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04"/>
      <c r="M14" s="2698"/>
      <c r="N14" s="2698"/>
      <c r="O14" s="2698"/>
      <c r="P14" s="3741"/>
      <c r="Q14" s="3456">
        <f t="shared" si="6"/>
        <v>111</v>
      </c>
      <c r="R14" s="701" t="s">
        <v>14</v>
      </c>
      <c r="S14" s="702">
        <f t="shared" si="0"/>
        <v>100</v>
      </c>
      <c r="T14" s="701" t="s">
        <v>14</v>
      </c>
      <c r="U14" s="702">
        <f t="shared" si="1"/>
        <v>100</v>
      </c>
      <c r="V14" s="701" t="s">
        <v>14</v>
      </c>
      <c r="W14" s="702">
        <f t="shared" si="2"/>
        <v>100</v>
      </c>
      <c r="X14" s="703"/>
      <c r="Y14" s="3696"/>
      <c r="Z14" s="3455">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95</v>
      </c>
      <c r="G15" s="395"/>
      <c r="H15" s="392">
        <f>SUMIF(76:76,G16,77:77)-SUMIF(76:76,C16,77:77)+100</f>
        <v>90</v>
      </c>
      <c r="I15" s="393"/>
      <c r="J15" s="392">
        <f>SUMIF(76:76,I16,77:77)-SUMIF(76:76,C16,77:77)+100</f>
        <v>100</v>
      </c>
      <c r="K15" s="563">
        <v>5</v>
      </c>
      <c r="L15" s="2704"/>
      <c r="M15" s="2698"/>
      <c r="N15" s="2698"/>
      <c r="O15" s="2698"/>
      <c r="P15" s="3755" t="s">
        <v>1690</v>
      </c>
      <c r="Q15" s="3457" t="str">
        <f t="shared" si="6"/>
        <v>商业繁华度</v>
      </c>
      <c r="R15" s="705" t="s">
        <v>14</v>
      </c>
      <c r="S15" s="706">
        <f t="shared" si="0"/>
        <v>95</v>
      </c>
      <c r="T15" s="705" t="s">
        <v>14</v>
      </c>
      <c r="U15" s="706">
        <f t="shared" si="1"/>
        <v>90</v>
      </c>
      <c r="V15" s="705" t="s">
        <v>14</v>
      </c>
      <c r="W15" s="706">
        <f t="shared" si="2"/>
        <v>100</v>
      </c>
      <c r="X15" s="3461"/>
      <c r="Y15" s="3757" t="s">
        <v>1690</v>
      </c>
      <c r="Z15" s="3460" t="str">
        <f t="shared" si="7"/>
        <v>商业繁华度</v>
      </c>
      <c r="AA15" s="3458">
        <f t="shared" si="3"/>
        <v>1.0526315789473684</v>
      </c>
      <c r="AB15" s="3458">
        <f t="shared" si="4"/>
        <v>1.1111111111111112</v>
      </c>
      <c r="AC15" s="3458">
        <f t="shared" si="5"/>
        <v>1</v>
      </c>
    </row>
    <row r="16" spans="1:29" ht="15">
      <c r="A16" s="379"/>
      <c r="B16" s="397"/>
      <c r="C16" s="3452" t="s">
        <v>3524</v>
      </c>
      <c r="D16" s="399"/>
      <c r="E16" s="3452" t="s">
        <v>3525</v>
      </c>
      <c r="F16" s="400"/>
      <c r="G16" s="3452" t="s">
        <v>3917</v>
      </c>
      <c r="H16" s="401"/>
      <c r="I16" s="3452" t="s">
        <v>3918</v>
      </c>
      <c r="J16" s="399"/>
      <c r="K16" s="564"/>
      <c r="L16" s="2704"/>
      <c r="M16" s="2698"/>
      <c r="N16" s="2698"/>
      <c r="O16" s="2698"/>
      <c r="P16" s="3756"/>
      <c r="Q16" s="3457"/>
      <c r="R16" s="705"/>
      <c r="S16" s="706"/>
      <c r="T16" s="705"/>
      <c r="U16" s="706"/>
      <c r="V16" s="705"/>
      <c r="W16" s="706"/>
      <c r="X16" s="3461"/>
      <c r="Y16" s="3758"/>
      <c r="Z16" s="3460"/>
      <c r="AA16" s="3458">
        <v>1</v>
      </c>
      <c r="AB16" s="3458">
        <v>1</v>
      </c>
      <c r="AC16" s="3458">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4"/>
      <c r="M17" s="2698"/>
      <c r="N17" s="2698"/>
      <c r="O17" s="2698"/>
      <c r="P17" s="3756"/>
      <c r="Q17" s="3457" t="str">
        <f>B17</f>
        <v>交通便捷度</v>
      </c>
      <c r="R17" s="705" t="s">
        <v>14</v>
      </c>
      <c r="S17" s="706">
        <f>F17</f>
        <v>100</v>
      </c>
      <c r="T17" s="705" t="s">
        <v>14</v>
      </c>
      <c r="U17" s="706">
        <f>H17</f>
        <v>100</v>
      </c>
      <c r="V17" s="705" t="s">
        <v>14</v>
      </c>
      <c r="W17" s="706">
        <f>J17</f>
        <v>100</v>
      </c>
      <c r="X17" s="3461"/>
      <c r="Y17" s="3758"/>
      <c r="Z17" s="3460" t="str">
        <f>Q17</f>
        <v>交通便捷度</v>
      </c>
      <c r="AA17" s="3458">
        <f t="shared" si="3"/>
        <v>1</v>
      </c>
      <c r="AB17" s="3458">
        <f t="shared" si="4"/>
        <v>1</v>
      </c>
      <c r="AC17" s="3458">
        <f t="shared" si="5"/>
        <v>1</v>
      </c>
    </row>
    <row r="18" spans="1:29" ht="15">
      <c r="A18" s="379"/>
      <c r="B18" s="407"/>
      <c r="C18" s="3486" t="s">
        <v>3909</v>
      </c>
      <c r="D18" s="401"/>
      <c r="E18" s="3483" t="s">
        <v>3909</v>
      </c>
      <c r="F18" s="404"/>
      <c r="G18" s="3482" t="s">
        <v>3909</v>
      </c>
      <c r="H18" s="399"/>
      <c r="I18" s="3483" t="s">
        <v>3909</v>
      </c>
      <c r="J18" s="399"/>
      <c r="K18" s="564"/>
      <c r="L18" s="2704"/>
      <c r="M18" s="2698"/>
      <c r="N18" s="2698"/>
      <c r="O18" s="2698"/>
      <c r="P18" s="3756"/>
      <c r="Q18" s="3457"/>
      <c r="R18" s="705"/>
      <c r="S18" s="706"/>
      <c r="T18" s="705"/>
      <c r="U18" s="706"/>
      <c r="V18" s="705"/>
      <c r="W18" s="706"/>
      <c r="X18" s="3461"/>
      <c r="Y18" s="3758"/>
      <c r="Z18" s="3460"/>
      <c r="AA18" s="3458">
        <v>1</v>
      </c>
      <c r="AB18" s="3458">
        <v>1</v>
      </c>
      <c r="AC18" s="3458">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4"/>
      <c r="M19" s="2698"/>
      <c r="N19" s="2698"/>
      <c r="O19" s="2698"/>
      <c r="P19" s="3756"/>
      <c r="Q19" s="3457" t="str">
        <f>B19</f>
        <v>公共配套设施</v>
      </c>
      <c r="R19" s="705" t="s">
        <v>14</v>
      </c>
      <c r="S19" s="706">
        <f>F19</f>
        <v>100</v>
      </c>
      <c r="T19" s="705" t="s">
        <v>14</v>
      </c>
      <c r="U19" s="706">
        <f>H19</f>
        <v>100</v>
      </c>
      <c r="V19" s="705" t="s">
        <v>14</v>
      </c>
      <c r="W19" s="706">
        <f>J19</f>
        <v>100</v>
      </c>
      <c r="X19" s="3461"/>
      <c r="Y19" s="3758"/>
      <c r="Z19" s="3460" t="str">
        <f>Q19</f>
        <v>公共配套设施</v>
      </c>
      <c r="AA19" s="3458">
        <f t="shared" si="3"/>
        <v>1</v>
      </c>
      <c r="AB19" s="3458">
        <f t="shared" si="4"/>
        <v>1</v>
      </c>
      <c r="AC19" s="3458">
        <f t="shared" si="5"/>
        <v>1</v>
      </c>
    </row>
    <row r="20" spans="1:29" ht="15">
      <c r="A20" s="379"/>
      <c r="B20" s="407"/>
      <c r="C20" s="3452" t="s">
        <v>3909</v>
      </c>
      <c r="D20" s="399"/>
      <c r="E20" s="3481" t="s">
        <v>3909</v>
      </c>
      <c r="F20" s="400"/>
      <c r="G20" s="3480" t="s">
        <v>3909</v>
      </c>
      <c r="H20" s="399"/>
      <c r="I20" s="3481" t="s">
        <v>3909</v>
      </c>
      <c r="J20" s="399"/>
      <c r="K20" s="564"/>
      <c r="L20" s="2704"/>
      <c r="M20" s="2698"/>
      <c r="N20" s="2698"/>
      <c r="O20" s="2698"/>
      <c r="P20" s="3756"/>
      <c r="Q20" s="3457"/>
      <c r="R20" s="705"/>
      <c r="S20" s="706"/>
      <c r="T20" s="705"/>
      <c r="U20" s="706"/>
      <c r="V20" s="705"/>
      <c r="W20" s="706"/>
      <c r="X20" s="3461"/>
      <c r="Y20" s="3758"/>
      <c r="Z20" s="3460"/>
      <c r="AA20" s="3458">
        <v>1</v>
      </c>
      <c r="AB20" s="3458">
        <v>1</v>
      </c>
      <c r="AC20" s="3458">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4"/>
      <c r="M21" s="2698"/>
      <c r="N21" s="2698"/>
      <c r="O21" s="2698"/>
      <c r="P21" s="3756"/>
      <c r="Q21" s="3457" t="str">
        <f>B21</f>
        <v>基础设施水平</v>
      </c>
      <c r="R21" s="705" t="s">
        <v>14</v>
      </c>
      <c r="S21" s="706">
        <f>F21</f>
        <v>100</v>
      </c>
      <c r="T21" s="705" t="s">
        <v>14</v>
      </c>
      <c r="U21" s="706">
        <f>H21</f>
        <v>100</v>
      </c>
      <c r="V21" s="705" t="s">
        <v>14</v>
      </c>
      <c r="W21" s="706">
        <f>J21</f>
        <v>100</v>
      </c>
      <c r="X21" s="3461"/>
      <c r="Y21" s="3758"/>
      <c r="Z21" s="3460" t="str">
        <f>Q21</f>
        <v>基础设施水平</v>
      </c>
      <c r="AA21" s="3458">
        <f t="shared" ref="AA21" si="8">D21/F21</f>
        <v>1</v>
      </c>
      <c r="AB21" s="3458">
        <f t="shared" ref="AB21" si="9">D21/H21</f>
        <v>1</v>
      </c>
      <c r="AC21" s="3458">
        <f t="shared" ref="AC21" si="10">D21/J21</f>
        <v>1</v>
      </c>
    </row>
    <row r="22" spans="1:29" ht="15">
      <c r="A22" s="379"/>
      <c r="B22" s="1131"/>
      <c r="C22" s="3486" t="s">
        <v>3910</v>
      </c>
      <c r="D22" s="399"/>
      <c r="E22" s="3452" t="s">
        <v>3910</v>
      </c>
      <c r="F22" s="400"/>
      <c r="G22" s="3452" t="s">
        <v>3910</v>
      </c>
      <c r="H22" s="399"/>
      <c r="I22" s="3452" t="s">
        <v>3919</v>
      </c>
      <c r="J22" s="399"/>
      <c r="K22" s="1130"/>
      <c r="L22" s="2704"/>
      <c r="M22" s="2698"/>
      <c r="N22" s="2698"/>
      <c r="O22" s="2698"/>
      <c r="P22" s="3756"/>
      <c r="Q22" s="3457"/>
      <c r="R22" s="705"/>
      <c r="S22" s="706"/>
      <c r="T22" s="705"/>
      <c r="U22" s="706"/>
      <c r="V22" s="705"/>
      <c r="W22" s="706"/>
      <c r="X22" s="3461"/>
      <c r="Y22" s="3758"/>
      <c r="Z22" s="3460"/>
      <c r="AA22" s="3458">
        <v>1</v>
      </c>
      <c r="AB22" s="3458">
        <v>1</v>
      </c>
      <c r="AC22" s="3458">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4"/>
      <c r="M23" s="2698"/>
      <c r="N23" s="2698"/>
      <c r="O23" s="2698"/>
      <c r="P23" s="3756"/>
      <c r="Q23" s="3457" t="str">
        <f>B23</f>
        <v>自然及人文环境</v>
      </c>
      <c r="R23" s="705" t="s">
        <v>14</v>
      </c>
      <c r="S23" s="706">
        <f>F23</f>
        <v>100</v>
      </c>
      <c r="T23" s="705" t="s">
        <v>14</v>
      </c>
      <c r="U23" s="706">
        <f>H23</f>
        <v>100</v>
      </c>
      <c r="V23" s="705" t="s">
        <v>14</v>
      </c>
      <c r="W23" s="706">
        <f>J23</f>
        <v>100</v>
      </c>
      <c r="X23" s="3461"/>
      <c r="Y23" s="3758"/>
      <c r="Z23" s="3460" t="str">
        <f>Q23</f>
        <v>自然及人文环境</v>
      </c>
      <c r="AA23" s="3458">
        <f t="shared" si="3"/>
        <v>1</v>
      </c>
      <c r="AB23" s="3458">
        <f t="shared" si="4"/>
        <v>1</v>
      </c>
      <c r="AC23" s="3458">
        <f t="shared" si="5"/>
        <v>1</v>
      </c>
    </row>
    <row r="24" spans="1:29" ht="15">
      <c r="A24" s="379"/>
      <c r="B24" s="407"/>
      <c r="C24" s="3452" t="s">
        <v>3909</v>
      </c>
      <c r="D24" s="399"/>
      <c r="E24" s="3481" t="s">
        <v>3909</v>
      </c>
      <c r="F24" s="400"/>
      <c r="G24" s="3480" t="s">
        <v>3909</v>
      </c>
      <c r="H24" s="399"/>
      <c r="I24" s="3481" t="s">
        <v>3909</v>
      </c>
      <c r="J24" s="399"/>
      <c r="K24" s="564"/>
      <c r="L24" s="2704"/>
      <c r="M24" s="2698"/>
      <c r="N24" s="2698"/>
      <c r="O24" s="2698"/>
      <c r="P24" s="3756"/>
      <c r="Q24" s="3457"/>
      <c r="R24" s="705"/>
      <c r="S24" s="706"/>
      <c r="T24" s="705"/>
      <c r="U24" s="706"/>
      <c r="V24" s="705"/>
      <c r="W24" s="706"/>
      <c r="X24" s="3461"/>
      <c r="Y24" s="3758"/>
      <c r="Z24" s="3460"/>
      <c r="AA24" s="3458">
        <v>1</v>
      </c>
      <c r="AB24" s="3458">
        <v>1</v>
      </c>
      <c r="AC24" s="3458">
        <v>1</v>
      </c>
    </row>
    <row r="25" spans="1:29" ht="15">
      <c r="A25" s="379"/>
      <c r="B25" s="375" t="s">
        <v>1779</v>
      </c>
      <c r="C25" s="3484" t="s">
        <v>3911</v>
      </c>
      <c r="D25" s="386">
        <v>100</v>
      </c>
      <c r="E25" s="3484" t="s">
        <v>3920</v>
      </c>
      <c r="F25" s="412">
        <f>SUMIF(86:86,E25,87:87)-SUMIF(86:86,C25,87:87)+100</f>
        <v>102</v>
      </c>
      <c r="G25" s="3484" t="s">
        <v>3920</v>
      </c>
      <c r="H25" s="386">
        <f>SUMIF(86:86,G25,87:87)-SUMIF(86:86,C25,87:87)+100</f>
        <v>102</v>
      </c>
      <c r="I25" s="3484" t="s">
        <v>3920</v>
      </c>
      <c r="J25" s="386">
        <f>SUMIF(86:86,I25,87:87)-SUMIF(86:86,C25,87:87)+100</f>
        <v>102</v>
      </c>
      <c r="K25" s="561">
        <v>1</v>
      </c>
      <c r="L25" s="2704"/>
      <c r="M25" s="2698"/>
      <c r="N25" s="2698"/>
      <c r="O25" s="2698"/>
      <c r="P25" s="3756"/>
      <c r="Q25" s="3457" t="str">
        <f t="shared" ref="Q25:Q46" si="11">B25</f>
        <v>临街状况</v>
      </c>
      <c r="R25" s="705" t="s">
        <v>14</v>
      </c>
      <c r="S25" s="706">
        <f>F25</f>
        <v>102</v>
      </c>
      <c r="T25" s="705" t="s">
        <v>14</v>
      </c>
      <c r="U25" s="706">
        <f>H25</f>
        <v>102</v>
      </c>
      <c r="V25" s="705" t="s">
        <v>14</v>
      </c>
      <c r="W25" s="706">
        <f>J25</f>
        <v>102</v>
      </c>
      <c r="X25" s="3461"/>
      <c r="Y25" s="3758"/>
      <c r="Z25" s="3460" t="str">
        <f>Q25</f>
        <v>临街状况</v>
      </c>
      <c r="AA25" s="3458">
        <f t="shared" si="3"/>
        <v>0.98039215686274506</v>
      </c>
      <c r="AB25" s="3458">
        <f t="shared" si="4"/>
        <v>0.98039215686274506</v>
      </c>
      <c r="AC25" s="3458">
        <f t="shared" si="5"/>
        <v>0.98039215686274506</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04"/>
      <c r="M26" s="2698"/>
      <c r="N26" s="2698"/>
      <c r="O26" s="2698"/>
      <c r="P26" s="3756"/>
      <c r="Q26" s="3457" t="str">
        <f t="shared" si="11"/>
        <v>平面位置/可视性</v>
      </c>
      <c r="R26" s="705" t="s">
        <v>14</v>
      </c>
      <c r="S26" s="706">
        <f>F26</f>
        <v>100</v>
      </c>
      <c r="T26" s="705" t="s">
        <v>14</v>
      </c>
      <c r="U26" s="706">
        <f>H26</f>
        <v>100</v>
      </c>
      <c r="V26" s="705" t="s">
        <v>14</v>
      </c>
      <c r="W26" s="706">
        <f>J26</f>
        <v>100</v>
      </c>
      <c r="X26" s="3461"/>
      <c r="Y26" s="3758"/>
      <c r="Z26" s="3460" t="str">
        <f>Q26</f>
        <v>平面位置/可视性</v>
      </c>
      <c r="AA26" s="3458">
        <f t="shared" si="3"/>
        <v>1</v>
      </c>
      <c r="AB26" s="3458">
        <f t="shared" si="4"/>
        <v>1</v>
      </c>
      <c r="AC26" s="3458">
        <f t="shared" si="5"/>
        <v>1</v>
      </c>
    </row>
    <row r="27" spans="1:29" s="108" customFormat="1" ht="15">
      <c r="A27" s="382"/>
      <c r="B27" s="402" t="s">
        <v>1781</v>
      </c>
      <c r="C27" s="3453" t="s">
        <v>3526</v>
      </c>
      <c r="D27" s="413">
        <v>100</v>
      </c>
      <c r="E27" s="3453" t="s">
        <v>3922</v>
      </c>
      <c r="F27" s="415">
        <f>SUMIF(90:90,E27,91:91)-SUMIF(90:90,C27,91:91)+100</f>
        <v>95</v>
      </c>
      <c r="G27" s="3453" t="s">
        <v>3923</v>
      </c>
      <c r="H27" s="413">
        <f>SUMIF(90:90,G27,91:91)-SUMIF(90:90,C27,91:91)+100</f>
        <v>90</v>
      </c>
      <c r="I27" s="3453" t="s">
        <v>3924</v>
      </c>
      <c r="J27" s="413">
        <f>SUMIF(90:90,I27,91:91)-SUMIF(90:90,C27,91:91)+100</f>
        <v>100</v>
      </c>
      <c r="K27" s="561">
        <v>5</v>
      </c>
      <c r="L27" s="2699"/>
      <c r="M27" s="2700"/>
      <c r="N27" s="2700"/>
      <c r="O27" s="2700"/>
      <c r="P27" s="3756"/>
      <c r="Q27" s="3456" t="str">
        <f t="shared" si="11"/>
        <v>人流量</v>
      </c>
      <c r="R27" s="701" t="s">
        <v>14</v>
      </c>
      <c r="S27" s="702">
        <f>F27</f>
        <v>95</v>
      </c>
      <c r="T27" s="701" t="s">
        <v>14</v>
      </c>
      <c r="U27" s="702">
        <f>H27</f>
        <v>90</v>
      </c>
      <c r="V27" s="701" t="s">
        <v>14</v>
      </c>
      <c r="W27" s="702">
        <f>J27</f>
        <v>100</v>
      </c>
      <c r="X27" s="703"/>
      <c r="Y27" s="3758"/>
      <c r="Z27" s="3455" t="str">
        <f>Q27</f>
        <v>人流量</v>
      </c>
      <c r="AA27" s="3458">
        <f>D27/F27</f>
        <v>1.0526315789473684</v>
      </c>
      <c r="AB27" s="3458">
        <f>D27/H27</f>
        <v>1.1111111111111112</v>
      </c>
      <c r="AC27" s="3458">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04"/>
      <c r="M28" s="2698"/>
      <c r="N28" s="2698"/>
      <c r="O28" s="2698"/>
      <c r="P28" s="3756"/>
      <c r="Q28" s="3457" t="str">
        <f t="shared" si="11"/>
        <v>楼层</v>
      </c>
      <c r="R28" s="705" t="s">
        <v>14</v>
      </c>
      <c r="S28" s="706">
        <f t="shared" ref="S28:S46" si="12">F28</f>
        <v>100</v>
      </c>
      <c r="T28" s="705" t="s">
        <v>14</v>
      </c>
      <c r="U28" s="706">
        <f t="shared" ref="U28:U46" si="13">H28</f>
        <v>100</v>
      </c>
      <c r="V28" s="705" t="s">
        <v>14</v>
      </c>
      <c r="W28" s="706">
        <f t="shared" ref="W28:W46" si="14">J28</f>
        <v>100</v>
      </c>
      <c r="X28" s="3461"/>
      <c r="Y28" s="3758"/>
      <c r="Z28" s="3460" t="str">
        <f t="shared" ref="Z28:Z46" si="15">Q28</f>
        <v>楼层</v>
      </c>
      <c r="AA28" s="3458">
        <f t="shared" si="3"/>
        <v>1</v>
      </c>
      <c r="AB28" s="3458">
        <f t="shared" si="4"/>
        <v>1</v>
      </c>
      <c r="AC28" s="3458">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4"/>
      <c r="M29" s="2698"/>
      <c r="N29" s="2698"/>
      <c r="O29" s="2698"/>
      <c r="P29" s="3756"/>
      <c r="Q29" s="3457">
        <f t="shared" si="11"/>
        <v>111</v>
      </c>
      <c r="R29" s="705" t="s">
        <v>14</v>
      </c>
      <c r="S29" s="706">
        <f t="shared" si="12"/>
        <v>100</v>
      </c>
      <c r="T29" s="705" t="s">
        <v>14</v>
      </c>
      <c r="U29" s="706">
        <f t="shared" si="13"/>
        <v>100</v>
      </c>
      <c r="V29" s="705" t="s">
        <v>14</v>
      </c>
      <c r="W29" s="706">
        <f t="shared" si="14"/>
        <v>100</v>
      </c>
      <c r="X29" s="3461"/>
      <c r="Y29" s="3758"/>
      <c r="Z29" s="3460">
        <f t="shared" si="15"/>
        <v>111</v>
      </c>
      <c r="AA29" s="3458">
        <f t="shared" si="3"/>
        <v>1</v>
      </c>
      <c r="AB29" s="3458">
        <f t="shared" si="4"/>
        <v>1</v>
      </c>
      <c r="AC29" s="3458">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4"/>
      <c r="M30" s="2698"/>
      <c r="N30" s="2698"/>
      <c r="O30" s="2698"/>
      <c r="P30" s="3756"/>
      <c r="Q30" s="3457">
        <f t="shared" si="11"/>
        <v>111</v>
      </c>
      <c r="R30" s="705" t="s">
        <v>14</v>
      </c>
      <c r="S30" s="706">
        <f t="shared" si="12"/>
        <v>100</v>
      </c>
      <c r="T30" s="705" t="s">
        <v>14</v>
      </c>
      <c r="U30" s="706">
        <f t="shared" si="13"/>
        <v>100</v>
      </c>
      <c r="V30" s="705" t="s">
        <v>14</v>
      </c>
      <c r="W30" s="706">
        <f t="shared" si="14"/>
        <v>100</v>
      </c>
      <c r="X30" s="3461"/>
      <c r="Y30" s="3758"/>
      <c r="Z30" s="3460">
        <f t="shared" si="15"/>
        <v>111</v>
      </c>
      <c r="AA30" s="3458">
        <f t="shared" si="3"/>
        <v>1</v>
      </c>
      <c r="AB30" s="3458">
        <f t="shared" si="4"/>
        <v>1</v>
      </c>
      <c r="AC30" s="3458">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4"/>
      <c r="M31" s="2698"/>
      <c r="N31" s="2698"/>
      <c r="O31" s="2698"/>
      <c r="P31" s="3756"/>
      <c r="Q31" s="3457">
        <f t="shared" si="11"/>
        <v>111</v>
      </c>
      <c r="R31" s="705" t="s">
        <v>14</v>
      </c>
      <c r="S31" s="706">
        <f t="shared" si="12"/>
        <v>100</v>
      </c>
      <c r="T31" s="705" t="s">
        <v>14</v>
      </c>
      <c r="U31" s="706">
        <f t="shared" si="13"/>
        <v>100</v>
      </c>
      <c r="V31" s="705" t="s">
        <v>14</v>
      </c>
      <c r="W31" s="706">
        <f t="shared" si="14"/>
        <v>100</v>
      </c>
      <c r="X31" s="3461"/>
      <c r="Y31" s="3758"/>
      <c r="Z31" s="3460">
        <f t="shared" si="15"/>
        <v>111</v>
      </c>
      <c r="AA31" s="3458">
        <f t="shared" si="3"/>
        <v>1</v>
      </c>
      <c r="AB31" s="3458">
        <f t="shared" si="4"/>
        <v>1</v>
      </c>
      <c r="AC31" s="3458">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04"/>
      <c r="M32" s="2698"/>
      <c r="N32" s="2698"/>
      <c r="O32" s="2698"/>
      <c r="P32" s="3759" t="s">
        <v>1695</v>
      </c>
      <c r="Q32" s="3457" t="str">
        <f t="shared" si="11"/>
        <v>商业类型</v>
      </c>
      <c r="R32" s="705" t="s">
        <v>14</v>
      </c>
      <c r="S32" s="706">
        <f t="shared" si="12"/>
        <v>100</v>
      </c>
      <c r="T32" s="705" t="s">
        <v>14</v>
      </c>
      <c r="U32" s="706">
        <f t="shared" si="13"/>
        <v>100</v>
      </c>
      <c r="V32" s="705" t="s">
        <v>14</v>
      </c>
      <c r="W32" s="706">
        <f t="shared" si="14"/>
        <v>100</v>
      </c>
      <c r="X32" s="3461"/>
      <c r="Y32" s="3762" t="s">
        <v>1695</v>
      </c>
      <c r="Z32" s="3460" t="str">
        <f t="shared" si="15"/>
        <v>商业类型</v>
      </c>
      <c r="AA32" s="3458">
        <f t="shared" si="3"/>
        <v>1</v>
      </c>
      <c r="AB32" s="3458">
        <f t="shared" si="4"/>
        <v>1</v>
      </c>
      <c r="AC32" s="3458">
        <f t="shared" si="5"/>
        <v>1</v>
      </c>
    </row>
    <row r="33" spans="1:29" s="422" customFormat="1" ht="15">
      <c r="A33" s="419"/>
      <c r="B33" s="375" t="s">
        <v>1696</v>
      </c>
      <c r="C33" s="420">
        <f>'数据-汇总表'!E3</f>
        <v>27298.22</v>
      </c>
      <c r="D33" s="127">
        <v>100</v>
      </c>
      <c r="E33" s="3445">
        <f>Sheet2!H78</f>
        <v>6938</v>
      </c>
      <c r="F33" s="376">
        <f>LOOKUP(E33,103:103,104:104)-LOOKUP(C33,103:103,104:104)+100</f>
        <v>100</v>
      </c>
      <c r="G33" s="3446">
        <f>Sheet2!O77</f>
        <v>32414.420000000006</v>
      </c>
      <c r="H33" s="127">
        <f>LOOKUP(G33,103:103,104:104)-LOOKUP(C33,103:103,104:104)+100</f>
        <v>100</v>
      </c>
      <c r="I33" s="3446">
        <f>Sheet2!O85</f>
        <v>145928</v>
      </c>
      <c r="J33" s="127">
        <f>LOOKUP(I33,103:103,104:104)-LOOKUP(C33,103:103,104:104)+100</f>
        <v>92</v>
      </c>
      <c r="K33" s="562"/>
      <c r="L33" s="2703"/>
      <c r="M33" s="2705"/>
      <c r="N33" s="2705"/>
      <c r="O33" s="2705"/>
      <c r="P33" s="3760"/>
      <c r="Q33" s="707" t="str">
        <f t="shared" si="11"/>
        <v>项目建筑规模</v>
      </c>
      <c r="R33" s="708" t="s">
        <v>14</v>
      </c>
      <c r="S33" s="709">
        <f t="shared" si="12"/>
        <v>100</v>
      </c>
      <c r="T33" s="708" t="s">
        <v>14</v>
      </c>
      <c r="U33" s="709">
        <f t="shared" si="13"/>
        <v>100</v>
      </c>
      <c r="V33" s="708" t="s">
        <v>14</v>
      </c>
      <c r="W33" s="709">
        <f t="shared" si="14"/>
        <v>92</v>
      </c>
      <c r="X33" s="710"/>
      <c r="Y33" s="3762"/>
      <c r="Z33" s="711" t="str">
        <f t="shared" si="15"/>
        <v>项目建筑规模</v>
      </c>
      <c r="AA33" s="3458">
        <f t="shared" si="3"/>
        <v>1</v>
      </c>
      <c r="AB33" s="3458">
        <f t="shared" si="4"/>
        <v>1</v>
      </c>
      <c r="AC33" s="3458">
        <f t="shared" si="5"/>
        <v>1.0869565217391304</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04"/>
      <c r="M34" s="2698"/>
      <c r="N34" s="2698"/>
      <c r="O34" s="2698"/>
      <c r="P34" s="3760"/>
      <c r="Q34" s="3457" t="str">
        <f t="shared" si="11"/>
        <v>建筑结构</v>
      </c>
      <c r="R34" s="705" t="s">
        <v>14</v>
      </c>
      <c r="S34" s="706">
        <f t="shared" si="12"/>
        <v>100</v>
      </c>
      <c r="T34" s="705" t="s">
        <v>14</v>
      </c>
      <c r="U34" s="706">
        <f t="shared" si="13"/>
        <v>100</v>
      </c>
      <c r="V34" s="705" t="s">
        <v>14</v>
      </c>
      <c r="W34" s="706">
        <f t="shared" si="14"/>
        <v>100</v>
      </c>
      <c r="X34" s="3461"/>
      <c r="Y34" s="3762"/>
      <c r="Z34" s="3460" t="str">
        <f t="shared" si="15"/>
        <v>建筑结构</v>
      </c>
      <c r="AA34" s="3458">
        <f t="shared" si="3"/>
        <v>1</v>
      </c>
      <c r="AB34" s="3458">
        <f t="shared" si="4"/>
        <v>1</v>
      </c>
      <c r="AC34" s="3458">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04"/>
      <c r="M35" s="2698"/>
      <c r="N35" s="2698"/>
      <c r="O35" s="2698"/>
      <c r="P35" s="3760"/>
      <c r="Q35" s="3457" t="str">
        <f t="shared" si="11"/>
        <v>公共部分装修</v>
      </c>
      <c r="R35" s="705" t="s">
        <v>14</v>
      </c>
      <c r="S35" s="706">
        <f t="shared" si="12"/>
        <v>100</v>
      </c>
      <c r="T35" s="705" t="s">
        <v>14</v>
      </c>
      <c r="U35" s="706">
        <f t="shared" si="13"/>
        <v>100</v>
      </c>
      <c r="V35" s="705" t="s">
        <v>14</v>
      </c>
      <c r="W35" s="706">
        <f t="shared" si="14"/>
        <v>100</v>
      </c>
      <c r="X35" s="3461"/>
      <c r="Y35" s="3762"/>
      <c r="Z35" s="3460" t="str">
        <f t="shared" si="15"/>
        <v>公共部分装修</v>
      </c>
      <c r="AA35" s="3458">
        <f t="shared" si="3"/>
        <v>1</v>
      </c>
      <c r="AB35" s="3458">
        <f t="shared" si="4"/>
        <v>1</v>
      </c>
      <c r="AC35" s="3458">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04"/>
      <c r="M36" s="2698"/>
      <c r="N36" s="2698"/>
      <c r="O36" s="2698"/>
      <c r="P36" s="3760"/>
      <c r="Q36" s="3457" t="str">
        <f t="shared" si="11"/>
        <v>成新度</v>
      </c>
      <c r="R36" s="705" t="s">
        <v>14</v>
      </c>
      <c r="S36" s="706">
        <f t="shared" si="12"/>
        <v>100</v>
      </c>
      <c r="T36" s="705" t="s">
        <v>14</v>
      </c>
      <c r="U36" s="706">
        <f t="shared" si="13"/>
        <v>100</v>
      </c>
      <c r="V36" s="705" t="s">
        <v>14</v>
      </c>
      <c r="W36" s="706">
        <f t="shared" si="14"/>
        <v>100</v>
      </c>
      <c r="X36" s="3461"/>
      <c r="Y36" s="3762"/>
      <c r="Z36" s="3460" t="str">
        <f t="shared" si="15"/>
        <v>成新度</v>
      </c>
      <c r="AA36" s="3458">
        <f t="shared" si="3"/>
        <v>1</v>
      </c>
      <c r="AB36" s="3458">
        <f t="shared" si="4"/>
        <v>1</v>
      </c>
      <c r="AC36" s="3458">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9"/>
      <c r="M37" s="2700"/>
      <c r="N37" s="2700"/>
      <c r="O37" s="2700"/>
      <c r="P37" s="3760"/>
      <c r="Q37" s="3456" t="str">
        <f t="shared" si="11"/>
        <v>市政基础设施</v>
      </c>
      <c r="R37" s="701" t="s">
        <v>14</v>
      </c>
      <c r="S37" s="702">
        <f t="shared" si="12"/>
        <v>100</v>
      </c>
      <c r="T37" s="701" t="s">
        <v>14</v>
      </c>
      <c r="U37" s="702">
        <f t="shared" si="13"/>
        <v>100</v>
      </c>
      <c r="V37" s="701" t="s">
        <v>14</v>
      </c>
      <c r="W37" s="702">
        <f t="shared" si="14"/>
        <v>100</v>
      </c>
      <c r="X37" s="703"/>
      <c r="Y37" s="3762"/>
      <c r="Z37" s="3455"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04"/>
      <c r="M38" s="2698"/>
      <c r="N38" s="2698"/>
      <c r="O38" s="2698"/>
      <c r="P38" s="3760" t="s">
        <v>1695</v>
      </c>
      <c r="Q38" s="3457" t="str">
        <f t="shared" si="11"/>
        <v>业态</v>
      </c>
      <c r="R38" s="705" t="s">
        <v>14</v>
      </c>
      <c r="S38" s="706">
        <f t="shared" si="12"/>
        <v>100</v>
      </c>
      <c r="T38" s="705" t="s">
        <v>14</v>
      </c>
      <c r="U38" s="706">
        <f t="shared" si="13"/>
        <v>100</v>
      </c>
      <c r="V38" s="705" t="s">
        <v>14</v>
      </c>
      <c r="W38" s="706">
        <f t="shared" si="14"/>
        <v>100</v>
      </c>
      <c r="X38" s="3461"/>
      <c r="Y38" s="3762" t="s">
        <v>1695</v>
      </c>
      <c r="Z38" s="3460" t="str">
        <f t="shared" si="15"/>
        <v>业态</v>
      </c>
      <c r="AA38" s="3458">
        <f t="shared" si="3"/>
        <v>1</v>
      </c>
      <c r="AB38" s="3458">
        <f t="shared" si="4"/>
        <v>1</v>
      </c>
      <c r="AC38" s="3458">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04"/>
      <c r="M39" s="2698"/>
      <c r="N39" s="2698"/>
      <c r="O39" s="2698"/>
      <c r="P39" s="3760"/>
      <c r="Q39" s="3457" t="str">
        <f t="shared" si="11"/>
        <v>层高</v>
      </c>
      <c r="R39" s="705" t="s">
        <v>14</v>
      </c>
      <c r="S39" s="706">
        <f t="shared" si="12"/>
        <v>100</v>
      </c>
      <c r="T39" s="705" t="s">
        <v>14</v>
      </c>
      <c r="U39" s="706">
        <f t="shared" si="13"/>
        <v>100</v>
      </c>
      <c r="V39" s="705" t="s">
        <v>14</v>
      </c>
      <c r="W39" s="706">
        <f t="shared" si="14"/>
        <v>100</v>
      </c>
      <c r="X39" s="3461"/>
      <c r="Y39" s="3762"/>
      <c r="Z39" s="3460" t="str">
        <f t="shared" si="15"/>
        <v>层高</v>
      </c>
      <c r="AA39" s="3458">
        <f t="shared" si="3"/>
        <v>1</v>
      </c>
      <c r="AB39" s="3458">
        <f t="shared" si="4"/>
        <v>1</v>
      </c>
      <c r="AC39" s="3458">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4"/>
      <c r="M40" s="2698"/>
      <c r="N40" s="2698"/>
      <c r="O40" s="2698"/>
      <c r="P40" s="3760"/>
      <c r="Q40" s="3457" t="str">
        <f t="shared" si="11"/>
        <v>单套建筑面积</v>
      </c>
      <c r="R40" s="705" t="s">
        <v>14</v>
      </c>
      <c r="S40" s="706">
        <f t="shared" si="12"/>
        <v>100</v>
      </c>
      <c r="T40" s="705" t="s">
        <v>14</v>
      </c>
      <c r="U40" s="706">
        <f t="shared" si="13"/>
        <v>100</v>
      </c>
      <c r="V40" s="705" t="s">
        <v>14</v>
      </c>
      <c r="W40" s="706">
        <f t="shared" si="14"/>
        <v>100</v>
      </c>
      <c r="X40" s="3461"/>
      <c r="Y40" s="3762"/>
      <c r="Z40" s="3460" t="str">
        <f t="shared" si="15"/>
        <v>单套建筑面积</v>
      </c>
      <c r="AA40" s="3458">
        <f t="shared" si="3"/>
        <v>1</v>
      </c>
      <c r="AB40" s="3458">
        <f t="shared" si="4"/>
        <v>1</v>
      </c>
      <c r="AC40" s="3458">
        <f t="shared" si="5"/>
        <v>1</v>
      </c>
    </row>
    <row r="41" spans="1:29" s="422" customFormat="1" ht="15">
      <c r="A41" s="419"/>
      <c r="B41" s="3459"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3"/>
      <c r="M41" s="2705"/>
      <c r="N41" s="2705"/>
      <c r="O41" s="2705"/>
      <c r="P41" s="3760"/>
      <c r="Q41" s="707" t="str">
        <f t="shared" si="11"/>
        <v>进深比</v>
      </c>
      <c r="R41" s="708" t="s">
        <v>14</v>
      </c>
      <c r="S41" s="709">
        <f t="shared" si="12"/>
        <v>100</v>
      </c>
      <c r="T41" s="708" t="s">
        <v>14</v>
      </c>
      <c r="U41" s="709">
        <f t="shared" si="13"/>
        <v>100</v>
      </c>
      <c r="V41" s="708" t="s">
        <v>14</v>
      </c>
      <c r="W41" s="709">
        <f t="shared" si="14"/>
        <v>100</v>
      </c>
      <c r="X41" s="710"/>
      <c r="Y41" s="3762"/>
      <c r="Z41" s="711" t="str">
        <f t="shared" si="15"/>
        <v>进深比</v>
      </c>
      <c r="AA41" s="3458">
        <f t="shared" si="3"/>
        <v>1</v>
      </c>
      <c r="AB41" s="3458">
        <f t="shared" si="4"/>
        <v>1</v>
      </c>
      <c r="AC41" s="3458">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04"/>
      <c r="M42" s="2698"/>
      <c r="N42" s="2698"/>
      <c r="O42" s="2698"/>
      <c r="P42" s="3760"/>
      <c r="Q42" s="3457" t="str">
        <f t="shared" si="11"/>
        <v>内部装修</v>
      </c>
      <c r="R42" s="705" t="s">
        <v>14</v>
      </c>
      <c r="S42" s="706">
        <f t="shared" si="12"/>
        <v>100</v>
      </c>
      <c r="T42" s="705" t="s">
        <v>14</v>
      </c>
      <c r="U42" s="706">
        <f t="shared" si="13"/>
        <v>100</v>
      </c>
      <c r="V42" s="705" t="s">
        <v>14</v>
      </c>
      <c r="W42" s="706">
        <f t="shared" si="14"/>
        <v>100</v>
      </c>
      <c r="X42" s="3461"/>
      <c r="Y42" s="3762"/>
      <c r="Z42" s="3460" t="str">
        <f t="shared" si="15"/>
        <v>内部装修</v>
      </c>
      <c r="AA42" s="3458">
        <f t="shared" si="3"/>
        <v>1</v>
      </c>
      <c r="AB42" s="3458">
        <f t="shared" si="4"/>
        <v>1</v>
      </c>
      <c r="AC42" s="3458">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04"/>
      <c r="M43" s="2698"/>
      <c r="N43" s="2698"/>
      <c r="O43" s="2698"/>
      <c r="P43" s="3760"/>
      <c r="Q43" s="3457" t="str">
        <f t="shared" si="11"/>
        <v>内部装修维护情况</v>
      </c>
      <c r="R43" s="705" t="s">
        <v>14</v>
      </c>
      <c r="S43" s="706">
        <f t="shared" si="12"/>
        <v>100</v>
      </c>
      <c r="T43" s="705" t="s">
        <v>14</v>
      </c>
      <c r="U43" s="706">
        <f t="shared" si="13"/>
        <v>100</v>
      </c>
      <c r="V43" s="705" t="s">
        <v>14</v>
      </c>
      <c r="W43" s="706">
        <f t="shared" si="14"/>
        <v>100</v>
      </c>
      <c r="X43" s="3461"/>
      <c r="Y43" s="3762"/>
      <c r="Z43" s="3460" t="str">
        <f t="shared" si="15"/>
        <v>内部装修维护情况</v>
      </c>
      <c r="AA43" s="3458">
        <f t="shared" si="3"/>
        <v>1</v>
      </c>
      <c r="AB43" s="3458">
        <f t="shared" si="4"/>
        <v>1</v>
      </c>
      <c r="AC43" s="3458">
        <f t="shared" si="5"/>
        <v>1</v>
      </c>
    </row>
    <row r="44" spans="1:29" s="108" customFormat="1" ht="15">
      <c r="A44" s="424"/>
      <c r="B44" s="1133">
        <v>111</v>
      </c>
      <c r="C44" s="425">
        <v>0.31</v>
      </c>
      <c r="D44" s="127">
        <v>100</v>
      </c>
      <c r="E44" s="3534"/>
      <c r="F44" s="376">
        <f>SUMIF(126:126,E44,127:127)-SUMIF(126:126,C44,127:127)+100</f>
        <v>100</v>
      </c>
      <c r="G44" s="3534">
        <v>0.25</v>
      </c>
      <c r="H44" s="127">
        <f>SUMIF(126:126,G44,127:127)-SUMIF(126:126,C44,127:127)+100</f>
        <v>100</v>
      </c>
      <c r="I44" s="3534">
        <v>0.24</v>
      </c>
      <c r="J44" s="127">
        <f>SUMIF(126:126,I44,127:127)-SUMIF(126:126,C44,127:127)+100</f>
        <v>100</v>
      </c>
      <c r="K44" s="562"/>
      <c r="L44" s="2699"/>
      <c r="M44" s="2700"/>
      <c r="N44" s="2700"/>
      <c r="O44" s="2700"/>
      <c r="P44" s="3760"/>
      <c r="Q44" s="3456">
        <f t="shared" si="11"/>
        <v>111</v>
      </c>
      <c r="R44" s="701" t="s">
        <v>14</v>
      </c>
      <c r="S44" s="702">
        <f t="shared" si="12"/>
        <v>100</v>
      </c>
      <c r="T44" s="701" t="s">
        <v>14</v>
      </c>
      <c r="U44" s="702">
        <f t="shared" si="13"/>
        <v>100</v>
      </c>
      <c r="V44" s="701" t="s">
        <v>14</v>
      </c>
      <c r="W44" s="702">
        <f t="shared" si="14"/>
        <v>100</v>
      </c>
      <c r="X44" s="703"/>
      <c r="Y44" s="3762"/>
      <c r="Z44" s="3455">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4"/>
      <c r="M45" s="2698"/>
      <c r="N45" s="2698"/>
      <c r="O45" s="2698"/>
      <c r="P45" s="3760"/>
      <c r="Q45" s="3457">
        <f t="shared" si="11"/>
        <v>111</v>
      </c>
      <c r="R45" s="705" t="s">
        <v>14</v>
      </c>
      <c r="S45" s="706">
        <f t="shared" si="12"/>
        <v>100</v>
      </c>
      <c r="T45" s="705" t="s">
        <v>14</v>
      </c>
      <c r="U45" s="706">
        <f t="shared" si="13"/>
        <v>100</v>
      </c>
      <c r="V45" s="705" t="s">
        <v>14</v>
      </c>
      <c r="W45" s="706">
        <f t="shared" si="14"/>
        <v>100</v>
      </c>
      <c r="X45" s="3461"/>
      <c r="Y45" s="3762"/>
      <c r="Z45" s="3460">
        <f t="shared" si="15"/>
        <v>111</v>
      </c>
      <c r="AA45" s="3458">
        <f t="shared" si="3"/>
        <v>1</v>
      </c>
      <c r="AB45" s="3458">
        <f t="shared" si="4"/>
        <v>1</v>
      </c>
      <c r="AC45" s="3458">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4"/>
      <c r="M46" s="2698"/>
      <c r="N46" s="2698"/>
      <c r="O46" s="2698"/>
      <c r="P46" s="3761"/>
      <c r="Q46" s="3457">
        <f t="shared" si="11"/>
        <v>111</v>
      </c>
      <c r="R46" s="705" t="s">
        <v>14</v>
      </c>
      <c r="S46" s="706">
        <f t="shared" si="12"/>
        <v>100</v>
      </c>
      <c r="T46" s="705" t="s">
        <v>14</v>
      </c>
      <c r="U46" s="706">
        <f t="shared" si="13"/>
        <v>100</v>
      </c>
      <c r="V46" s="705" t="s">
        <v>14</v>
      </c>
      <c r="W46" s="706">
        <f t="shared" si="14"/>
        <v>100</v>
      </c>
      <c r="X46" s="3461"/>
      <c r="Y46" s="3763"/>
      <c r="Z46" s="3460">
        <f t="shared" si="15"/>
        <v>111</v>
      </c>
      <c r="AA46" s="3458">
        <f t="shared" si="3"/>
        <v>1</v>
      </c>
      <c r="AB46" s="3458">
        <f t="shared" si="4"/>
        <v>1</v>
      </c>
      <c r="AC46" s="3458">
        <f t="shared" si="5"/>
        <v>1</v>
      </c>
    </row>
    <row r="47" spans="1:29" ht="15">
      <c r="A47" s="430" t="s">
        <v>1707</v>
      </c>
      <c r="B47" s="431"/>
      <c r="C47" s="1154" t="s">
        <v>0</v>
      </c>
      <c r="D47" s="1155"/>
      <c r="E47" s="3447">
        <f>Sheet2!I78</f>
        <v>52757</v>
      </c>
      <c r="F47" s="1157"/>
      <c r="G47" s="3448">
        <v>62177</v>
      </c>
      <c r="H47" s="1159"/>
      <c r="I47" s="3447">
        <v>55732</v>
      </c>
      <c r="J47" s="1159"/>
      <c r="K47" s="714"/>
      <c r="L47" s="2706"/>
      <c r="M47" s="2707"/>
      <c r="N47" s="2698"/>
      <c r="O47" s="2707"/>
      <c r="P47" s="3764" t="str">
        <f>A47</f>
        <v>成交单价（元/平方米）</v>
      </c>
      <c r="Q47" s="3764"/>
      <c r="R47" s="3726">
        <f>E47</f>
        <v>52757</v>
      </c>
      <c r="S47" s="3726"/>
      <c r="T47" s="3726">
        <f>G47</f>
        <v>62177</v>
      </c>
      <c r="U47" s="3726"/>
      <c r="V47" s="3726">
        <f>I47</f>
        <v>55732</v>
      </c>
      <c r="W47" s="3726"/>
      <c r="X47" s="690"/>
      <c r="Y47" s="712"/>
      <c r="Z47" s="690"/>
      <c r="AA47" s="690"/>
      <c r="AB47" s="690"/>
      <c r="AC47" s="690"/>
    </row>
    <row r="48" spans="1:29" ht="15.75" thickBot="1">
      <c r="A48" s="437" t="s">
        <v>1708</v>
      </c>
      <c r="B48" s="438"/>
      <c r="C48" s="1160">
        <f>R49</f>
        <v>66341</v>
      </c>
      <c r="D48" s="2317" t="s">
        <v>2137</v>
      </c>
      <c r="E48" s="1161">
        <f>R48</f>
        <v>60917</v>
      </c>
      <c r="F48" s="2318"/>
      <c r="G48" s="1160">
        <f>T48</f>
        <v>76855</v>
      </c>
      <c r="H48" s="2318"/>
      <c r="I48" s="1161">
        <f>V48</f>
        <v>61252</v>
      </c>
      <c r="J48" s="2318"/>
      <c r="K48" s="2320">
        <f>F48+H48+J48</f>
        <v>0</v>
      </c>
      <c r="L48" s="2706"/>
      <c r="M48" s="2707"/>
      <c r="N48" s="2698"/>
      <c r="O48" s="2707"/>
      <c r="P48" s="3764" t="str">
        <f>A48</f>
        <v>比较价值（元/平方米）</v>
      </c>
      <c r="Q48" s="3764"/>
      <c r="R48" s="3765">
        <f>IF(F1="售价",ROUND(PRODUCT(R47,AA7:AA46),0),ROUND(PRODUCT(R47,AA7:AA46),1))</f>
        <v>60917</v>
      </c>
      <c r="S48" s="3765"/>
      <c r="T48" s="3765">
        <f>IF(F1="售价",ROUND(PRODUCT(T47,AB7:AB46),0),ROUND(PRODUCT(T47,AB7:AB46),1))</f>
        <v>76855</v>
      </c>
      <c r="U48" s="3765"/>
      <c r="V48" s="3765">
        <f>IF(F1="售价",ROUND(PRODUCT(V47,AC7:AC46),0),ROUND(PRODUCT(V47,AC7:AC46),1))</f>
        <v>61252</v>
      </c>
      <c r="W48" s="3765"/>
      <c r="X48" s="690"/>
      <c r="Y48" s="690"/>
      <c r="Z48" s="690"/>
      <c r="AA48" s="690"/>
      <c r="AB48" s="690"/>
      <c r="AC48" s="690"/>
    </row>
    <row r="49" spans="1:29" ht="15.75" thickBot="1">
      <c r="A49" s="441" t="s">
        <v>1709</v>
      </c>
      <c r="B49" s="442"/>
      <c r="C49" s="1163">
        <f>R49</f>
        <v>66341</v>
      </c>
      <c r="D49" s="1163"/>
      <c r="E49" s="1163"/>
      <c r="F49" s="1163"/>
      <c r="G49" s="1163"/>
      <c r="H49" s="1163"/>
      <c r="I49" s="1163"/>
      <c r="J49" s="1163"/>
      <c r="K49" s="715"/>
      <c r="L49" s="2706"/>
      <c r="M49" s="2707">
        <f>C49*'数据-汇总表'!E3/10000</f>
        <v>181099.12130199999</v>
      </c>
      <c r="N49" s="2698"/>
      <c r="O49" s="2707"/>
      <c r="P49" s="3766" t="str">
        <f>A49</f>
        <v>估价对象XX用房的比较价值（楼面单价，元/平方米）</v>
      </c>
      <c r="Q49" s="3767"/>
      <c r="R49" s="3768">
        <f>IF(F1="售价",ROUND(IF(D48="简单平均",AVERAGE(R48:V48),R48*F48+T48*H48+V48*J48),0),ROUND(IF(D48="简单平均",AVERAGE(R48:V48),R48*F48+T48*H48+V48*J48),1))</f>
        <v>66341</v>
      </c>
      <c r="S49" s="3768"/>
      <c r="T49" s="3768"/>
      <c r="U49" s="3768"/>
      <c r="V49" s="3768"/>
      <c r="W49" s="3768"/>
      <c r="X49" s="690"/>
      <c r="Y49" s="690"/>
      <c r="Z49" s="690"/>
      <c r="AA49" s="690"/>
      <c r="AB49" s="690"/>
      <c r="AC49" s="690"/>
    </row>
    <row r="50" spans="1:29">
      <c r="A50" s="2707"/>
      <c r="B50" s="2707"/>
      <c r="C50" s="2707"/>
      <c r="D50" s="2707"/>
      <c r="E50" s="2707"/>
      <c r="F50" s="2707"/>
      <c r="G50" s="2711"/>
      <c r="H50" s="2707"/>
      <c r="I50" s="2707"/>
      <c r="J50" s="2707"/>
      <c r="K50" s="2712"/>
      <c r="L50" s="2708"/>
      <c r="M50" s="2707"/>
      <c r="N50" s="2707"/>
      <c r="O50" s="2707"/>
      <c r="P50" s="2718"/>
      <c r="Q50" s="2707"/>
      <c r="R50" s="2707"/>
      <c r="S50" s="2707"/>
      <c r="T50" s="2707"/>
      <c r="U50" s="2707"/>
      <c r="V50" s="2707"/>
      <c r="W50" s="2707"/>
      <c r="X50" s="2707"/>
      <c r="Y50" s="2707"/>
      <c r="Z50" s="2707"/>
      <c r="AA50" s="2707"/>
      <c r="AB50" s="2707"/>
      <c r="AC50" s="2707"/>
    </row>
    <row r="51" spans="1:29">
      <c r="A51" s="2707"/>
      <c r="B51" s="2707"/>
      <c r="C51" s="2707"/>
      <c r="D51" s="2707"/>
      <c r="E51" s="2707"/>
      <c r="F51" s="2707"/>
      <c r="G51" s="2707"/>
      <c r="H51" s="2707"/>
      <c r="I51" s="2707"/>
      <c r="J51" s="2707"/>
      <c r="K51" s="2712"/>
      <c r="L51" s="2708"/>
      <c r="M51" s="2707"/>
      <c r="N51" s="2707"/>
      <c r="O51" s="2707"/>
      <c r="P51" s="2718"/>
      <c r="Q51" s="2707"/>
      <c r="R51" s="2707"/>
      <c r="S51" s="2707"/>
      <c r="T51" s="2707"/>
      <c r="U51" s="2707"/>
      <c r="V51" s="2707"/>
      <c r="W51" s="2707"/>
      <c r="X51" s="2707"/>
      <c r="Y51" s="2707"/>
      <c r="Z51" s="2707"/>
      <c r="AA51" s="2707"/>
      <c r="AB51" s="2707"/>
      <c r="AC51" s="2707"/>
    </row>
    <row r="52" spans="1:29" ht="13.5" customHeight="1">
      <c r="A52" s="2707"/>
      <c r="B52" s="2707"/>
      <c r="C52" s="446" t="s">
        <v>1710</v>
      </c>
      <c r="D52" s="447"/>
      <c r="E52" s="448">
        <f>IF(E47&lt;E48,E48/E47-1,E47/E48-1)</f>
        <v>0.15467141801088014</v>
      </c>
      <c r="F52" s="449" t="str">
        <f>IF(OR(E52&gt;=0.3,E52&lt;=-0.3),"超过30%","")</f>
        <v/>
      </c>
      <c r="G52" s="448">
        <f>IF(G47&lt;G48,G48/G47-1,G47/G48-1)</f>
        <v>0.23606799942100776</v>
      </c>
      <c r="H52" s="449" t="str">
        <f>IF(OR(G52&gt;=0.3,G52&lt;=-0.3),"超过30%","")</f>
        <v/>
      </c>
      <c r="I52" s="448">
        <f>IF(I47&lt;I48,I48/I47-1,I47/I48-1)</f>
        <v>9.9045431708892462E-2</v>
      </c>
      <c r="J52" s="449" t="str">
        <f>IF(OR(I52&gt;=0.3,I52&lt;=-0.3),"超过30%","")</f>
        <v/>
      </c>
      <c r="K52" s="2712"/>
      <c r="L52" s="2708"/>
      <c r="M52" s="2707"/>
      <c r="N52" s="2707"/>
      <c r="O52" s="2707"/>
      <c r="P52" s="2718"/>
      <c r="Q52" s="2707"/>
      <c r="R52" s="2707"/>
      <c r="S52" s="2707"/>
      <c r="T52" s="2707"/>
      <c r="U52" s="2707"/>
      <c r="V52" s="2707"/>
      <c r="W52" s="2707"/>
      <c r="X52" s="2707"/>
      <c r="Y52" s="2707"/>
      <c r="Z52" s="2707"/>
      <c r="AA52" s="2707"/>
      <c r="AB52" s="2707"/>
      <c r="AC52" s="2707"/>
    </row>
    <row r="53" spans="1:29" ht="13.5" customHeight="1">
      <c r="A53" s="2707"/>
      <c r="B53" s="2707"/>
      <c r="C53" s="446" t="s">
        <v>1711</v>
      </c>
      <c r="D53" s="450"/>
      <c r="E53" s="448">
        <f>IF(E48&lt;G48,G48/E48-1,E48/G48-1)</f>
        <v>0.26163468325754713</v>
      </c>
      <c r="F53" s="449" t="str">
        <f>IF(OR(E53&gt;=0.2,E53&lt;=-0.2),"超过20%","")</f>
        <v>超过20%</v>
      </c>
      <c r="G53" s="448">
        <f>IF(G48&lt;I48,I48/G48-1,G48/I48-1)</f>
        <v>0.25473453928034995</v>
      </c>
      <c r="H53" s="449" t="str">
        <f>IF(OR(G53&gt;=0.2,G53&lt;=-0.2),"超过20%","")</f>
        <v>超过20%</v>
      </c>
      <c r="I53" s="448">
        <f>IF(I48&lt;E48,E48/I48-1,I48/E48-1)</f>
        <v>5.4992859136202554E-3</v>
      </c>
      <c r="J53" s="449" t="str">
        <f>IF(OR(I53&gt;=0.2,I53&lt;=-0.2),"超过20%","")</f>
        <v/>
      </c>
      <c r="K53" s="2712"/>
      <c r="L53" s="2708"/>
      <c r="M53" s="2707"/>
      <c r="N53" s="2707"/>
      <c r="O53" s="2707"/>
      <c r="P53" s="2718"/>
      <c r="Q53" s="2707"/>
      <c r="R53" s="2707"/>
      <c r="S53" s="2707"/>
      <c r="T53" s="2707"/>
      <c r="U53" s="2707"/>
      <c r="V53" s="2707"/>
      <c r="W53" s="2707"/>
      <c r="X53" s="2707"/>
      <c r="Y53" s="2707"/>
      <c r="Z53" s="2707"/>
      <c r="AA53" s="2707"/>
      <c r="AB53" s="2707"/>
      <c r="AC53" s="2707"/>
    </row>
    <row r="54" spans="1:29" s="451" customFormat="1" ht="13.5" customHeight="1">
      <c r="A54" s="2710"/>
      <c r="B54" s="2710"/>
      <c r="C54" s="446" t="s">
        <v>1712</v>
      </c>
      <c r="D54" s="450"/>
      <c r="E54" s="448">
        <f>IF(E47&lt;G47,G47/E47-1,E47/G47-1)</f>
        <v>0.17855450461550126</v>
      </c>
      <c r="F54" s="449" t="str">
        <f>IF(OR(E54&gt;=0.3,E54&lt;=-0.3),"超过30%","")</f>
        <v/>
      </c>
      <c r="G54" s="448">
        <f>IF(G47&lt;I47,I47/G47-1,G47/I47-1)</f>
        <v>0.11564271872532839</v>
      </c>
      <c r="H54" s="449" t="str">
        <f>IF(OR(G54&gt;=0.3,G54&lt;=-0.3),"超过30%","")</f>
        <v/>
      </c>
      <c r="I54" s="448">
        <f>IF(I47&lt;E47,E47/I47-1,I47/E47-1)</f>
        <v>5.639062114979998E-2</v>
      </c>
      <c r="J54" s="449" t="str">
        <f>IF(OR(I54&gt;=0.3,I54&lt;=-0.3),"超过30%","")</f>
        <v/>
      </c>
      <c r="K54" s="2715"/>
      <c r="L54" s="2709"/>
      <c r="M54" s="2710"/>
      <c r="N54" s="2710"/>
      <c r="O54" s="2710"/>
      <c r="P54" s="2719"/>
      <c r="Q54" s="2710"/>
      <c r="R54" s="2710"/>
      <c r="S54" s="2710"/>
      <c r="T54" s="2710"/>
      <c r="U54" s="2710"/>
      <c r="V54" s="2710"/>
      <c r="W54" s="2710"/>
      <c r="X54" s="2710"/>
      <c r="Y54" s="2710"/>
      <c r="Z54" s="2710"/>
      <c r="AA54" s="2710"/>
      <c r="AB54" s="2710"/>
      <c r="AC54" s="2710"/>
    </row>
    <row r="55" spans="1:29" s="451" customFormat="1">
      <c r="A55" s="2710"/>
      <c r="B55" s="2713"/>
      <c r="C55" s="2714"/>
      <c r="D55" s="2710"/>
      <c r="E55" s="2710"/>
      <c r="F55" s="2710"/>
      <c r="G55" s="2710"/>
      <c r="H55" s="2710"/>
      <c r="I55" s="2710"/>
      <c r="J55" s="2710"/>
      <c r="K55" s="2715"/>
      <c r="L55" s="2709"/>
      <c r="M55" s="2710"/>
      <c r="N55" s="2710"/>
      <c r="O55" s="2710"/>
      <c r="P55" s="2719"/>
      <c r="Q55" s="2710"/>
      <c r="R55" s="2710"/>
      <c r="S55" s="2710"/>
      <c r="T55" s="2710"/>
      <c r="U55" s="2710"/>
      <c r="V55" s="2710"/>
      <c r="W55" s="2710"/>
      <c r="X55" s="2710"/>
      <c r="Y55" s="2710"/>
      <c r="Z55" s="2710"/>
      <c r="AA55" s="2710"/>
      <c r="AB55" s="2710"/>
      <c r="AC55" s="2710"/>
    </row>
    <row r="56" spans="1:29">
      <c r="A56" s="2707"/>
      <c r="B56" s="2713"/>
      <c r="C56" s="2714"/>
      <c r="D56" s="2707"/>
      <c r="E56" s="2707"/>
      <c r="F56" s="2707"/>
      <c r="G56" s="2707"/>
      <c r="H56" s="2707"/>
      <c r="I56" s="2707"/>
      <c r="J56" s="2707"/>
      <c r="K56" s="2712"/>
      <c r="L56" s="2708"/>
      <c r="M56" s="2707"/>
      <c r="N56" s="2707"/>
      <c r="O56" s="2707"/>
      <c r="P56" s="2718"/>
      <c r="Q56" s="2707"/>
      <c r="R56" s="2707"/>
      <c r="S56" s="2707"/>
      <c r="T56" s="2707"/>
      <c r="U56" s="2707"/>
      <c r="V56" s="2707"/>
      <c r="W56" s="2707"/>
      <c r="X56" s="2707"/>
      <c r="Y56" s="2707"/>
      <c r="Z56" s="2707"/>
      <c r="AA56" s="2707"/>
      <c r="AB56" s="2707"/>
      <c r="AC56" s="2707"/>
    </row>
    <row r="57" spans="1:29" ht="21.75" thickBot="1">
      <c r="A57" s="694" t="s">
        <v>1713</v>
      </c>
      <c r="B57" s="690"/>
      <c r="C57" s="695"/>
      <c r="D57" s="695"/>
      <c r="E57" s="695"/>
      <c r="F57" s="696"/>
      <c r="G57" s="696"/>
      <c r="H57" s="695"/>
      <c r="I57" s="695"/>
      <c r="J57" s="695"/>
      <c r="K57" s="697"/>
      <c r="L57" s="942"/>
      <c r="M57" s="940"/>
      <c r="N57" s="940"/>
      <c r="O57" s="940"/>
      <c r="P57" s="2720"/>
      <c r="Q57" s="2721"/>
      <c r="R57" s="2707"/>
      <c r="S57" s="2707"/>
      <c r="T57" s="2707"/>
      <c r="U57" s="2707"/>
      <c r="V57" s="2707"/>
      <c r="W57" s="2707"/>
      <c r="X57" s="2707"/>
      <c r="Y57" s="2707"/>
      <c r="Z57" s="2707"/>
      <c r="AA57" s="2707"/>
      <c r="AB57" s="2707"/>
      <c r="AC57" s="2707"/>
    </row>
    <row r="58" spans="1:29" s="457" customFormat="1" ht="15">
      <c r="A58" s="454" t="s">
        <v>1678</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3489">
        <f t="shared" ref="P58:Q58" si="17">EDATE(O58,-1)</f>
        <v>44593</v>
      </c>
      <c r="Q58" s="3489">
        <f t="shared" si="17"/>
        <v>44562</v>
      </c>
      <c r="R58" s="3489">
        <f t="shared" ref="R58:S58" si="18">EDATE(Q58,-1)</f>
        <v>44531</v>
      </c>
      <c r="S58" s="3489">
        <f t="shared" si="18"/>
        <v>44501</v>
      </c>
      <c r="T58" s="3489">
        <f t="shared" ref="T58:U58" si="19">EDATE(S58,-1)</f>
        <v>44470</v>
      </c>
      <c r="U58" s="3489">
        <f t="shared" si="19"/>
        <v>44440</v>
      </c>
      <c r="V58" s="3489">
        <f t="shared" ref="V58:W58" si="20">EDATE(U58,-1)</f>
        <v>44409</v>
      </c>
      <c r="W58" s="3489">
        <f t="shared" si="20"/>
        <v>44378</v>
      </c>
      <c r="X58" s="3489">
        <f t="shared" ref="X58:Y58" si="21">EDATE(W58,-1)</f>
        <v>44348</v>
      </c>
      <c r="Y58" s="3489">
        <f t="shared" si="21"/>
        <v>44317</v>
      </c>
      <c r="Z58" s="3489">
        <f t="shared" ref="Z58:AA58" si="22">EDATE(Y58,-1)</f>
        <v>44287</v>
      </c>
      <c r="AA58" s="3489">
        <f t="shared" si="22"/>
        <v>44256</v>
      </c>
      <c r="AB58" s="3489">
        <f t="shared" ref="AB58" si="23">EDATE(AA58,-1)</f>
        <v>44228</v>
      </c>
      <c r="AC58" s="2723"/>
    </row>
    <row r="59" spans="1:29" s="108" customFormat="1" ht="15">
      <c r="A59" s="458"/>
      <c r="B59" s="459"/>
      <c r="C59" s="1183">
        <v>100</v>
      </c>
      <c r="D59" s="461">
        <v>100</v>
      </c>
      <c r="E59" s="461">
        <v>100</v>
      </c>
      <c r="F59" s="461">
        <v>100</v>
      </c>
      <c r="G59" s="461">
        <v>100</v>
      </c>
      <c r="H59" s="461">
        <v>100</v>
      </c>
      <c r="I59" s="461">
        <v>99</v>
      </c>
      <c r="J59" s="461">
        <v>99</v>
      </c>
      <c r="K59" s="461">
        <v>99</v>
      </c>
      <c r="L59" s="461">
        <v>99</v>
      </c>
      <c r="M59" s="462">
        <v>99</v>
      </c>
      <c r="N59" s="461">
        <v>99</v>
      </c>
      <c r="O59" s="462">
        <v>98</v>
      </c>
      <c r="P59" s="2724">
        <v>0.98</v>
      </c>
      <c r="Q59" s="2643">
        <v>98</v>
      </c>
      <c r="R59" s="2643">
        <v>98</v>
      </c>
      <c r="S59" s="2643">
        <v>98</v>
      </c>
      <c r="T59" s="2643">
        <v>98</v>
      </c>
      <c r="U59" s="2643">
        <v>97</v>
      </c>
      <c r="V59" s="2643">
        <v>97</v>
      </c>
      <c r="W59" s="2643">
        <v>97</v>
      </c>
      <c r="X59" s="2643">
        <v>97</v>
      </c>
      <c r="Y59" s="2643">
        <v>97</v>
      </c>
      <c r="Z59" s="2643">
        <v>97</v>
      </c>
      <c r="AA59" s="2643">
        <v>96</v>
      </c>
      <c r="AB59" s="2643">
        <v>96</v>
      </c>
      <c r="AC59" s="2643"/>
    </row>
    <row r="60" spans="1:29" s="108" customFormat="1" ht="15.75" thickBot="1">
      <c r="A60" s="464" t="s">
        <v>1715</v>
      </c>
      <c r="B60" s="465"/>
      <c r="C60" s="466"/>
      <c r="D60" s="467"/>
      <c r="E60" s="467"/>
      <c r="F60" s="467"/>
      <c r="G60" s="467"/>
      <c r="H60" s="467"/>
      <c r="I60" s="467"/>
      <c r="J60" s="467"/>
      <c r="K60" s="467"/>
      <c r="L60" s="467"/>
      <c r="M60" s="468"/>
      <c r="N60" s="467"/>
      <c r="O60" s="468"/>
      <c r="P60" s="2724"/>
      <c r="Q60" s="2721"/>
      <c r="R60" s="2643"/>
      <c r="S60" s="2643"/>
      <c r="T60" s="2643"/>
      <c r="U60" s="2643"/>
      <c r="V60" s="2643"/>
      <c r="W60" s="2643"/>
      <c r="X60" s="2643"/>
      <c r="Y60" s="2643"/>
      <c r="Z60" s="2643"/>
      <c r="AA60" s="2643"/>
      <c r="AB60" s="2643"/>
      <c r="AC60" s="2643"/>
    </row>
    <row r="61" spans="1:29" s="108" customFormat="1" ht="15">
      <c r="A61" s="470" t="s">
        <v>1680</v>
      </c>
      <c r="B61" s="459"/>
      <c r="C61" s="471" t="s">
        <v>1717</v>
      </c>
      <c r="D61" s="472"/>
      <c r="E61" s="472"/>
      <c r="F61" s="472"/>
      <c r="G61" s="472"/>
      <c r="H61" s="472"/>
      <c r="I61" s="472"/>
      <c r="J61" s="472"/>
      <c r="K61" s="472"/>
      <c r="L61" s="473"/>
      <c r="M61" s="474"/>
      <c r="N61" s="2734"/>
      <c r="O61" s="2734"/>
      <c r="P61" s="2725"/>
      <c r="Q61" s="2721"/>
      <c r="R61" s="2643"/>
      <c r="S61" s="2643"/>
      <c r="T61" s="2643"/>
      <c r="U61" s="2643"/>
      <c r="V61" s="2643"/>
      <c r="W61" s="2643"/>
      <c r="X61" s="2643"/>
      <c r="Y61" s="2643"/>
      <c r="Z61" s="2643"/>
      <c r="AA61" s="2643"/>
      <c r="AB61" s="2643"/>
      <c r="AC61" s="2643"/>
    </row>
    <row r="62" spans="1:29" s="108" customFormat="1" ht="15.75" thickBot="1">
      <c r="A62" s="470"/>
      <c r="B62" s="459"/>
      <c r="C62" s="460">
        <v>100</v>
      </c>
      <c r="D62" s="461"/>
      <c r="E62" s="461"/>
      <c r="F62" s="461"/>
      <c r="G62" s="461"/>
      <c r="H62" s="461"/>
      <c r="I62" s="461"/>
      <c r="J62" s="461"/>
      <c r="K62" s="461"/>
      <c r="L62" s="461"/>
      <c r="M62" s="463"/>
      <c r="N62" s="2734"/>
      <c r="O62" s="2734"/>
      <c r="P62" s="2724"/>
      <c r="Q62" s="2721"/>
      <c r="R62" s="2643"/>
      <c r="S62" s="2643"/>
      <c r="T62" s="2643"/>
      <c r="U62" s="2643"/>
      <c r="V62" s="2643"/>
      <c r="W62" s="2643"/>
      <c r="X62" s="2643"/>
      <c r="Y62" s="2643"/>
      <c r="Z62" s="2643"/>
      <c r="AA62" s="2643"/>
      <c r="AB62" s="2643"/>
      <c r="AC62" s="2643"/>
    </row>
    <row r="63" spans="1:29">
      <c r="A63" s="476" t="s">
        <v>1718</v>
      </c>
      <c r="B63" s="477" t="s">
        <v>1684</v>
      </c>
      <c r="C63" s="478" t="str">
        <f>C9</f>
        <v>商业</v>
      </c>
      <c r="D63" s="3444" t="s">
        <v>3522</v>
      </c>
      <c r="E63" s="479"/>
      <c r="F63" s="479"/>
      <c r="G63" s="479"/>
      <c r="H63" s="479"/>
      <c r="I63" s="479"/>
      <c r="J63" s="479"/>
      <c r="K63" s="480"/>
      <c r="L63" s="481"/>
      <c r="M63" s="482"/>
      <c r="N63" s="2735"/>
      <c r="O63" s="2735"/>
      <c r="P63" s="2726"/>
      <c r="Q63" s="2721"/>
      <c r="R63" s="2707"/>
      <c r="S63" s="2707"/>
      <c r="T63" s="2707"/>
      <c r="U63" s="2707"/>
      <c r="V63" s="2707"/>
      <c r="W63" s="2707"/>
      <c r="X63" s="2707"/>
      <c r="Y63" s="2707"/>
      <c r="Z63" s="2707"/>
      <c r="AA63" s="2707"/>
      <c r="AB63" s="2707"/>
      <c r="AC63" s="2707"/>
    </row>
    <row r="64" spans="1:29" ht="15.75" thickBot="1">
      <c r="A64" s="483"/>
      <c r="B64" s="484"/>
      <c r="C64" s="485">
        <v>100</v>
      </c>
      <c r="D64" s="485">
        <v>98</v>
      </c>
      <c r="E64" s="485"/>
      <c r="F64" s="485"/>
      <c r="G64" s="485"/>
      <c r="H64" s="485"/>
      <c r="I64" s="485"/>
      <c r="J64" s="485"/>
      <c r="K64" s="485"/>
      <c r="L64" s="485"/>
      <c r="M64" s="486"/>
      <c r="N64" s="2736"/>
      <c r="O64" s="2736"/>
      <c r="P64" s="2726"/>
      <c r="Q64" s="2721"/>
      <c r="R64" s="2707"/>
      <c r="S64" s="2707"/>
      <c r="T64" s="2707"/>
      <c r="U64" s="2707"/>
      <c r="V64" s="2707"/>
      <c r="W64" s="2707"/>
      <c r="X64" s="2707"/>
      <c r="Y64" s="2707"/>
      <c r="Z64" s="2707"/>
      <c r="AA64" s="2707"/>
      <c r="AB64" s="2707"/>
      <c r="AC64" s="2707"/>
    </row>
    <row r="65" spans="1:29" ht="27.75" thickTop="1">
      <c r="A65" s="483"/>
      <c r="B65" s="487" t="s">
        <v>1687</v>
      </c>
      <c r="C65" s="532" t="s">
        <v>3916</v>
      </c>
      <c r="D65" s="532" t="s">
        <v>3914</v>
      </c>
      <c r="E65" s="532"/>
      <c r="F65" s="532"/>
      <c r="G65" s="532"/>
      <c r="H65" s="532"/>
      <c r="I65" s="532"/>
      <c r="J65" s="532"/>
      <c r="K65" s="533"/>
      <c r="L65" s="534"/>
      <c r="M65" s="535"/>
      <c r="N65" s="2735"/>
      <c r="O65" s="2735"/>
      <c r="P65" s="2726"/>
      <c r="Q65" s="2721"/>
      <c r="R65" s="2707"/>
      <c r="S65" s="2707"/>
      <c r="T65" s="2707"/>
      <c r="U65" s="2707"/>
      <c r="V65" s="2707"/>
      <c r="W65" s="2707"/>
      <c r="X65" s="2707"/>
      <c r="Y65" s="2707"/>
      <c r="Z65" s="2707"/>
      <c r="AA65" s="2707"/>
      <c r="AB65" s="2707"/>
      <c r="AC65" s="2707"/>
    </row>
    <row r="66" spans="1:29" ht="15.75" thickBot="1">
      <c r="A66" s="483"/>
      <c r="B66" s="492"/>
      <c r="C66" s="485">
        <v>100</v>
      </c>
      <c r="D66" s="485">
        <v>98</v>
      </c>
      <c r="E66" s="485"/>
      <c r="F66" s="485"/>
      <c r="G66" s="485"/>
      <c r="H66" s="485"/>
      <c r="I66" s="485"/>
      <c r="J66" s="485"/>
      <c r="K66" s="485"/>
      <c r="L66" s="485"/>
      <c r="M66" s="486"/>
      <c r="N66" s="2736"/>
      <c r="O66" s="2736"/>
      <c r="P66" s="2726"/>
      <c r="Q66" s="2721"/>
      <c r="R66" s="2707"/>
      <c r="S66" s="2707"/>
      <c r="T66" s="2707"/>
      <c r="U66" s="2707"/>
      <c r="V66" s="2707"/>
      <c r="W66" s="2707"/>
      <c r="X66" s="2707"/>
      <c r="Y66" s="2707"/>
      <c r="Z66" s="2707"/>
      <c r="AA66" s="2707"/>
      <c r="AB66" s="2707"/>
      <c r="AC66" s="2707"/>
    </row>
    <row r="67" spans="1:29" ht="15.75" thickTop="1">
      <c r="A67" s="483"/>
      <c r="B67" s="495" t="s">
        <v>1688</v>
      </c>
      <c r="C67" s="496" t="str">
        <f>C68&amp;"（含）"&amp;"-"&amp;D68</f>
        <v>0（含）-1</v>
      </c>
      <c r="D67" s="496" t="str">
        <f t="shared" ref="D67:L67" si="24">D68&amp;"（含）"&amp;"-"&amp;E68</f>
        <v>1（含）-2</v>
      </c>
      <c r="E67" s="496" t="str">
        <f t="shared" si="24"/>
        <v>2（含）-3</v>
      </c>
      <c r="F67" s="496" t="str">
        <f t="shared" si="24"/>
        <v>3（含）-4</v>
      </c>
      <c r="G67" s="496" t="str">
        <f t="shared" si="24"/>
        <v>4（含）-</v>
      </c>
      <c r="H67" s="496" t="str">
        <f t="shared" si="24"/>
        <v>（含）-</v>
      </c>
      <c r="I67" s="496" t="str">
        <f t="shared" si="24"/>
        <v>（含）-</v>
      </c>
      <c r="J67" s="496" t="str">
        <f t="shared" si="24"/>
        <v>（含）-</v>
      </c>
      <c r="K67" s="496" t="str">
        <f t="shared" si="24"/>
        <v>（含）-</v>
      </c>
      <c r="L67" s="496" t="str">
        <f t="shared" si="24"/>
        <v>（含）-</v>
      </c>
      <c r="M67" s="399" t="str">
        <f>M68&amp;"（含）"&amp;"-"&amp;P68</f>
        <v>（含）-</v>
      </c>
      <c r="N67" s="2736"/>
      <c r="O67" s="2736"/>
      <c r="P67" s="2726"/>
      <c r="Q67" s="2721"/>
      <c r="R67" s="2707"/>
      <c r="S67" s="2707"/>
      <c r="T67" s="2707"/>
      <c r="U67" s="2707"/>
      <c r="V67" s="2707"/>
      <c r="W67" s="2707"/>
      <c r="X67" s="2707"/>
      <c r="Y67" s="2707"/>
      <c r="Z67" s="2707"/>
      <c r="AA67" s="2707"/>
      <c r="AB67" s="2707"/>
      <c r="AC67" s="2707"/>
    </row>
    <row r="68" spans="1:29" ht="15">
      <c r="A68" s="483"/>
      <c r="B68" s="497"/>
      <c r="C68" s="498">
        <v>0</v>
      </c>
      <c r="D68" s="498">
        <v>1</v>
      </c>
      <c r="E68" s="498">
        <v>2</v>
      </c>
      <c r="F68" s="498">
        <v>3</v>
      </c>
      <c r="G68" s="498">
        <v>4</v>
      </c>
      <c r="H68" s="498"/>
      <c r="I68" s="498"/>
      <c r="J68" s="498"/>
      <c r="K68" s="499"/>
      <c r="L68" s="500"/>
      <c r="M68" s="501"/>
      <c r="N68" s="2735"/>
      <c r="O68" s="2735"/>
      <c r="P68" s="2726"/>
      <c r="Q68" s="2721"/>
      <c r="R68" s="2707"/>
      <c r="S68" s="2707"/>
      <c r="T68" s="2707"/>
      <c r="U68" s="2707"/>
      <c r="V68" s="2707"/>
      <c r="W68" s="2707"/>
      <c r="X68" s="2707"/>
      <c r="Y68" s="2707"/>
      <c r="Z68" s="2707"/>
      <c r="AA68" s="2707"/>
      <c r="AB68" s="2707"/>
      <c r="AC68" s="2707"/>
    </row>
    <row r="69" spans="1:29" ht="15.75" thickBot="1">
      <c r="A69" s="483"/>
      <c r="B69" s="484"/>
      <c r="C69" s="493">
        <v>100</v>
      </c>
      <c r="D69" s="493">
        <f t="shared" ref="D69:M69" si="25">C69-$K11</f>
        <v>100</v>
      </c>
      <c r="E69" s="493">
        <f t="shared" si="25"/>
        <v>100</v>
      </c>
      <c r="F69" s="493">
        <f t="shared" si="25"/>
        <v>100</v>
      </c>
      <c r="G69" s="493">
        <f t="shared" si="25"/>
        <v>100</v>
      </c>
      <c r="H69" s="493">
        <f t="shared" si="25"/>
        <v>100</v>
      </c>
      <c r="I69" s="493">
        <f t="shared" si="25"/>
        <v>100</v>
      </c>
      <c r="J69" s="493">
        <f t="shared" si="25"/>
        <v>100</v>
      </c>
      <c r="K69" s="493">
        <f t="shared" si="25"/>
        <v>100</v>
      </c>
      <c r="L69" s="493">
        <f t="shared" si="25"/>
        <v>100</v>
      </c>
      <c r="M69" s="494">
        <f t="shared" si="25"/>
        <v>100</v>
      </c>
      <c r="N69" s="2736"/>
      <c r="O69" s="2736"/>
      <c r="P69" s="2726"/>
      <c r="Q69" s="2721"/>
      <c r="R69" s="2707"/>
      <c r="S69" s="2707"/>
      <c r="T69" s="2707"/>
      <c r="U69" s="2707"/>
      <c r="V69" s="2707"/>
      <c r="W69" s="2707"/>
      <c r="X69" s="2707"/>
      <c r="Y69" s="2707"/>
      <c r="Z69" s="2707"/>
      <c r="AA69" s="2707"/>
      <c r="AB69" s="2707"/>
      <c r="AC69" s="2707"/>
    </row>
    <row r="70" spans="1:29" s="422" customFormat="1" ht="15.75" thickTop="1">
      <c r="A70" s="502"/>
      <c r="B70" s="487">
        <f>B12</f>
        <v>111</v>
      </c>
      <c r="C70" s="503"/>
      <c r="D70" s="503"/>
      <c r="E70" s="503"/>
      <c r="F70" s="503"/>
      <c r="G70" s="503"/>
      <c r="H70" s="504"/>
      <c r="I70" s="504"/>
      <c r="J70" s="504"/>
      <c r="K70" s="504"/>
      <c r="L70" s="505"/>
      <c r="M70" s="506"/>
      <c r="N70" s="2737"/>
      <c r="O70" s="2737"/>
      <c r="P70" s="2727"/>
      <c r="Q70" s="2728"/>
      <c r="R70" s="2729"/>
      <c r="S70" s="2729"/>
      <c r="T70" s="2729"/>
      <c r="U70" s="2729"/>
      <c r="V70" s="2729"/>
      <c r="W70" s="2729"/>
      <c r="X70" s="2729"/>
      <c r="Y70" s="2729"/>
      <c r="Z70" s="2729"/>
      <c r="AA70" s="2729"/>
      <c r="AB70" s="2729"/>
      <c r="AC70" s="2729"/>
    </row>
    <row r="71" spans="1:29" s="422" customFormat="1" ht="15.75" thickBot="1">
      <c r="A71" s="502"/>
      <c r="B71" s="492"/>
      <c r="C71" s="509"/>
      <c r="D71" s="485"/>
      <c r="E71" s="485"/>
      <c r="F71" s="485"/>
      <c r="G71" s="485"/>
      <c r="H71" s="485"/>
      <c r="I71" s="485"/>
      <c r="J71" s="485"/>
      <c r="K71" s="485"/>
      <c r="L71" s="485"/>
      <c r="M71" s="486"/>
      <c r="N71" s="2736"/>
      <c r="O71" s="2736"/>
      <c r="P71" s="2727"/>
      <c r="Q71" s="2728"/>
      <c r="R71" s="2729"/>
      <c r="S71" s="2729"/>
      <c r="T71" s="2729"/>
      <c r="U71" s="2729"/>
      <c r="V71" s="2729"/>
      <c r="W71" s="2729"/>
      <c r="X71" s="2729"/>
      <c r="Y71" s="2729"/>
      <c r="Z71" s="2729"/>
      <c r="AA71" s="2729"/>
      <c r="AB71" s="2729"/>
      <c r="AC71" s="2729"/>
    </row>
    <row r="72" spans="1:29" s="422" customFormat="1" ht="15.75" thickTop="1">
      <c r="A72" s="502"/>
      <c r="B72" s="487">
        <f>B13</f>
        <v>111</v>
      </c>
      <c r="C72" s="503"/>
      <c r="D72" s="503"/>
      <c r="E72" s="503"/>
      <c r="F72" s="503"/>
      <c r="G72" s="503"/>
      <c r="H72" s="504"/>
      <c r="I72" s="504"/>
      <c r="J72" s="504"/>
      <c r="K72" s="504"/>
      <c r="L72" s="505"/>
      <c r="M72" s="506"/>
      <c r="N72" s="2737"/>
      <c r="O72" s="2737"/>
      <c r="P72" s="2730"/>
      <c r="Q72" s="2731"/>
      <c r="R72" s="2729"/>
      <c r="S72" s="2729"/>
      <c r="T72" s="2729"/>
      <c r="U72" s="2729"/>
      <c r="V72" s="2729"/>
      <c r="W72" s="2729"/>
      <c r="X72" s="2729"/>
      <c r="Y72" s="2729"/>
      <c r="Z72" s="2729"/>
      <c r="AA72" s="2729"/>
      <c r="AB72" s="2729"/>
      <c r="AC72" s="2729"/>
    </row>
    <row r="73" spans="1:29" s="422" customFormat="1" ht="15.75" thickBot="1">
      <c r="A73" s="502"/>
      <c r="B73" s="492"/>
      <c r="C73" s="509"/>
      <c r="D73" s="485"/>
      <c r="E73" s="485"/>
      <c r="F73" s="485"/>
      <c r="G73" s="509"/>
      <c r="H73" s="511"/>
      <c r="I73" s="511"/>
      <c r="J73" s="511"/>
      <c r="K73" s="511"/>
      <c r="L73" s="511"/>
      <c r="M73" s="512"/>
      <c r="N73" s="2737"/>
      <c r="O73" s="2737"/>
      <c r="P73" s="2727"/>
      <c r="Q73" s="2728"/>
      <c r="R73" s="2729"/>
      <c r="S73" s="2729"/>
      <c r="T73" s="2729"/>
      <c r="U73" s="2729"/>
      <c r="V73" s="2729"/>
      <c r="W73" s="2729"/>
      <c r="X73" s="2729"/>
      <c r="Y73" s="2729"/>
      <c r="Z73" s="2729"/>
      <c r="AA73" s="2729"/>
      <c r="AB73" s="2729"/>
      <c r="AC73" s="2729"/>
    </row>
    <row r="74" spans="1:29" s="422" customFormat="1" ht="15.75" thickTop="1">
      <c r="A74" s="502"/>
      <c r="B74" s="495">
        <f>B14</f>
        <v>111</v>
      </c>
      <c r="C74" s="503"/>
      <c r="D74" s="503"/>
      <c r="E74" s="503"/>
      <c r="F74" s="503"/>
      <c r="G74" s="472"/>
      <c r="H74" s="513"/>
      <c r="I74" s="513"/>
      <c r="J74" s="513"/>
      <c r="K74" s="513"/>
      <c r="L74" s="514"/>
      <c r="M74" s="515"/>
      <c r="N74" s="2737"/>
      <c r="O74" s="2737"/>
      <c r="P74" s="2732"/>
      <c r="Q74" s="2728"/>
      <c r="R74" s="2729"/>
      <c r="S74" s="2729"/>
      <c r="T74" s="2729"/>
      <c r="U74" s="2729"/>
      <c r="V74" s="2729"/>
      <c r="W74" s="2729"/>
      <c r="X74" s="2729"/>
      <c r="Y74" s="2729"/>
      <c r="Z74" s="2729"/>
      <c r="AA74" s="2729"/>
      <c r="AB74" s="2729"/>
      <c r="AC74" s="2729"/>
    </row>
    <row r="75" spans="1:29" s="422" customFormat="1" ht="15.75" thickBot="1">
      <c r="A75" s="517"/>
      <c r="B75" s="518"/>
      <c r="C75" s="519"/>
      <c r="D75" s="519"/>
      <c r="E75" s="519"/>
      <c r="F75" s="519"/>
      <c r="G75" s="519"/>
      <c r="H75" s="520"/>
      <c r="I75" s="520"/>
      <c r="J75" s="520"/>
      <c r="K75" s="520"/>
      <c r="L75" s="520"/>
      <c r="M75" s="521"/>
      <c r="N75" s="2737"/>
      <c r="O75" s="2737"/>
      <c r="P75" s="2727"/>
      <c r="Q75" s="2728"/>
      <c r="R75" s="2729"/>
      <c r="S75" s="2729"/>
      <c r="T75" s="2729"/>
      <c r="U75" s="2729"/>
      <c r="V75" s="2729"/>
      <c r="W75" s="2729"/>
      <c r="X75" s="2729"/>
      <c r="Y75" s="2729"/>
      <c r="Z75" s="2729"/>
      <c r="AA75" s="2729"/>
      <c r="AB75" s="2729"/>
      <c r="AC75" s="2729"/>
    </row>
    <row r="76" spans="1:29">
      <c r="A76" s="476" t="s">
        <v>1689</v>
      </c>
      <c r="B76" s="477" t="s">
        <v>1719</v>
      </c>
      <c r="C76" s="522" t="s">
        <v>1720</v>
      </c>
      <c r="D76" s="522" t="s">
        <v>1721</v>
      </c>
      <c r="E76" s="522" t="s">
        <v>1722</v>
      </c>
      <c r="F76" s="522" t="s">
        <v>1723</v>
      </c>
      <c r="G76" s="522" t="s">
        <v>1724</v>
      </c>
      <c r="H76" s="478"/>
      <c r="I76" s="478"/>
      <c r="J76" s="478"/>
      <c r="K76" s="523"/>
      <c r="L76" s="524"/>
      <c r="M76" s="525"/>
      <c r="N76" s="2735"/>
      <c r="O76" s="2735"/>
      <c r="P76" s="2733"/>
      <c r="Q76" s="2721"/>
      <c r="R76" s="2707"/>
      <c r="S76" s="2707"/>
      <c r="T76" s="2707"/>
      <c r="U76" s="2707"/>
      <c r="V76" s="2707"/>
      <c r="W76" s="2707"/>
      <c r="X76" s="2707"/>
      <c r="Y76" s="2707"/>
      <c r="Z76" s="2707"/>
      <c r="AA76" s="2707"/>
      <c r="AB76" s="2707"/>
      <c r="AC76" s="2707"/>
    </row>
    <row r="77" spans="1:29" ht="15.75" thickBot="1">
      <c r="A77" s="483"/>
      <c r="B77" s="492"/>
      <c r="C77" s="493">
        <v>100</v>
      </c>
      <c r="D77" s="493">
        <f>C77-$K15</f>
        <v>95</v>
      </c>
      <c r="E77" s="493">
        <f>D77-$K15</f>
        <v>90</v>
      </c>
      <c r="F77" s="493">
        <f>E77-$K15</f>
        <v>85</v>
      </c>
      <c r="G77" s="493">
        <f>F77-$K15</f>
        <v>80</v>
      </c>
      <c r="H77" s="493"/>
      <c r="I77" s="493"/>
      <c r="J77" s="493"/>
      <c r="K77" s="493"/>
      <c r="L77" s="493"/>
      <c r="M77" s="494"/>
      <c r="N77" s="2736"/>
      <c r="O77" s="2736"/>
      <c r="P77" s="2726"/>
      <c r="Q77" s="2721"/>
      <c r="R77" s="2707"/>
      <c r="S77" s="2707"/>
      <c r="T77" s="2707"/>
      <c r="U77" s="2707"/>
      <c r="V77" s="2707"/>
      <c r="W77" s="2707"/>
      <c r="X77" s="2707"/>
      <c r="Y77" s="2707"/>
      <c r="Z77" s="2707"/>
      <c r="AA77" s="2707"/>
      <c r="AB77" s="2707"/>
      <c r="AC77" s="2707"/>
    </row>
    <row r="78" spans="1:29" ht="15.75" thickTop="1">
      <c r="A78" s="483"/>
      <c r="B78" s="487" t="s">
        <v>1725</v>
      </c>
      <c r="C78" s="527" t="s">
        <v>1720</v>
      </c>
      <c r="D78" s="527" t="s">
        <v>1721</v>
      </c>
      <c r="E78" s="527" t="s">
        <v>1722</v>
      </c>
      <c r="F78" s="527" t="s">
        <v>1723</v>
      </c>
      <c r="G78" s="527" t="s">
        <v>1724</v>
      </c>
      <c r="H78" s="488"/>
      <c r="I78" s="488"/>
      <c r="J78" s="488"/>
      <c r="K78" s="489"/>
      <c r="L78" s="490"/>
      <c r="M78" s="491"/>
      <c r="N78" s="2735"/>
      <c r="O78" s="2735"/>
      <c r="P78" s="2726"/>
      <c r="Q78" s="2721"/>
      <c r="R78" s="2707"/>
      <c r="S78" s="2707"/>
      <c r="T78" s="2707"/>
      <c r="U78" s="2707"/>
      <c r="V78" s="2707"/>
      <c r="W78" s="2707"/>
      <c r="X78" s="2707"/>
      <c r="Y78" s="2707"/>
      <c r="Z78" s="2707"/>
      <c r="AA78" s="2707"/>
      <c r="AB78" s="2707"/>
      <c r="AC78" s="2707"/>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6"/>
      <c r="O79" s="2736"/>
      <c r="P79" s="2726"/>
      <c r="Q79" s="2721"/>
      <c r="R79" s="2707"/>
      <c r="S79" s="2707"/>
      <c r="T79" s="2707"/>
      <c r="U79" s="2707"/>
      <c r="V79" s="2707"/>
      <c r="W79" s="2707"/>
      <c r="X79" s="2707"/>
      <c r="Y79" s="2707"/>
      <c r="Z79" s="2707"/>
      <c r="AA79" s="2707"/>
      <c r="AB79" s="2707"/>
      <c r="AC79" s="2707"/>
    </row>
    <row r="80" spans="1:29" ht="15.75" thickTop="1">
      <c r="A80" s="483"/>
      <c r="B80" s="487" t="s">
        <v>1726</v>
      </c>
      <c r="C80" s="527" t="s">
        <v>1720</v>
      </c>
      <c r="D80" s="527" t="s">
        <v>1721</v>
      </c>
      <c r="E80" s="527" t="s">
        <v>1722</v>
      </c>
      <c r="F80" s="527" t="s">
        <v>1723</v>
      </c>
      <c r="G80" s="527" t="s">
        <v>1724</v>
      </c>
      <c r="H80" s="488"/>
      <c r="I80" s="488"/>
      <c r="J80" s="488"/>
      <c r="K80" s="489"/>
      <c r="L80" s="490"/>
      <c r="M80" s="491"/>
      <c r="N80" s="2735"/>
      <c r="O80" s="2735"/>
      <c r="P80" s="2726"/>
      <c r="Q80" s="2721"/>
      <c r="R80" s="2707"/>
      <c r="S80" s="2707"/>
      <c r="T80" s="2707"/>
      <c r="U80" s="2707"/>
      <c r="V80" s="2707"/>
      <c r="W80" s="2707"/>
      <c r="X80" s="2707"/>
      <c r="Y80" s="2707"/>
      <c r="Z80" s="2707"/>
      <c r="AA80" s="2707"/>
      <c r="AB80" s="2707"/>
      <c r="AC80" s="2707"/>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6"/>
      <c r="O81" s="2736"/>
      <c r="P81" s="2726"/>
      <c r="Q81" s="2721"/>
      <c r="R81" s="2707"/>
      <c r="S81" s="2707"/>
      <c r="T81" s="2707"/>
      <c r="U81" s="2707"/>
      <c r="V81" s="2707"/>
      <c r="W81" s="2707"/>
      <c r="X81" s="2707"/>
      <c r="Y81" s="2707"/>
      <c r="Z81" s="2707"/>
      <c r="AA81" s="2707"/>
      <c r="AB81" s="2707"/>
      <c r="AC81" s="2707"/>
    </row>
    <row r="82" spans="1:29" ht="15.75" thickTop="1">
      <c r="A82" s="483"/>
      <c r="B82" s="495" t="s">
        <v>1778</v>
      </c>
      <c r="C82" s="608" t="s">
        <v>1798</v>
      </c>
      <c r="D82" s="608" t="s">
        <v>1799</v>
      </c>
      <c r="E82" s="608" t="s">
        <v>1800</v>
      </c>
      <c r="F82" s="608" t="s">
        <v>1801</v>
      </c>
      <c r="G82" s="608" t="s">
        <v>1802</v>
      </c>
      <c r="H82" s="488"/>
      <c r="I82" s="488"/>
      <c r="J82" s="488"/>
      <c r="K82" s="488"/>
      <c r="L82" s="488"/>
      <c r="M82" s="1129"/>
      <c r="N82" s="2736"/>
      <c r="O82" s="2736"/>
      <c r="P82" s="2726"/>
      <c r="Q82" s="2721"/>
      <c r="R82" s="2707"/>
      <c r="S82" s="2707"/>
      <c r="T82" s="2707"/>
      <c r="U82" s="2707"/>
      <c r="V82" s="2707"/>
      <c r="W82" s="2707"/>
      <c r="X82" s="2707"/>
      <c r="Y82" s="2707"/>
      <c r="Z82" s="2707"/>
      <c r="AA82" s="2707"/>
      <c r="AB82" s="2707"/>
      <c r="AC82" s="2707"/>
    </row>
    <row r="83" spans="1:29" ht="15.75" thickBot="1">
      <c r="A83" s="483"/>
      <c r="B83" s="495"/>
      <c r="C83" s="493">
        <v>100</v>
      </c>
      <c r="D83" s="493">
        <f>C83-$K21</f>
        <v>100</v>
      </c>
      <c r="E83" s="493">
        <f t="shared" ref="E83:G83" si="26">D83-$K21</f>
        <v>100</v>
      </c>
      <c r="F83" s="493">
        <f t="shared" si="26"/>
        <v>100</v>
      </c>
      <c r="G83" s="493">
        <f t="shared" si="26"/>
        <v>100</v>
      </c>
      <c r="H83" s="608"/>
      <c r="I83" s="608"/>
      <c r="J83" s="608"/>
      <c r="K83" s="608"/>
      <c r="L83" s="608"/>
      <c r="M83" s="401"/>
      <c r="N83" s="2736"/>
      <c r="O83" s="2736"/>
      <c r="P83" s="2726"/>
      <c r="Q83" s="2721"/>
      <c r="R83" s="2707"/>
      <c r="S83" s="2707"/>
      <c r="T83" s="2707"/>
      <c r="U83" s="2707"/>
      <c r="V83" s="2707"/>
      <c r="W83" s="2707"/>
      <c r="X83" s="2707"/>
      <c r="Y83" s="2707"/>
      <c r="Z83" s="2707"/>
      <c r="AA83" s="2707"/>
      <c r="AB83" s="2707"/>
      <c r="AC83" s="2707"/>
    </row>
    <row r="84" spans="1:29" ht="15.75" thickTop="1">
      <c r="A84" s="483"/>
      <c r="B84" s="487" t="s">
        <v>1732</v>
      </c>
      <c r="C84" s="527" t="s">
        <v>1720</v>
      </c>
      <c r="D84" s="527" t="s">
        <v>1721</v>
      </c>
      <c r="E84" s="527" t="s">
        <v>1722</v>
      </c>
      <c r="F84" s="527" t="s">
        <v>1723</v>
      </c>
      <c r="G84" s="527" t="s">
        <v>1724</v>
      </c>
      <c r="H84" s="488"/>
      <c r="I84" s="488"/>
      <c r="J84" s="488"/>
      <c r="K84" s="489"/>
      <c r="L84" s="490"/>
      <c r="M84" s="491"/>
      <c r="N84" s="2735"/>
      <c r="O84" s="2735"/>
      <c r="P84" s="2726"/>
      <c r="Q84" s="2721"/>
      <c r="R84" s="2707"/>
      <c r="S84" s="2707"/>
      <c r="T84" s="2707"/>
      <c r="U84" s="2707"/>
      <c r="V84" s="2707"/>
      <c r="W84" s="2707"/>
      <c r="X84" s="2707"/>
      <c r="Y84" s="2707"/>
      <c r="Z84" s="2707"/>
      <c r="AA84" s="2707"/>
      <c r="AB84" s="2707"/>
      <c r="AC84" s="2707"/>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6"/>
      <c r="O85" s="2736"/>
      <c r="P85" s="2726"/>
      <c r="Q85" s="2721"/>
      <c r="R85" s="2707"/>
      <c r="S85" s="2707"/>
      <c r="T85" s="2707"/>
      <c r="U85" s="2707"/>
      <c r="V85" s="2707"/>
      <c r="W85" s="2707"/>
      <c r="X85" s="2707"/>
      <c r="Y85" s="2707"/>
      <c r="Z85" s="2707"/>
      <c r="AA85" s="2707"/>
      <c r="AB85" s="2707"/>
      <c r="AC85" s="2707"/>
    </row>
    <row r="86" spans="1:29" s="108" customFormat="1" ht="15.75" thickTop="1">
      <c r="A86" s="528"/>
      <c r="B86" s="487" t="s">
        <v>1803</v>
      </c>
      <c r="C86" s="3454" t="s">
        <v>3920</v>
      </c>
      <c r="D86" s="3454" t="s">
        <v>3921</v>
      </c>
      <c r="E86" s="3454" t="s">
        <v>3911</v>
      </c>
      <c r="F86" s="503"/>
      <c r="G86" s="503"/>
      <c r="H86" s="503"/>
      <c r="I86" s="503"/>
      <c r="J86" s="503"/>
      <c r="K86" s="503"/>
      <c r="L86" s="529"/>
      <c r="M86" s="530"/>
      <c r="N86" s="2734"/>
      <c r="O86" s="2734"/>
      <c r="P86" s="2726"/>
      <c r="Q86" s="2721"/>
      <c r="R86" s="2643"/>
      <c r="S86" s="2643"/>
      <c r="T86" s="2643"/>
      <c r="U86" s="2643"/>
      <c r="V86" s="2643"/>
      <c r="W86" s="2643"/>
      <c r="X86" s="2643"/>
      <c r="Y86" s="2643"/>
      <c r="Z86" s="2643"/>
      <c r="AA86" s="2643"/>
      <c r="AB86" s="2643"/>
      <c r="AC86" s="2643"/>
    </row>
    <row r="87" spans="1:29" s="108" customFormat="1" ht="15.75" thickBot="1">
      <c r="A87" s="528"/>
      <c r="B87" s="492"/>
      <c r="C87" s="531">
        <v>100</v>
      </c>
      <c r="D87" s="493">
        <f t="shared" ref="D87:M87" si="27">C87-$K25</f>
        <v>99</v>
      </c>
      <c r="E87" s="493">
        <f t="shared" si="27"/>
        <v>98</v>
      </c>
      <c r="F87" s="493">
        <f t="shared" si="27"/>
        <v>97</v>
      </c>
      <c r="G87" s="493">
        <f t="shared" si="27"/>
        <v>96</v>
      </c>
      <c r="H87" s="493">
        <f t="shared" si="27"/>
        <v>95</v>
      </c>
      <c r="I87" s="493">
        <f t="shared" si="27"/>
        <v>94</v>
      </c>
      <c r="J87" s="493">
        <f t="shared" si="27"/>
        <v>93</v>
      </c>
      <c r="K87" s="493">
        <f t="shared" si="27"/>
        <v>92</v>
      </c>
      <c r="L87" s="493">
        <f t="shared" si="27"/>
        <v>91</v>
      </c>
      <c r="M87" s="493">
        <f t="shared" si="27"/>
        <v>90</v>
      </c>
      <c r="N87" s="2736"/>
      <c r="O87" s="2736"/>
      <c r="P87" s="2726"/>
      <c r="Q87" s="2721"/>
      <c r="R87" s="2643"/>
      <c r="S87" s="2643"/>
      <c r="T87" s="2643"/>
      <c r="U87" s="2643"/>
      <c r="V87" s="2643"/>
      <c r="W87" s="2643"/>
      <c r="X87" s="2643"/>
      <c r="Y87" s="2643"/>
      <c r="Z87" s="2643"/>
      <c r="AA87" s="2643"/>
      <c r="AB87" s="2643"/>
      <c r="AC87" s="2643"/>
    </row>
    <row r="88" spans="1:29" s="108" customFormat="1" ht="15.75" thickTop="1">
      <c r="A88" s="528"/>
      <c r="B88" s="487" t="str">
        <f>B26</f>
        <v>平面位置/可视性</v>
      </c>
      <c r="C88" s="503"/>
      <c r="D88" s="503"/>
      <c r="E88" s="503"/>
      <c r="F88" s="1927"/>
      <c r="G88" s="503"/>
      <c r="H88" s="503"/>
      <c r="I88" s="503"/>
      <c r="J88" s="503"/>
      <c r="K88" s="503"/>
      <c r="L88" s="503"/>
      <c r="M88" s="530"/>
      <c r="N88" s="2734"/>
      <c r="O88" s="2734"/>
      <c r="P88" s="2726"/>
      <c r="Q88" s="2721"/>
      <c r="R88" s="2643"/>
      <c r="S88" s="2643"/>
      <c r="T88" s="2643"/>
      <c r="U88" s="2643"/>
      <c r="V88" s="2643"/>
      <c r="W88" s="2643"/>
      <c r="X88" s="2643"/>
      <c r="Y88" s="2643"/>
      <c r="Z88" s="2643"/>
      <c r="AA88" s="2643"/>
      <c r="AB88" s="2643"/>
      <c r="AC88" s="2643"/>
    </row>
    <row r="89" spans="1:29" s="108" customFormat="1" ht="15.75" thickBot="1">
      <c r="A89" s="528"/>
      <c r="B89" s="492"/>
      <c r="C89" s="509"/>
      <c r="D89" s="485"/>
      <c r="E89" s="485"/>
      <c r="F89" s="485"/>
      <c r="G89" s="485"/>
      <c r="H89" s="485"/>
      <c r="I89" s="485"/>
      <c r="J89" s="485"/>
      <c r="K89" s="485"/>
      <c r="L89" s="485"/>
      <c r="M89" s="485"/>
      <c r="N89" s="2736"/>
      <c r="O89" s="2736"/>
      <c r="P89" s="2726"/>
      <c r="Q89" s="2721"/>
      <c r="R89" s="2643"/>
      <c r="S89" s="2643"/>
      <c r="T89" s="2643"/>
      <c r="U89" s="2643"/>
      <c r="V89" s="2643"/>
      <c r="W89" s="2643"/>
      <c r="X89" s="2643"/>
      <c r="Y89" s="2643"/>
      <c r="Z89" s="2643"/>
      <c r="AA89" s="2643"/>
      <c r="AB89" s="2643"/>
      <c r="AC89" s="2643"/>
    </row>
    <row r="90" spans="1:29" s="422" customFormat="1" ht="15.75" thickTop="1">
      <c r="A90" s="502"/>
      <c r="B90" s="487" t="str">
        <f>B27</f>
        <v>人流量</v>
      </c>
      <c r="C90" s="3454" t="s">
        <v>3526</v>
      </c>
      <c r="D90" s="3454" t="s">
        <v>3528</v>
      </c>
      <c r="E90" s="3454" t="s">
        <v>3527</v>
      </c>
      <c r="F90" s="3454" t="s">
        <v>3531</v>
      </c>
      <c r="G90" s="3454" t="s">
        <v>3532</v>
      </c>
      <c r="H90" s="504"/>
      <c r="I90" s="504"/>
      <c r="J90" s="504"/>
      <c r="K90" s="504"/>
      <c r="L90" s="505"/>
      <c r="M90" s="506"/>
      <c r="N90" s="2737"/>
      <c r="O90" s="2737"/>
      <c r="P90" s="2727"/>
      <c r="Q90" s="2728"/>
      <c r="R90" s="2729"/>
      <c r="S90" s="2729"/>
      <c r="T90" s="2729"/>
      <c r="U90" s="2729"/>
      <c r="V90" s="2729"/>
      <c r="W90" s="2729"/>
      <c r="X90" s="2729"/>
      <c r="Y90" s="2729"/>
      <c r="Z90" s="2729"/>
      <c r="AA90" s="2729"/>
      <c r="AB90" s="2729"/>
      <c r="AC90" s="2729"/>
    </row>
    <row r="91" spans="1:29" s="422" customFormat="1" ht="15.75" thickBot="1">
      <c r="A91" s="502"/>
      <c r="B91" s="492"/>
      <c r="C91" s="531">
        <v>100</v>
      </c>
      <c r="D91" s="493">
        <f>C91-$K27</f>
        <v>95</v>
      </c>
      <c r="E91" s="493">
        <f t="shared" ref="E91:M91" si="28">D91-$K27</f>
        <v>90</v>
      </c>
      <c r="F91" s="493">
        <f t="shared" si="28"/>
        <v>85</v>
      </c>
      <c r="G91" s="493">
        <f t="shared" si="28"/>
        <v>80</v>
      </c>
      <c r="H91" s="493">
        <f t="shared" si="28"/>
        <v>75</v>
      </c>
      <c r="I91" s="493">
        <f t="shared" si="28"/>
        <v>70</v>
      </c>
      <c r="J91" s="493">
        <f t="shared" si="28"/>
        <v>65</v>
      </c>
      <c r="K91" s="493">
        <f t="shared" si="28"/>
        <v>60</v>
      </c>
      <c r="L91" s="493">
        <f t="shared" si="28"/>
        <v>55</v>
      </c>
      <c r="M91" s="493">
        <f t="shared" si="28"/>
        <v>50</v>
      </c>
      <c r="N91" s="2737"/>
      <c r="O91" s="2737"/>
      <c r="P91" s="2727"/>
      <c r="Q91" s="2728"/>
      <c r="R91" s="2729"/>
      <c r="S91" s="2729"/>
      <c r="T91" s="2729"/>
      <c r="U91" s="2729"/>
      <c r="V91" s="2729"/>
      <c r="W91" s="2729"/>
      <c r="X91" s="2729"/>
      <c r="Y91" s="2729"/>
      <c r="Z91" s="2729"/>
      <c r="AA91" s="2729"/>
      <c r="AB91" s="2729"/>
      <c r="AC91" s="2729"/>
    </row>
    <row r="92" spans="1:29" ht="15.75" thickTop="1">
      <c r="A92" s="483"/>
      <c r="B92" s="487" t="str">
        <f>B28</f>
        <v>楼层</v>
      </c>
      <c r="C92" s="503"/>
      <c r="D92" s="503"/>
      <c r="E92" s="503"/>
      <c r="F92" s="503"/>
      <c r="G92" s="503"/>
      <c r="H92" s="503"/>
      <c r="I92" s="503"/>
      <c r="J92" s="503"/>
      <c r="K92" s="503"/>
      <c r="L92" s="529"/>
      <c r="M92" s="530"/>
      <c r="N92" s="2735"/>
      <c r="O92" s="2735"/>
      <c r="P92" s="2726"/>
      <c r="Q92" s="2721"/>
      <c r="R92" s="2707"/>
      <c r="S92" s="2707"/>
      <c r="T92" s="2707"/>
      <c r="U92" s="2707"/>
      <c r="V92" s="2707"/>
      <c r="W92" s="2707"/>
      <c r="X92" s="2707"/>
      <c r="Y92" s="2707"/>
      <c r="Z92" s="2707"/>
      <c r="AA92" s="2707"/>
      <c r="AB92" s="2707"/>
      <c r="AC92" s="2707"/>
    </row>
    <row r="93" spans="1:29" ht="15.75" thickBot="1">
      <c r="A93" s="483"/>
      <c r="B93" s="492"/>
      <c r="C93" s="485"/>
      <c r="D93" s="485"/>
      <c r="E93" s="485"/>
      <c r="F93" s="485"/>
      <c r="G93" s="485"/>
      <c r="H93" s="485"/>
      <c r="I93" s="485"/>
      <c r="J93" s="485"/>
      <c r="K93" s="485"/>
      <c r="L93" s="485"/>
      <c r="M93" s="486"/>
      <c r="N93" s="2736"/>
      <c r="O93" s="2736"/>
      <c r="P93" s="2726"/>
      <c r="Q93" s="2721"/>
      <c r="R93" s="2707"/>
      <c r="S93" s="2707"/>
      <c r="T93" s="2707"/>
      <c r="U93" s="2707"/>
      <c r="V93" s="2707"/>
      <c r="W93" s="2707"/>
      <c r="X93" s="2707"/>
      <c r="Y93" s="2707"/>
      <c r="Z93" s="2707"/>
      <c r="AA93" s="2707"/>
      <c r="AB93" s="2707"/>
      <c r="AC93" s="2707"/>
    </row>
    <row r="94" spans="1:29" ht="15.75" thickTop="1">
      <c r="A94" s="483"/>
      <c r="B94" s="487">
        <f>B29</f>
        <v>111</v>
      </c>
      <c r="C94" s="503"/>
      <c r="D94" s="503"/>
      <c r="E94" s="503"/>
      <c r="F94" s="503"/>
      <c r="G94" s="532"/>
      <c r="H94" s="532"/>
      <c r="I94" s="532"/>
      <c r="J94" s="532"/>
      <c r="K94" s="533"/>
      <c r="L94" s="534"/>
      <c r="M94" s="535"/>
      <c r="N94" s="2735"/>
      <c r="O94" s="2735"/>
      <c r="P94" s="2726"/>
      <c r="Q94" s="2721"/>
      <c r="R94" s="2707"/>
      <c r="S94" s="2707"/>
      <c r="T94" s="2707"/>
      <c r="U94" s="2707"/>
      <c r="V94" s="2707"/>
      <c r="W94" s="2707"/>
      <c r="X94" s="2707"/>
      <c r="Y94" s="2707"/>
      <c r="Z94" s="2707"/>
      <c r="AA94" s="2707"/>
      <c r="AB94" s="2707"/>
      <c r="AC94" s="2707"/>
    </row>
    <row r="95" spans="1:29" ht="15.75" thickBot="1">
      <c r="A95" s="483"/>
      <c r="B95" s="492"/>
      <c r="C95" s="509"/>
      <c r="D95" s="485"/>
      <c r="E95" s="485"/>
      <c r="F95" s="485"/>
      <c r="G95" s="485"/>
      <c r="H95" s="485"/>
      <c r="I95" s="485"/>
      <c r="J95" s="485"/>
      <c r="K95" s="485"/>
      <c r="L95" s="485"/>
      <c r="M95" s="486"/>
      <c r="N95" s="2736"/>
      <c r="O95" s="2736"/>
      <c r="P95" s="2726"/>
      <c r="Q95" s="2721"/>
      <c r="R95" s="2707"/>
      <c r="S95" s="2707"/>
      <c r="T95" s="2707"/>
      <c r="U95" s="2707"/>
      <c r="V95" s="2707"/>
      <c r="W95" s="2707"/>
      <c r="X95" s="2707"/>
      <c r="Y95" s="2707"/>
      <c r="Z95" s="2707"/>
      <c r="AA95" s="2707"/>
      <c r="AB95" s="2707"/>
      <c r="AC95" s="2707"/>
    </row>
    <row r="96" spans="1:29" ht="15.75" thickTop="1">
      <c r="A96" s="483"/>
      <c r="B96" s="487">
        <f>B30</f>
        <v>111</v>
      </c>
      <c r="C96" s="503"/>
      <c r="D96" s="503"/>
      <c r="E96" s="503"/>
      <c r="F96" s="503"/>
      <c r="G96" s="532"/>
      <c r="H96" s="532"/>
      <c r="I96" s="532"/>
      <c r="J96" s="532"/>
      <c r="K96" s="533"/>
      <c r="L96" s="534"/>
      <c r="M96" s="535"/>
      <c r="N96" s="2735"/>
      <c r="O96" s="2735"/>
      <c r="P96" s="2726"/>
      <c r="Q96" s="2721"/>
      <c r="R96" s="2707"/>
      <c r="S96" s="2707"/>
      <c r="T96" s="2707"/>
      <c r="U96" s="2707"/>
      <c r="V96" s="2707"/>
      <c r="W96" s="2707"/>
      <c r="X96" s="2707"/>
      <c r="Y96" s="2707"/>
      <c r="Z96" s="2707"/>
      <c r="AA96" s="2707"/>
      <c r="AB96" s="2707"/>
      <c r="AC96" s="2707"/>
    </row>
    <row r="97" spans="1:29" ht="15.75" thickBot="1">
      <c r="A97" s="483"/>
      <c r="B97" s="492"/>
      <c r="C97" s="509"/>
      <c r="D97" s="485"/>
      <c r="E97" s="485"/>
      <c r="F97" s="485"/>
      <c r="G97" s="485"/>
      <c r="H97" s="485"/>
      <c r="I97" s="485"/>
      <c r="J97" s="485"/>
      <c r="K97" s="485"/>
      <c r="L97" s="485"/>
      <c r="M97" s="486"/>
      <c r="N97" s="2736"/>
      <c r="O97" s="2736"/>
      <c r="P97" s="2726"/>
      <c r="Q97" s="2721"/>
      <c r="R97" s="2707"/>
      <c r="S97" s="2707"/>
      <c r="T97" s="2707"/>
      <c r="U97" s="2707"/>
      <c r="V97" s="2707"/>
      <c r="W97" s="2707"/>
      <c r="X97" s="2707"/>
      <c r="Y97" s="2707"/>
      <c r="Z97" s="2707"/>
      <c r="AA97" s="2707"/>
      <c r="AB97" s="2707"/>
      <c r="AC97" s="2707"/>
    </row>
    <row r="98" spans="1:29" ht="15.75" thickTop="1">
      <c r="A98" s="483"/>
      <c r="B98" s="495">
        <f>B31</f>
        <v>111</v>
      </c>
      <c r="C98" s="503"/>
      <c r="D98" s="503"/>
      <c r="E98" s="503"/>
      <c r="F98" s="503"/>
      <c r="G98" s="536"/>
      <c r="H98" s="536"/>
      <c r="I98" s="536"/>
      <c r="J98" s="536"/>
      <c r="K98" s="537"/>
      <c r="L98" s="538"/>
      <c r="M98" s="539"/>
      <c r="N98" s="2735"/>
      <c r="O98" s="2735"/>
      <c r="P98" s="2726"/>
      <c r="Q98" s="2721"/>
      <c r="R98" s="2707"/>
      <c r="S98" s="2707"/>
      <c r="T98" s="2707"/>
      <c r="U98" s="2707"/>
      <c r="V98" s="2707"/>
      <c r="W98" s="2707"/>
      <c r="X98" s="2707"/>
      <c r="Y98" s="2707"/>
      <c r="Z98" s="2707"/>
      <c r="AA98" s="2707"/>
      <c r="AB98" s="2707"/>
      <c r="AC98" s="2707"/>
    </row>
    <row r="99" spans="1:29" ht="15.75" thickBot="1">
      <c r="A99" s="1928"/>
      <c r="B99" s="518"/>
      <c r="C99" s="519"/>
      <c r="D99" s="519"/>
      <c r="E99" s="519"/>
      <c r="F99" s="519"/>
      <c r="G99" s="540"/>
      <c r="H99" s="540"/>
      <c r="I99" s="540"/>
      <c r="J99" s="540"/>
      <c r="K99" s="540"/>
      <c r="L99" s="540"/>
      <c r="M99" s="541"/>
      <c r="N99" s="2736"/>
      <c r="O99" s="2736"/>
      <c r="P99" s="2726"/>
      <c r="Q99" s="2721"/>
      <c r="R99" s="2707"/>
      <c r="S99" s="2707"/>
      <c r="T99" s="2707"/>
      <c r="U99" s="2707"/>
      <c r="V99" s="2707"/>
      <c r="W99" s="2707"/>
      <c r="X99" s="2707"/>
      <c r="Y99" s="2707"/>
      <c r="Z99" s="2707"/>
      <c r="AA99" s="2707"/>
      <c r="AB99" s="2707"/>
      <c r="AC99" s="2707"/>
    </row>
    <row r="100" spans="1:29">
      <c r="A100" s="476" t="s">
        <v>1693</v>
      </c>
      <c r="B100" s="477" t="s">
        <v>1804</v>
      </c>
      <c r="C100" s="479"/>
      <c r="D100" s="479"/>
      <c r="E100" s="479"/>
      <c r="F100" s="479"/>
      <c r="G100" s="479"/>
      <c r="H100" s="479"/>
      <c r="I100" s="479"/>
      <c r="J100" s="479"/>
      <c r="K100" s="480"/>
      <c r="L100" s="481"/>
      <c r="M100" s="482"/>
      <c r="N100" s="2735"/>
      <c r="O100" s="2735"/>
      <c r="P100" s="2726"/>
      <c r="Q100" s="2721"/>
      <c r="R100" s="2707"/>
      <c r="S100" s="2707"/>
      <c r="T100" s="2707"/>
      <c r="U100" s="2707"/>
      <c r="V100" s="2707"/>
      <c r="W100" s="2707"/>
      <c r="X100" s="2707"/>
      <c r="Y100" s="2707"/>
      <c r="Z100" s="2707"/>
      <c r="AA100" s="2707"/>
      <c r="AB100" s="2707"/>
      <c r="AC100" s="2707"/>
    </row>
    <row r="101" spans="1:29" ht="15.75" thickBot="1">
      <c r="A101" s="483"/>
      <c r="B101" s="492"/>
      <c r="C101" s="493">
        <v>100</v>
      </c>
      <c r="D101" s="493">
        <f t="shared" ref="D101:M101" si="29">C101-$K32</f>
        <v>100</v>
      </c>
      <c r="E101" s="493">
        <f t="shared" si="29"/>
        <v>100</v>
      </c>
      <c r="F101" s="493">
        <f t="shared" si="29"/>
        <v>100</v>
      </c>
      <c r="G101" s="493">
        <f t="shared" si="29"/>
        <v>100</v>
      </c>
      <c r="H101" s="493">
        <f t="shared" si="29"/>
        <v>100</v>
      </c>
      <c r="I101" s="493">
        <f t="shared" si="29"/>
        <v>100</v>
      </c>
      <c r="J101" s="493">
        <f t="shared" si="29"/>
        <v>100</v>
      </c>
      <c r="K101" s="493">
        <f t="shared" si="29"/>
        <v>100</v>
      </c>
      <c r="L101" s="493">
        <f t="shared" si="29"/>
        <v>100</v>
      </c>
      <c r="M101" s="494">
        <f t="shared" si="29"/>
        <v>100</v>
      </c>
      <c r="N101" s="2736"/>
      <c r="O101" s="2736"/>
      <c r="P101" s="2726"/>
      <c r="Q101" s="2721"/>
      <c r="R101" s="2707"/>
      <c r="S101" s="2707"/>
      <c r="T101" s="2707"/>
      <c r="U101" s="2707"/>
      <c r="V101" s="2707"/>
      <c r="W101" s="2707"/>
      <c r="X101" s="2707"/>
      <c r="Y101" s="2707"/>
      <c r="Z101" s="2707"/>
      <c r="AA101" s="2707"/>
      <c r="AB101" s="2707"/>
      <c r="AC101" s="2707"/>
    </row>
    <row r="102" spans="1:29" ht="29.25" thickTop="1">
      <c r="A102" s="483"/>
      <c r="B102" s="487" t="s">
        <v>1736</v>
      </c>
      <c r="C102" s="527" t="str">
        <f>C103&amp;"(含)"&amp;"-"&amp;D103</f>
        <v>0(含)-50000</v>
      </c>
      <c r="D102" s="527" t="str">
        <f t="shared" ref="D102:L102" si="30">D103&amp;"(含)"&amp;"-"&amp;E103</f>
        <v>50000(含)-100000</v>
      </c>
      <c r="E102" s="527" t="str">
        <f t="shared" si="30"/>
        <v>100000(含)-150000</v>
      </c>
      <c r="F102" s="527" t="str">
        <f t="shared" si="30"/>
        <v>150000(含)-</v>
      </c>
      <c r="G102" s="527" t="str">
        <f t="shared" si="30"/>
        <v>(含)-</v>
      </c>
      <c r="H102" s="527" t="str">
        <f t="shared" si="30"/>
        <v>(含)-</v>
      </c>
      <c r="I102" s="527" t="str">
        <f t="shared" si="30"/>
        <v>(含)-</v>
      </c>
      <c r="J102" s="527" t="str">
        <f t="shared" si="30"/>
        <v>(含)-</v>
      </c>
      <c r="K102" s="527" t="str">
        <f t="shared" si="30"/>
        <v>(含)-</v>
      </c>
      <c r="L102" s="527" t="str">
        <f t="shared" si="30"/>
        <v>(含)-</v>
      </c>
      <c r="M102" s="570" t="str">
        <f>M103&amp;"(含)"&amp;"-"&amp;P103</f>
        <v>(含)-</v>
      </c>
      <c r="N102" s="2734"/>
      <c r="O102" s="2734"/>
      <c r="P102" s="2726"/>
      <c r="Q102" s="2721"/>
      <c r="R102" s="2707"/>
      <c r="S102" s="2707"/>
      <c r="T102" s="2707"/>
      <c r="U102" s="2707"/>
      <c r="V102" s="2707"/>
      <c r="W102" s="2707"/>
      <c r="X102" s="2707"/>
      <c r="Y102" s="2707"/>
      <c r="Z102" s="2707"/>
      <c r="AA102" s="2707"/>
      <c r="AB102" s="2707"/>
      <c r="AC102" s="2707"/>
    </row>
    <row r="103" spans="1:29" s="422" customFormat="1">
      <c r="A103" s="542"/>
      <c r="B103" s="543"/>
      <c r="C103" s="544">
        <v>0</v>
      </c>
      <c r="D103" s="544">
        <v>50000</v>
      </c>
      <c r="E103" s="544">
        <v>100000</v>
      </c>
      <c r="F103" s="544">
        <v>150000</v>
      </c>
      <c r="G103" s="544"/>
      <c r="H103" s="544"/>
      <c r="I103" s="544"/>
      <c r="J103" s="545"/>
      <c r="K103" s="545"/>
      <c r="L103" s="546"/>
      <c r="M103" s="547"/>
      <c r="N103" s="2737"/>
      <c r="O103" s="2737"/>
      <c r="P103" s="2727"/>
      <c r="Q103" s="2728"/>
      <c r="R103" s="2729"/>
      <c r="S103" s="2729"/>
      <c r="T103" s="2729"/>
      <c r="U103" s="2729"/>
      <c r="V103" s="2729"/>
      <c r="W103" s="2729"/>
      <c r="X103" s="2729"/>
      <c r="Y103" s="2729"/>
      <c r="Z103" s="2729"/>
      <c r="AA103" s="2729"/>
      <c r="AB103" s="2729"/>
      <c r="AC103" s="2729"/>
    </row>
    <row r="104" spans="1:29" s="422" customFormat="1" ht="15.75" thickBot="1">
      <c r="A104" s="502"/>
      <c r="B104" s="492"/>
      <c r="C104" s="509">
        <v>100</v>
      </c>
      <c r="D104" s="485">
        <v>96</v>
      </c>
      <c r="E104" s="485">
        <v>92</v>
      </c>
      <c r="F104" s="485">
        <v>88</v>
      </c>
      <c r="G104" s="485"/>
      <c r="H104" s="485"/>
      <c r="I104" s="485"/>
      <c r="J104" s="485"/>
      <c r="K104" s="485"/>
      <c r="L104" s="485"/>
      <c r="M104" s="486"/>
      <c r="N104" s="2736"/>
      <c r="O104" s="2736"/>
      <c r="P104" s="2727"/>
      <c r="Q104" s="2728"/>
      <c r="R104" s="2729"/>
      <c r="S104" s="2729"/>
      <c r="T104" s="2729"/>
      <c r="U104" s="2729"/>
      <c r="V104" s="2729"/>
      <c r="W104" s="2729"/>
      <c r="X104" s="2729"/>
      <c r="Y104" s="2729"/>
      <c r="Z104" s="2729"/>
      <c r="AA104" s="2729"/>
      <c r="AB104" s="2729"/>
      <c r="AC104" s="2729"/>
    </row>
    <row r="105" spans="1:29" ht="15" thickTop="1">
      <c r="A105" s="548"/>
      <c r="B105" s="487" t="s">
        <v>1737</v>
      </c>
      <c r="C105" s="503"/>
      <c r="D105" s="503"/>
      <c r="E105" s="532"/>
      <c r="F105" s="532"/>
      <c r="G105" s="532"/>
      <c r="H105" s="532"/>
      <c r="I105" s="532"/>
      <c r="J105" s="532"/>
      <c r="K105" s="533"/>
      <c r="L105" s="534"/>
      <c r="M105" s="535"/>
      <c r="N105" s="2735"/>
      <c r="O105" s="2735"/>
      <c r="P105" s="2726"/>
      <c r="Q105" s="2721"/>
      <c r="R105" s="2707"/>
      <c r="S105" s="2707"/>
      <c r="T105" s="2707"/>
      <c r="U105" s="2707"/>
      <c r="V105" s="2707"/>
      <c r="W105" s="2707"/>
      <c r="X105" s="2707"/>
      <c r="Y105" s="2707"/>
      <c r="Z105" s="2707"/>
      <c r="AA105" s="2707"/>
      <c r="AB105" s="2707"/>
      <c r="AC105" s="2707"/>
    </row>
    <row r="106" spans="1:29" ht="15.75" thickBot="1">
      <c r="A106" s="483"/>
      <c r="B106" s="492"/>
      <c r="C106" s="493">
        <v>100</v>
      </c>
      <c r="D106" s="493">
        <f t="shared" ref="D106:M106" si="31">C106-$K34</f>
        <v>100</v>
      </c>
      <c r="E106" s="493">
        <f t="shared" si="31"/>
        <v>100</v>
      </c>
      <c r="F106" s="493">
        <f t="shared" si="31"/>
        <v>100</v>
      </c>
      <c r="G106" s="493">
        <f t="shared" si="31"/>
        <v>100</v>
      </c>
      <c r="H106" s="493">
        <f t="shared" si="31"/>
        <v>100</v>
      </c>
      <c r="I106" s="493">
        <f t="shared" si="31"/>
        <v>100</v>
      </c>
      <c r="J106" s="493">
        <f t="shared" si="31"/>
        <v>100</v>
      </c>
      <c r="K106" s="493">
        <f t="shared" si="31"/>
        <v>100</v>
      </c>
      <c r="L106" s="493">
        <f t="shared" si="31"/>
        <v>100</v>
      </c>
      <c r="M106" s="494">
        <f t="shared" si="31"/>
        <v>100</v>
      </c>
      <c r="N106" s="2736"/>
      <c r="O106" s="2736"/>
      <c r="P106" s="2726"/>
      <c r="Q106" s="2721"/>
      <c r="R106" s="2707"/>
      <c r="S106" s="2707"/>
      <c r="T106" s="2707"/>
      <c r="U106" s="2707"/>
      <c r="V106" s="2707"/>
      <c r="W106" s="2707"/>
      <c r="X106" s="2707"/>
      <c r="Y106" s="2707"/>
      <c r="Z106" s="2707"/>
      <c r="AA106" s="2707"/>
      <c r="AB106" s="2707"/>
      <c r="AC106" s="2707"/>
    </row>
    <row r="107" spans="1:29" ht="15" thickTop="1">
      <c r="A107" s="548"/>
      <c r="B107" s="487" t="s">
        <v>1739</v>
      </c>
      <c r="C107" s="503"/>
      <c r="D107" s="503"/>
      <c r="E107" s="503"/>
      <c r="F107" s="532"/>
      <c r="G107" s="532"/>
      <c r="H107" s="532"/>
      <c r="I107" s="532"/>
      <c r="J107" s="532"/>
      <c r="K107" s="533"/>
      <c r="L107" s="534"/>
      <c r="M107" s="535"/>
      <c r="N107" s="2735"/>
      <c r="O107" s="2735"/>
      <c r="P107" s="2726"/>
      <c r="Q107" s="2721"/>
      <c r="R107" s="2707"/>
      <c r="S107" s="2707"/>
      <c r="T107" s="2707"/>
      <c r="U107" s="2707"/>
      <c r="V107" s="2707"/>
      <c r="W107" s="2707"/>
      <c r="X107" s="2707"/>
      <c r="Y107" s="2707"/>
      <c r="Z107" s="2707"/>
      <c r="AA107" s="2707"/>
      <c r="AB107" s="2707"/>
      <c r="AC107" s="2707"/>
    </row>
    <row r="108" spans="1:29" ht="15.75" thickBot="1">
      <c r="A108" s="483"/>
      <c r="B108" s="492"/>
      <c r="C108" s="493">
        <v>100</v>
      </c>
      <c r="D108" s="493">
        <f t="shared" ref="D108:M108" si="32">C108-$K35</f>
        <v>100</v>
      </c>
      <c r="E108" s="493">
        <f t="shared" si="32"/>
        <v>100</v>
      </c>
      <c r="F108" s="493">
        <f t="shared" si="32"/>
        <v>100</v>
      </c>
      <c r="G108" s="493">
        <f t="shared" si="32"/>
        <v>100</v>
      </c>
      <c r="H108" s="493">
        <f t="shared" si="32"/>
        <v>100</v>
      </c>
      <c r="I108" s="493">
        <f t="shared" si="32"/>
        <v>100</v>
      </c>
      <c r="J108" s="493">
        <f t="shared" si="32"/>
        <v>100</v>
      </c>
      <c r="K108" s="493">
        <f t="shared" si="32"/>
        <v>100</v>
      </c>
      <c r="L108" s="493">
        <f t="shared" si="32"/>
        <v>100</v>
      </c>
      <c r="M108" s="494">
        <f t="shared" si="32"/>
        <v>100</v>
      </c>
      <c r="N108" s="2736"/>
      <c r="O108" s="2736"/>
      <c r="P108" s="2726"/>
      <c r="Q108" s="2721"/>
      <c r="R108" s="2707"/>
      <c r="S108" s="2707"/>
      <c r="T108" s="2707"/>
      <c r="U108" s="2707"/>
      <c r="V108" s="2707"/>
      <c r="W108" s="2707"/>
      <c r="X108" s="2707"/>
      <c r="Y108" s="2707"/>
      <c r="Z108" s="2707"/>
      <c r="AA108" s="2707"/>
      <c r="AB108" s="2707"/>
      <c r="AC108" s="2707"/>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5"/>
      <c r="O109" s="2735"/>
      <c r="P109" s="2726"/>
      <c r="Q109" s="2721"/>
      <c r="R109" s="2707"/>
      <c r="S109" s="2707"/>
      <c r="T109" s="2707"/>
      <c r="U109" s="2707"/>
      <c r="V109" s="2707"/>
      <c r="W109" s="2707"/>
      <c r="X109" s="2707"/>
      <c r="Y109" s="2707"/>
      <c r="Z109" s="2707"/>
      <c r="AA109" s="2707"/>
      <c r="AB109" s="2707"/>
      <c r="AC109" s="2707"/>
    </row>
    <row r="110" spans="1:29">
      <c r="A110" s="548"/>
      <c r="B110" s="495"/>
      <c r="C110" s="552">
        <v>0.5</v>
      </c>
      <c r="D110" s="552">
        <v>0.6</v>
      </c>
      <c r="E110" s="552">
        <v>0.7</v>
      </c>
      <c r="F110" s="552">
        <v>0.8</v>
      </c>
      <c r="G110" s="552">
        <v>0.9</v>
      </c>
      <c r="H110" s="552">
        <v>1.0001</v>
      </c>
      <c r="I110" s="571"/>
      <c r="J110" s="571"/>
      <c r="K110" s="572"/>
      <c r="L110" s="573"/>
      <c r="M110" s="574"/>
      <c r="N110" s="2735"/>
      <c r="O110" s="2735"/>
      <c r="P110" s="2726"/>
      <c r="Q110" s="2721"/>
      <c r="R110" s="2707"/>
      <c r="S110" s="2707"/>
      <c r="T110" s="2707"/>
      <c r="U110" s="2707"/>
      <c r="V110" s="2707"/>
      <c r="W110" s="2707"/>
      <c r="X110" s="2707"/>
      <c r="Y110" s="2707"/>
      <c r="Z110" s="2707"/>
      <c r="AA110" s="2707"/>
      <c r="AB110" s="2707"/>
      <c r="AC110" s="2707"/>
    </row>
    <row r="111" spans="1:29" ht="15.75" thickBot="1">
      <c r="A111" s="483"/>
      <c r="B111" s="492"/>
      <c r="C111" s="531">
        <v>100</v>
      </c>
      <c r="D111" s="493">
        <f>C111+$K36</f>
        <v>100</v>
      </c>
      <c r="E111" s="493">
        <f t="shared" ref="E111:M111" si="33">D111+$K36</f>
        <v>100</v>
      </c>
      <c r="F111" s="493">
        <f t="shared" si="33"/>
        <v>100</v>
      </c>
      <c r="G111" s="493">
        <f t="shared" si="33"/>
        <v>100</v>
      </c>
      <c r="H111" s="493">
        <f t="shared" si="33"/>
        <v>100</v>
      </c>
      <c r="I111" s="493">
        <f t="shared" si="33"/>
        <v>100</v>
      </c>
      <c r="J111" s="493">
        <f t="shared" si="33"/>
        <v>100</v>
      </c>
      <c r="K111" s="493">
        <f t="shared" si="33"/>
        <v>100</v>
      </c>
      <c r="L111" s="493">
        <f t="shared" si="33"/>
        <v>100</v>
      </c>
      <c r="M111" s="493">
        <f t="shared" si="33"/>
        <v>100</v>
      </c>
      <c r="N111" s="2736"/>
      <c r="O111" s="2736"/>
      <c r="P111" s="2726"/>
      <c r="Q111" s="2721"/>
      <c r="R111" s="2707"/>
      <c r="S111" s="2707"/>
      <c r="T111" s="2707"/>
      <c r="U111" s="2707"/>
      <c r="V111" s="2707"/>
      <c r="W111" s="2707"/>
      <c r="X111" s="2707"/>
      <c r="Y111" s="2707"/>
      <c r="Z111" s="2707"/>
      <c r="AA111" s="2707"/>
      <c r="AB111" s="2707"/>
      <c r="AC111" s="2707"/>
    </row>
    <row r="112" spans="1:29" s="422" customFormat="1" ht="15" thickTop="1">
      <c r="A112" s="542"/>
      <c r="B112" s="487" t="s">
        <v>1741</v>
      </c>
      <c r="C112" s="503"/>
      <c r="D112" s="503"/>
      <c r="E112" s="503"/>
      <c r="F112" s="503"/>
      <c r="G112" s="503"/>
      <c r="H112" s="532"/>
      <c r="I112" s="532"/>
      <c r="J112" s="532"/>
      <c r="K112" s="533"/>
      <c r="L112" s="534"/>
      <c r="M112" s="535"/>
      <c r="N112" s="2737"/>
      <c r="O112" s="2737"/>
      <c r="P112" s="2727"/>
      <c r="Q112" s="2728"/>
      <c r="R112" s="2729"/>
      <c r="S112" s="2729"/>
      <c r="T112" s="2729"/>
      <c r="U112" s="2729"/>
      <c r="V112" s="2729"/>
      <c r="W112" s="2729"/>
      <c r="X112" s="2729"/>
      <c r="Y112" s="2729"/>
      <c r="Z112" s="2729"/>
      <c r="AA112" s="2729"/>
      <c r="AB112" s="2729"/>
      <c r="AC112" s="2729"/>
    </row>
    <row r="113" spans="1:29" s="422" customFormat="1" ht="15.75" thickBot="1">
      <c r="A113" s="502"/>
      <c r="B113" s="492"/>
      <c r="C113" s="493">
        <v>100</v>
      </c>
      <c r="D113" s="493">
        <f>C113-$K37</f>
        <v>100</v>
      </c>
      <c r="E113" s="493">
        <f t="shared" ref="E113:M113" si="34">D113-$K37</f>
        <v>100</v>
      </c>
      <c r="F113" s="493">
        <f t="shared" si="34"/>
        <v>100</v>
      </c>
      <c r="G113" s="493">
        <f t="shared" si="34"/>
        <v>100</v>
      </c>
      <c r="H113" s="493">
        <f t="shared" si="34"/>
        <v>100</v>
      </c>
      <c r="I113" s="493">
        <f t="shared" si="34"/>
        <v>100</v>
      </c>
      <c r="J113" s="493">
        <f t="shared" si="34"/>
        <v>100</v>
      </c>
      <c r="K113" s="493">
        <f t="shared" si="34"/>
        <v>100</v>
      </c>
      <c r="L113" s="493">
        <f t="shared" si="34"/>
        <v>100</v>
      </c>
      <c r="M113" s="493">
        <f t="shared" si="34"/>
        <v>100</v>
      </c>
      <c r="N113" s="2737"/>
      <c r="O113" s="2737"/>
      <c r="P113" s="2727"/>
      <c r="Q113" s="2728"/>
      <c r="R113" s="2729"/>
      <c r="S113" s="2729"/>
      <c r="T113" s="2729"/>
      <c r="U113" s="2729"/>
      <c r="V113" s="2729"/>
      <c r="W113" s="2729"/>
      <c r="X113" s="2729"/>
      <c r="Y113" s="2729"/>
      <c r="Z113" s="2729"/>
      <c r="AA113" s="2729"/>
      <c r="AB113" s="2729"/>
      <c r="AC113" s="2729"/>
    </row>
    <row r="114" spans="1:29" ht="15" thickTop="1">
      <c r="A114" s="548"/>
      <c r="B114" s="487" t="s">
        <v>1805</v>
      </c>
      <c r="C114" s="503"/>
      <c r="D114" s="503"/>
      <c r="E114" s="532"/>
      <c r="F114" s="532"/>
      <c r="G114" s="532"/>
      <c r="H114" s="532"/>
      <c r="I114" s="532"/>
      <c r="J114" s="532"/>
      <c r="K114" s="533"/>
      <c r="L114" s="534"/>
      <c r="M114" s="535"/>
      <c r="N114" s="2735"/>
      <c r="O114" s="2735"/>
      <c r="P114" s="2726"/>
      <c r="Q114" s="2721"/>
      <c r="R114" s="2707"/>
      <c r="S114" s="2707"/>
      <c r="T114" s="2707"/>
      <c r="U114" s="2707"/>
      <c r="V114" s="2707"/>
      <c r="W114" s="2707"/>
      <c r="X114" s="2707"/>
      <c r="Y114" s="2707"/>
      <c r="Z114" s="2707"/>
      <c r="AA114" s="2707"/>
      <c r="AB114" s="2707"/>
      <c r="AC114" s="2707"/>
    </row>
    <row r="115" spans="1:29" ht="15.75" thickBot="1">
      <c r="A115" s="483"/>
      <c r="B115" s="492"/>
      <c r="C115" s="493">
        <v>100</v>
      </c>
      <c r="D115" s="493">
        <f t="shared" ref="D115:M115" si="35">C115-$K38</f>
        <v>100</v>
      </c>
      <c r="E115" s="493">
        <f t="shared" si="35"/>
        <v>100</v>
      </c>
      <c r="F115" s="493">
        <f t="shared" si="35"/>
        <v>100</v>
      </c>
      <c r="G115" s="493">
        <f t="shared" si="35"/>
        <v>100</v>
      </c>
      <c r="H115" s="493">
        <f t="shared" si="35"/>
        <v>100</v>
      </c>
      <c r="I115" s="493">
        <f t="shared" si="35"/>
        <v>100</v>
      </c>
      <c r="J115" s="493">
        <f t="shared" si="35"/>
        <v>100</v>
      </c>
      <c r="K115" s="493">
        <f t="shared" si="35"/>
        <v>100</v>
      </c>
      <c r="L115" s="493">
        <f t="shared" si="35"/>
        <v>100</v>
      </c>
      <c r="M115" s="494">
        <f t="shared" si="35"/>
        <v>100</v>
      </c>
      <c r="N115" s="2736"/>
      <c r="O115" s="2736"/>
      <c r="P115" s="2726"/>
      <c r="Q115" s="2721"/>
      <c r="R115" s="2707"/>
      <c r="S115" s="2707"/>
      <c r="T115" s="2707"/>
      <c r="U115" s="2707"/>
      <c r="V115" s="2707"/>
      <c r="W115" s="2707"/>
      <c r="X115" s="2707"/>
      <c r="Y115" s="2707"/>
      <c r="Z115" s="2707"/>
      <c r="AA115" s="2707"/>
      <c r="AB115" s="2707"/>
      <c r="AC115" s="2707"/>
    </row>
    <row r="116" spans="1:29" ht="15" thickTop="1">
      <c r="A116" s="548"/>
      <c r="B116" s="487" t="s">
        <v>1806</v>
      </c>
      <c r="C116" s="503"/>
      <c r="D116" s="503"/>
      <c r="E116" s="503"/>
      <c r="F116" s="503"/>
      <c r="G116" s="503"/>
      <c r="H116" s="532"/>
      <c r="I116" s="532"/>
      <c r="J116" s="532"/>
      <c r="K116" s="533"/>
      <c r="L116" s="534"/>
      <c r="M116" s="535"/>
      <c r="N116" s="2735"/>
      <c r="O116" s="2735"/>
      <c r="P116" s="2726"/>
      <c r="Q116" s="2721"/>
      <c r="R116" s="2707"/>
      <c r="S116" s="2707"/>
      <c r="T116" s="2707"/>
      <c r="U116" s="2707"/>
      <c r="V116" s="2707"/>
      <c r="W116" s="2707"/>
      <c r="X116" s="2707"/>
      <c r="Y116" s="2707"/>
      <c r="Z116" s="2707"/>
      <c r="AA116" s="2707"/>
      <c r="AB116" s="2707"/>
      <c r="AC116" s="270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6"/>
      <c r="O117" s="2736"/>
      <c r="P117" s="2726"/>
      <c r="Q117" s="2721"/>
      <c r="R117" s="2707"/>
      <c r="S117" s="2707"/>
      <c r="T117" s="2707"/>
      <c r="U117" s="2707"/>
      <c r="V117" s="2707"/>
      <c r="W117" s="2707"/>
      <c r="X117" s="2707"/>
      <c r="Y117" s="2707"/>
      <c r="Z117" s="2707"/>
      <c r="AA117" s="2707"/>
      <c r="AB117" s="2707"/>
      <c r="AC117" s="2707"/>
    </row>
    <row r="118" spans="1:29" ht="15" thickTop="1">
      <c r="A118" s="548"/>
      <c r="B118" s="487" t="s">
        <v>1807</v>
      </c>
      <c r="C118" s="575"/>
      <c r="D118" s="575"/>
      <c r="E118" s="575"/>
      <c r="F118" s="575"/>
      <c r="G118" s="575"/>
      <c r="H118" s="504"/>
      <c r="I118" s="504"/>
      <c r="J118" s="504"/>
      <c r="K118" s="504"/>
      <c r="L118" s="505"/>
      <c r="M118" s="506"/>
      <c r="N118" s="2735"/>
      <c r="O118" s="2735"/>
      <c r="P118" s="2726"/>
      <c r="Q118" s="2721"/>
      <c r="R118" s="2707"/>
      <c r="S118" s="2707"/>
      <c r="T118" s="2707"/>
      <c r="U118" s="2707"/>
      <c r="V118" s="2707"/>
      <c r="W118" s="2707"/>
      <c r="X118" s="2707"/>
      <c r="Y118" s="2707"/>
      <c r="Z118" s="2707"/>
      <c r="AA118" s="2707"/>
      <c r="AB118" s="2707"/>
      <c r="AC118" s="2707"/>
    </row>
    <row r="119" spans="1:29" ht="15.75" thickBot="1">
      <c r="A119" s="483"/>
      <c r="B119" s="492"/>
      <c r="C119" s="509"/>
      <c r="D119" s="485"/>
      <c r="E119" s="485"/>
      <c r="F119" s="485"/>
      <c r="G119" s="485"/>
      <c r="H119" s="485"/>
      <c r="I119" s="485"/>
      <c r="J119" s="485"/>
      <c r="K119" s="485"/>
      <c r="L119" s="485"/>
      <c r="M119" s="486"/>
      <c r="N119" s="2736"/>
      <c r="O119" s="2736"/>
      <c r="P119" s="2726"/>
      <c r="Q119" s="2721"/>
      <c r="R119" s="2707"/>
      <c r="S119" s="2707"/>
      <c r="T119" s="2707"/>
      <c r="U119" s="2707"/>
      <c r="V119" s="2707"/>
      <c r="W119" s="2707"/>
      <c r="X119" s="2707"/>
      <c r="Y119" s="2707"/>
      <c r="Z119" s="2707"/>
      <c r="AA119" s="2707"/>
      <c r="AB119" s="2707"/>
      <c r="AC119" s="2707"/>
    </row>
    <row r="120" spans="1:29" s="422" customFormat="1" ht="15" thickTop="1">
      <c r="A120" s="542"/>
      <c r="B120" s="487" t="s">
        <v>1808</v>
      </c>
      <c r="C120" s="532"/>
      <c r="D120" s="532"/>
      <c r="E120" s="532"/>
      <c r="F120" s="532"/>
      <c r="G120" s="504"/>
      <c r="H120" s="504"/>
      <c r="I120" s="504"/>
      <c r="J120" s="504"/>
      <c r="K120" s="504"/>
      <c r="L120" s="505"/>
      <c r="M120" s="506"/>
      <c r="N120" s="2737"/>
      <c r="O120" s="2737"/>
      <c r="P120" s="2727"/>
      <c r="Q120" s="2728"/>
      <c r="R120" s="2729"/>
      <c r="S120" s="2729"/>
      <c r="T120" s="2729"/>
      <c r="U120" s="2729"/>
      <c r="V120" s="2729"/>
      <c r="W120" s="2729"/>
      <c r="X120" s="2729"/>
      <c r="Y120" s="2729"/>
      <c r="Z120" s="2729"/>
      <c r="AA120" s="2729"/>
      <c r="AB120" s="2729"/>
      <c r="AC120" s="2729"/>
    </row>
    <row r="121" spans="1:29" s="422" customFormat="1" ht="15.75" thickBot="1">
      <c r="A121" s="502"/>
      <c r="B121" s="484"/>
      <c r="C121" s="531">
        <v>100</v>
      </c>
      <c r="D121" s="493">
        <f>C121-$K41</f>
        <v>100</v>
      </c>
      <c r="E121" s="493">
        <f t="shared" ref="E121:M121" si="36">D121-$K41</f>
        <v>100</v>
      </c>
      <c r="F121" s="493">
        <f t="shared" si="36"/>
        <v>100</v>
      </c>
      <c r="G121" s="493">
        <f t="shared" si="36"/>
        <v>100</v>
      </c>
      <c r="H121" s="493">
        <f t="shared" si="36"/>
        <v>100</v>
      </c>
      <c r="I121" s="493">
        <f t="shared" si="36"/>
        <v>100</v>
      </c>
      <c r="J121" s="493">
        <f t="shared" si="36"/>
        <v>100</v>
      </c>
      <c r="K121" s="493">
        <f t="shared" si="36"/>
        <v>100</v>
      </c>
      <c r="L121" s="493">
        <f t="shared" si="36"/>
        <v>100</v>
      </c>
      <c r="M121" s="494">
        <f t="shared" si="36"/>
        <v>100</v>
      </c>
      <c r="N121" s="2737"/>
      <c r="O121" s="2737"/>
      <c r="P121" s="2727"/>
      <c r="Q121" s="2728"/>
      <c r="R121" s="2729"/>
      <c r="S121" s="2729"/>
      <c r="T121" s="2729"/>
      <c r="U121" s="2729"/>
      <c r="V121" s="2729"/>
      <c r="W121" s="2729"/>
      <c r="X121" s="2729"/>
      <c r="Y121" s="2729"/>
      <c r="Z121" s="2729"/>
      <c r="AA121" s="2729"/>
      <c r="AB121" s="2729"/>
      <c r="AC121" s="2729"/>
    </row>
    <row r="122" spans="1:29" ht="15" thickTop="1">
      <c r="A122" s="548"/>
      <c r="B122" s="487" t="s">
        <v>1743</v>
      </c>
      <c r="C122" s="503"/>
      <c r="D122" s="503"/>
      <c r="E122" s="503"/>
      <c r="F122" s="532"/>
      <c r="G122" s="532"/>
      <c r="H122" s="532"/>
      <c r="I122" s="532"/>
      <c r="J122" s="532"/>
      <c r="K122" s="533"/>
      <c r="L122" s="534"/>
      <c r="M122" s="535"/>
      <c r="N122" s="2735"/>
      <c r="O122" s="2735"/>
      <c r="P122" s="2726"/>
      <c r="Q122" s="2721"/>
      <c r="R122" s="2707"/>
      <c r="S122" s="2707"/>
      <c r="T122" s="2707"/>
      <c r="U122" s="2707"/>
      <c r="V122" s="2707"/>
      <c r="W122" s="2707"/>
      <c r="X122" s="2707"/>
      <c r="Y122" s="2707"/>
      <c r="Z122" s="2707"/>
      <c r="AA122" s="2707"/>
      <c r="AB122" s="2707"/>
      <c r="AC122" s="2707"/>
    </row>
    <row r="123" spans="1:29" ht="15.75" thickBot="1">
      <c r="A123" s="483"/>
      <c r="B123" s="492"/>
      <c r="C123" s="493">
        <v>100</v>
      </c>
      <c r="D123" s="493">
        <f t="shared" ref="D123:M123" si="37">C123-$K42</f>
        <v>100</v>
      </c>
      <c r="E123" s="493">
        <f t="shared" si="37"/>
        <v>100</v>
      </c>
      <c r="F123" s="493">
        <f t="shared" si="37"/>
        <v>100</v>
      </c>
      <c r="G123" s="493">
        <f t="shared" si="37"/>
        <v>100</v>
      </c>
      <c r="H123" s="493">
        <f t="shared" si="37"/>
        <v>100</v>
      </c>
      <c r="I123" s="493">
        <f t="shared" si="37"/>
        <v>100</v>
      </c>
      <c r="J123" s="493">
        <f t="shared" si="37"/>
        <v>100</v>
      </c>
      <c r="K123" s="493">
        <f t="shared" si="37"/>
        <v>100</v>
      </c>
      <c r="L123" s="493">
        <f t="shared" si="37"/>
        <v>100</v>
      </c>
      <c r="M123" s="494">
        <f t="shared" si="37"/>
        <v>100</v>
      </c>
      <c r="N123" s="2736"/>
      <c r="O123" s="2736"/>
      <c r="P123" s="2726"/>
      <c r="Q123" s="2721"/>
      <c r="R123" s="2707"/>
      <c r="S123" s="2707"/>
      <c r="T123" s="2707"/>
      <c r="U123" s="2707"/>
      <c r="V123" s="2707"/>
      <c r="W123" s="2707"/>
      <c r="X123" s="2707"/>
      <c r="Y123" s="2707"/>
      <c r="Z123" s="2707"/>
      <c r="AA123" s="2707"/>
      <c r="AB123" s="2707"/>
      <c r="AC123" s="2707"/>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35"/>
      <c r="O124" s="2735"/>
      <c r="P124" s="2727"/>
      <c r="Q124" s="2721"/>
      <c r="R124" s="2707"/>
      <c r="S124" s="2707"/>
      <c r="T124" s="2707"/>
      <c r="U124" s="2707"/>
      <c r="V124" s="2707"/>
      <c r="W124" s="2707"/>
      <c r="X124" s="2707"/>
      <c r="Y124" s="2707"/>
      <c r="Z124" s="2707"/>
      <c r="AA124" s="2707"/>
      <c r="AB124" s="2707"/>
      <c r="AC124" s="2707"/>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6"/>
      <c r="O125" s="2736"/>
      <c r="P125" s="2726"/>
      <c r="Q125" s="2721"/>
      <c r="R125" s="2707"/>
      <c r="S125" s="2707"/>
      <c r="T125" s="2707"/>
      <c r="U125" s="2707"/>
      <c r="V125" s="2707"/>
      <c r="W125" s="2707"/>
      <c r="X125" s="2707"/>
      <c r="Y125" s="2707"/>
      <c r="Z125" s="2707"/>
      <c r="AA125" s="2707"/>
      <c r="AB125" s="2707"/>
      <c r="AC125" s="2707"/>
    </row>
    <row r="126" spans="1:29" s="422" customFormat="1" ht="15" thickTop="1">
      <c r="A126" s="542"/>
      <c r="B126" s="487">
        <f>B44</f>
        <v>111</v>
      </c>
      <c r="C126" s="503"/>
      <c r="D126" s="503"/>
      <c r="E126" s="503"/>
      <c r="F126" s="503"/>
      <c r="G126" s="503"/>
      <c r="H126" s="504"/>
      <c r="I126" s="504"/>
      <c r="J126" s="504"/>
      <c r="K126" s="504"/>
      <c r="L126" s="505"/>
      <c r="M126" s="506"/>
      <c r="N126" s="2737"/>
      <c r="O126" s="2737"/>
      <c r="P126" s="2727"/>
      <c r="Q126" s="2728"/>
      <c r="R126" s="2729"/>
      <c r="S126" s="2729"/>
      <c r="T126" s="2729"/>
      <c r="U126" s="2729"/>
      <c r="V126" s="2729"/>
      <c r="W126" s="2729"/>
      <c r="X126" s="2729"/>
      <c r="Y126" s="2729"/>
      <c r="Z126" s="2729"/>
      <c r="AA126" s="2729"/>
      <c r="AB126" s="2729"/>
      <c r="AC126" s="2729"/>
    </row>
    <row r="127" spans="1:29" s="422" customFormat="1" ht="15.75" thickBot="1">
      <c r="A127" s="502"/>
      <c r="B127" s="492"/>
      <c r="C127" s="509"/>
      <c r="D127" s="485"/>
      <c r="E127" s="485"/>
      <c r="F127" s="485"/>
      <c r="G127" s="509"/>
      <c r="H127" s="511"/>
      <c r="I127" s="511"/>
      <c r="J127" s="511"/>
      <c r="K127" s="511"/>
      <c r="L127" s="511"/>
      <c r="M127" s="512"/>
      <c r="N127" s="2737"/>
      <c r="O127" s="2737"/>
      <c r="P127" s="2727"/>
      <c r="Q127" s="2728"/>
      <c r="R127" s="2729"/>
      <c r="S127" s="2729"/>
      <c r="T127" s="2729"/>
      <c r="U127" s="2729"/>
      <c r="V127" s="2729"/>
      <c r="W127" s="2729"/>
      <c r="X127" s="2729"/>
      <c r="Y127" s="2729"/>
      <c r="Z127" s="2729"/>
      <c r="AA127" s="2729"/>
      <c r="AB127" s="2729"/>
      <c r="AC127" s="2729"/>
    </row>
    <row r="128" spans="1:29" ht="15" thickTop="1">
      <c r="A128" s="548"/>
      <c r="B128" s="487">
        <f>B45</f>
        <v>111</v>
      </c>
      <c r="C128" s="503"/>
      <c r="D128" s="503"/>
      <c r="E128" s="503"/>
      <c r="F128" s="503"/>
      <c r="G128" s="532"/>
      <c r="H128" s="532"/>
      <c r="I128" s="532"/>
      <c r="J128" s="532"/>
      <c r="K128" s="533"/>
      <c r="L128" s="534"/>
      <c r="M128" s="535"/>
      <c r="N128" s="2735"/>
      <c r="O128" s="2735"/>
      <c r="P128" s="2726"/>
      <c r="Q128" s="2721"/>
      <c r="R128" s="2707"/>
      <c r="S128" s="2707"/>
      <c r="T128" s="2707"/>
      <c r="U128" s="2707"/>
      <c r="V128" s="2707"/>
      <c r="W128" s="2707"/>
      <c r="X128" s="2707"/>
      <c r="Y128" s="2707"/>
      <c r="Z128" s="2707"/>
      <c r="AA128" s="2707"/>
      <c r="AB128" s="2707"/>
      <c r="AC128" s="2707"/>
    </row>
    <row r="129" spans="1:29" ht="15.75" thickBot="1">
      <c r="A129" s="483"/>
      <c r="B129" s="492"/>
      <c r="C129" s="509"/>
      <c r="D129" s="485"/>
      <c r="E129" s="485"/>
      <c r="F129" s="485"/>
      <c r="G129" s="485"/>
      <c r="H129" s="485"/>
      <c r="I129" s="485"/>
      <c r="J129" s="485"/>
      <c r="K129" s="485"/>
      <c r="L129" s="485"/>
      <c r="M129" s="486"/>
      <c r="N129" s="2736"/>
      <c r="O129" s="2736"/>
      <c r="P129" s="2726"/>
      <c r="Q129" s="2721"/>
      <c r="R129" s="2707"/>
      <c r="S129" s="2707"/>
      <c r="T129" s="2707"/>
      <c r="U129" s="2707"/>
      <c r="V129" s="2707"/>
      <c r="W129" s="2707"/>
      <c r="X129" s="2707"/>
      <c r="Y129" s="2707"/>
      <c r="Z129" s="2707"/>
      <c r="AA129" s="2707"/>
      <c r="AB129" s="2707"/>
      <c r="AC129" s="2707"/>
    </row>
    <row r="130" spans="1:29" ht="15" thickTop="1">
      <c r="A130" s="548"/>
      <c r="B130" s="495">
        <f>B46</f>
        <v>111</v>
      </c>
      <c r="C130" s="503"/>
      <c r="D130" s="503"/>
      <c r="E130" s="503"/>
      <c r="F130" s="503"/>
      <c r="G130" s="536"/>
      <c r="H130" s="536"/>
      <c r="I130" s="536"/>
      <c r="J130" s="536"/>
      <c r="K130" s="472"/>
      <c r="L130" s="473"/>
      <c r="M130" s="539"/>
      <c r="N130" s="2735"/>
      <c r="O130" s="2735"/>
      <c r="P130" s="2726"/>
      <c r="Q130" s="2721"/>
      <c r="R130" s="2707"/>
      <c r="S130" s="2707"/>
      <c r="T130" s="2707"/>
      <c r="U130" s="2707"/>
      <c r="V130" s="2707"/>
      <c r="W130" s="2707"/>
      <c r="X130" s="2707"/>
      <c r="Y130" s="2707"/>
      <c r="Z130" s="2707"/>
      <c r="AA130" s="2707"/>
      <c r="AB130" s="2707"/>
      <c r="AC130" s="2707"/>
    </row>
    <row r="131" spans="1:29" ht="15.75" thickBot="1">
      <c r="A131" s="1928"/>
      <c r="B131" s="518"/>
      <c r="C131" s="519"/>
      <c r="D131" s="519"/>
      <c r="E131" s="519"/>
      <c r="F131" s="519"/>
      <c r="G131" s="540"/>
      <c r="H131" s="540"/>
      <c r="I131" s="540"/>
      <c r="J131" s="540"/>
      <c r="K131" s="540"/>
      <c r="L131" s="540"/>
      <c r="M131" s="541"/>
      <c r="N131" s="2736"/>
      <c r="O131" s="2736"/>
      <c r="P131" s="2726"/>
      <c r="Q131" s="2721"/>
      <c r="R131" s="2707"/>
      <c r="S131" s="2707"/>
      <c r="T131" s="2707"/>
      <c r="U131" s="2707"/>
      <c r="V131" s="2707"/>
      <c r="W131" s="2707"/>
      <c r="X131" s="2707"/>
      <c r="Y131" s="2707"/>
      <c r="Z131" s="2707"/>
      <c r="AA131" s="2707"/>
      <c r="AB131" s="2707"/>
      <c r="AC131" s="2707"/>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3" type="noConversion"/>
  <conditionalFormatting sqref="F52 H52">
    <cfRule type="containsText" dxfId="537" priority="20" stopIfTrue="1" operator="containsText" text="超过">
      <formula>NOT(ISERROR(SEARCH("超过",F52)))</formula>
    </cfRule>
  </conditionalFormatting>
  <conditionalFormatting sqref="H54">
    <cfRule type="containsText" dxfId="536" priority="19" stopIfTrue="1" operator="containsText" text="超过">
      <formula>NOT(ISERROR(SEARCH("超过",H54)))</formula>
    </cfRule>
  </conditionalFormatting>
  <conditionalFormatting sqref="F54">
    <cfRule type="containsText" dxfId="535" priority="18" stopIfTrue="1" operator="containsText" text="超过">
      <formula>NOT(ISERROR(SEARCH("超过",F54)))</formula>
    </cfRule>
  </conditionalFormatting>
  <conditionalFormatting sqref="F53 H53">
    <cfRule type="containsText" dxfId="534" priority="17" stopIfTrue="1" operator="containsText" text="超过">
      <formula>NOT(ISERROR(SEARCH("超过",F53)))</formula>
    </cfRule>
  </conditionalFormatting>
  <conditionalFormatting sqref="E52">
    <cfRule type="expression" dxfId="533" priority="16" stopIfTrue="1">
      <formula>$F$52="超过30%"</formula>
    </cfRule>
  </conditionalFormatting>
  <conditionalFormatting sqref="E53">
    <cfRule type="expression" dxfId="532" priority="15" stopIfTrue="1">
      <formula>$F$53="超过20%"</formula>
    </cfRule>
  </conditionalFormatting>
  <conditionalFormatting sqref="E54">
    <cfRule type="expression" dxfId="531" priority="14" stopIfTrue="1">
      <formula>$F$54="超过30%"</formula>
    </cfRule>
  </conditionalFormatting>
  <conditionalFormatting sqref="G54">
    <cfRule type="expression" dxfId="530" priority="13" stopIfTrue="1">
      <formula>$H$54="超过30%"</formula>
    </cfRule>
  </conditionalFormatting>
  <conditionalFormatting sqref="G52">
    <cfRule type="expression" dxfId="529" priority="12" stopIfTrue="1">
      <formula>$H$52="超过30%"</formula>
    </cfRule>
  </conditionalFormatting>
  <conditionalFormatting sqref="G53">
    <cfRule type="expression" dxfId="528" priority="11" stopIfTrue="1">
      <formula>$H$53="超过20%"</formula>
    </cfRule>
  </conditionalFormatting>
  <conditionalFormatting sqref="J52">
    <cfRule type="containsText" dxfId="527" priority="10" stopIfTrue="1" operator="containsText" text="超过">
      <formula>NOT(ISERROR(SEARCH("超过",J52)))</formula>
    </cfRule>
  </conditionalFormatting>
  <conditionalFormatting sqref="J54">
    <cfRule type="containsText" dxfId="526" priority="9" stopIfTrue="1" operator="containsText" text="超过">
      <formula>NOT(ISERROR(SEARCH("超过",J54)))</formula>
    </cfRule>
  </conditionalFormatting>
  <conditionalFormatting sqref="J53">
    <cfRule type="containsText" dxfId="525" priority="8" stopIfTrue="1" operator="containsText" text="超过">
      <formula>NOT(ISERROR(SEARCH("超过",J53)))</formula>
    </cfRule>
  </conditionalFormatting>
  <conditionalFormatting sqref="I52">
    <cfRule type="expression" dxfId="524" priority="7" stopIfTrue="1">
      <formula>$J$52="超过30%"</formula>
    </cfRule>
  </conditionalFormatting>
  <conditionalFormatting sqref="I53">
    <cfRule type="expression" dxfId="523" priority="6" stopIfTrue="1">
      <formula>$J$53="超过20%"</formula>
    </cfRule>
  </conditionalFormatting>
  <conditionalFormatting sqref="I54">
    <cfRule type="expression" dxfId="522" priority="5" stopIfTrue="1">
      <formula>$J$54="超过30%"</formula>
    </cfRule>
  </conditionalFormatting>
  <conditionalFormatting sqref="F48">
    <cfRule type="expression" dxfId="521" priority="4">
      <formula>$D$48="简单平均"</formula>
    </cfRule>
  </conditionalFormatting>
  <conditionalFormatting sqref="H48">
    <cfRule type="expression" dxfId="520" priority="3">
      <formula>$D$48="简单平均"</formula>
    </cfRule>
  </conditionalFormatting>
  <conditionalFormatting sqref="J48">
    <cfRule type="expression" dxfId="519" priority="2">
      <formula>$D$48="简单平均"</formula>
    </cfRule>
  </conditionalFormatting>
  <conditionalFormatting sqref="F7:F46 H7:H46 J7:J46">
    <cfRule type="cellIs" dxfId="518"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T112"/>
  <sheetViews>
    <sheetView topLeftCell="A65" zoomScale="80" zoomScaleNormal="80" workbookViewId="0">
      <selection activeCell="S85" sqref="S85"/>
    </sheetView>
  </sheetViews>
  <sheetFormatPr defaultRowHeight="13.5"/>
  <sheetData>
    <row r="26" spans="6:8">
      <c r="F26" s="3490"/>
      <c r="G26" s="3496" t="s">
        <v>3773</v>
      </c>
      <c r="H26" s="3496" t="s">
        <v>3774</v>
      </c>
    </row>
    <row r="27" spans="6:8">
      <c r="F27" s="3496" t="s">
        <v>3775</v>
      </c>
      <c r="G27" s="3490">
        <v>52838</v>
      </c>
      <c r="H27" s="3490">
        <v>56777</v>
      </c>
    </row>
    <row r="28" spans="6:8">
      <c r="F28" s="3496" t="s">
        <v>3776</v>
      </c>
      <c r="G28" s="3490">
        <v>6938</v>
      </c>
      <c r="H28" s="3490">
        <v>52757</v>
      </c>
    </row>
    <row r="29" spans="6:8">
      <c r="F29" s="3496" t="s">
        <v>3777</v>
      </c>
      <c r="G29" s="3490">
        <v>67392</v>
      </c>
      <c r="H29" s="3490">
        <v>56057</v>
      </c>
    </row>
    <row r="67" spans="2:20" ht="31.5">
      <c r="B67" s="3503" t="s">
        <v>3778</v>
      </c>
      <c r="C67" s="3503" t="s">
        <v>3779</v>
      </c>
      <c r="D67" s="3503" t="s">
        <v>3780</v>
      </c>
      <c r="E67" s="3504" t="s">
        <v>3781</v>
      </c>
      <c r="F67" s="3503" t="s">
        <v>3782</v>
      </c>
      <c r="G67" s="3506" t="s">
        <v>3783</v>
      </c>
      <c r="H67" s="3506" t="s">
        <v>3784</v>
      </c>
      <c r="I67" s="3504" t="s">
        <v>3785</v>
      </c>
      <c r="J67" s="3504" t="s">
        <v>3786</v>
      </c>
      <c r="K67" s="3504" t="s">
        <v>3787</v>
      </c>
      <c r="L67" s="3504" t="s">
        <v>3788</v>
      </c>
      <c r="M67" s="3497" t="s">
        <v>3789</v>
      </c>
      <c r="N67" s="3521" t="s">
        <v>3790</v>
      </c>
      <c r="O67" s="3520" t="s">
        <v>3791</v>
      </c>
      <c r="P67" s="3520" t="s">
        <v>3792</v>
      </c>
    </row>
    <row r="68" spans="2:20" ht="21">
      <c r="B68" s="3502">
        <v>1</v>
      </c>
      <c r="C68" s="3499" t="s">
        <v>3793</v>
      </c>
      <c r="D68" s="3499" t="s">
        <v>21</v>
      </c>
      <c r="E68" s="3499" t="s">
        <v>3794</v>
      </c>
      <c r="F68" s="3499" t="s">
        <v>3795</v>
      </c>
      <c r="G68" s="3507">
        <v>37.1</v>
      </c>
      <c r="H68" s="3508">
        <v>109000</v>
      </c>
      <c r="I68" s="3508">
        <v>33940</v>
      </c>
      <c r="J68" s="3499" t="s">
        <v>3796</v>
      </c>
      <c r="K68" s="3499" t="s">
        <v>3797</v>
      </c>
      <c r="L68" s="3499" t="s">
        <v>3798</v>
      </c>
      <c r="M68" s="3497"/>
      <c r="N68" s="3490"/>
      <c r="O68" s="3490"/>
      <c r="P68" s="3490"/>
    </row>
    <row r="69" spans="2:20">
      <c r="B69" s="3505">
        <v>2</v>
      </c>
      <c r="C69" s="3500" t="s">
        <v>3793</v>
      </c>
      <c r="D69" s="3500" t="s">
        <v>3</v>
      </c>
      <c r="E69" s="3500" t="s">
        <v>3799</v>
      </c>
      <c r="F69" s="3500" t="s">
        <v>3800</v>
      </c>
      <c r="G69" s="3505">
        <v>28</v>
      </c>
      <c r="H69" s="3509">
        <v>114200</v>
      </c>
      <c r="I69" s="3509">
        <v>24518</v>
      </c>
      <c r="J69" s="3500" t="s">
        <v>3796</v>
      </c>
      <c r="K69" s="3500" t="s">
        <v>3801</v>
      </c>
      <c r="L69" s="3500" t="s">
        <v>3802</v>
      </c>
      <c r="M69" s="3497"/>
      <c r="N69" s="3490"/>
      <c r="O69" s="3490"/>
      <c r="P69" s="3490"/>
    </row>
    <row r="70" spans="2:20" ht="21">
      <c r="B70" s="3502">
        <v>3</v>
      </c>
      <c r="C70" s="3499" t="s">
        <v>3793</v>
      </c>
      <c r="D70" s="3499" t="s">
        <v>3803</v>
      </c>
      <c r="E70" s="3499" t="s">
        <v>3804</v>
      </c>
      <c r="F70" s="3499" t="s">
        <v>3805</v>
      </c>
      <c r="G70" s="3510">
        <v>20.48</v>
      </c>
      <c r="H70" s="3508">
        <v>37923</v>
      </c>
      <c r="I70" s="3508">
        <v>54004</v>
      </c>
      <c r="J70" s="3499" t="s">
        <v>3796</v>
      </c>
      <c r="K70" s="3499" t="s">
        <v>3806</v>
      </c>
      <c r="L70" s="3499" t="s">
        <v>3807</v>
      </c>
      <c r="M70" s="3497"/>
      <c r="N70" s="3490"/>
      <c r="O70" s="3490"/>
      <c r="P70" s="3490"/>
    </row>
    <row r="71" spans="2:20" ht="31.5">
      <c r="B71" s="3505">
        <v>4</v>
      </c>
      <c r="C71" s="3500" t="s">
        <v>3793</v>
      </c>
      <c r="D71" s="3500" t="s">
        <v>3808</v>
      </c>
      <c r="E71" s="3500" t="s">
        <v>3809</v>
      </c>
      <c r="F71" s="3500" t="s">
        <v>3810</v>
      </c>
      <c r="G71" s="3505">
        <v>13</v>
      </c>
      <c r="H71" s="3509">
        <v>48000</v>
      </c>
      <c r="I71" s="3509">
        <v>27083</v>
      </c>
      <c r="J71" s="3500" t="s">
        <v>3811</v>
      </c>
      <c r="K71" s="3500" t="s">
        <v>3812</v>
      </c>
      <c r="L71" s="3500" t="s">
        <v>3813</v>
      </c>
      <c r="M71" s="3497"/>
      <c r="N71" s="3490"/>
      <c r="O71" s="3490"/>
      <c r="P71" s="3490"/>
    </row>
    <row r="72" spans="2:20" ht="21">
      <c r="B72" s="3502">
        <v>5</v>
      </c>
      <c r="C72" s="3499" t="s">
        <v>3793</v>
      </c>
      <c r="D72" s="3499" t="s">
        <v>21</v>
      </c>
      <c r="E72" s="3499" t="s">
        <v>3814</v>
      </c>
      <c r="F72" s="3499" t="s">
        <v>3815</v>
      </c>
      <c r="G72" s="3510">
        <v>10.84</v>
      </c>
      <c r="H72" s="3508">
        <v>24252</v>
      </c>
      <c r="I72" s="3511">
        <v>44697</v>
      </c>
      <c r="J72" s="3499" t="s">
        <v>3811</v>
      </c>
      <c r="K72" s="3499" t="s">
        <v>3816</v>
      </c>
      <c r="L72" s="3499" t="s">
        <v>3817</v>
      </c>
      <c r="M72" s="3497"/>
      <c r="N72" s="3490"/>
      <c r="O72" s="3490"/>
      <c r="P72" s="3490"/>
    </row>
    <row r="73" spans="2:20" ht="21">
      <c r="B73" s="3515">
        <v>6</v>
      </c>
      <c r="C73" s="3516" t="s">
        <v>3818</v>
      </c>
      <c r="D73" s="3516" t="s">
        <v>21</v>
      </c>
      <c r="E73" s="3516" t="s">
        <v>3819</v>
      </c>
      <c r="F73" s="3516" t="s">
        <v>3800</v>
      </c>
      <c r="G73" s="3517">
        <v>26.5</v>
      </c>
      <c r="H73" s="3518">
        <v>35940</v>
      </c>
      <c r="I73" s="3518">
        <v>73734</v>
      </c>
      <c r="J73" s="3516" t="s">
        <v>3796</v>
      </c>
      <c r="K73" s="3516" t="s">
        <v>3820</v>
      </c>
      <c r="L73" s="3516" t="s">
        <v>3821</v>
      </c>
      <c r="M73" s="3498"/>
      <c r="N73" s="3498">
        <v>0.25</v>
      </c>
      <c r="O73" s="3519">
        <v>48000</v>
      </c>
      <c r="P73" s="3519">
        <v>55208</v>
      </c>
    </row>
    <row r="74" spans="2:20" s="3488" customFormat="1" ht="31.5">
      <c r="B74" s="3515">
        <v>7</v>
      </c>
      <c r="C74" s="3516" t="s">
        <v>3818</v>
      </c>
      <c r="D74" s="3516" t="s">
        <v>21</v>
      </c>
      <c r="E74" s="3516" t="s">
        <v>3930</v>
      </c>
      <c r="F74" s="3516" t="s">
        <v>3805</v>
      </c>
      <c r="G74" s="3515">
        <v>24</v>
      </c>
      <c r="H74" s="3518">
        <v>52838</v>
      </c>
      <c r="I74" s="3518">
        <v>56777</v>
      </c>
      <c r="J74" s="3516" t="s">
        <v>3796</v>
      </c>
      <c r="K74" s="3516" t="s">
        <v>3822</v>
      </c>
      <c r="L74" s="3516" t="s">
        <v>3823</v>
      </c>
      <c r="M74" s="3519"/>
      <c r="N74" s="3519"/>
      <c r="O74" s="3519"/>
      <c r="P74" s="3519"/>
      <c r="Q74" s="3537" t="s">
        <v>3931</v>
      </c>
    </row>
    <row r="75" spans="2:20" s="3488" customFormat="1" ht="31.5">
      <c r="B75" s="3515">
        <v>8</v>
      </c>
      <c r="C75" s="3516" t="s">
        <v>3818</v>
      </c>
      <c r="D75" s="3516" t="s">
        <v>3824</v>
      </c>
      <c r="E75" s="3516" t="s">
        <v>3825</v>
      </c>
      <c r="F75" s="3516" t="s">
        <v>3800</v>
      </c>
      <c r="G75" s="3487">
        <v>25.64</v>
      </c>
      <c r="H75" s="3516"/>
      <c r="I75" s="3516"/>
      <c r="J75" s="3516" t="s">
        <v>3796</v>
      </c>
      <c r="K75" s="3516" t="s">
        <v>3826</v>
      </c>
      <c r="L75" s="3516" t="s">
        <v>3827</v>
      </c>
      <c r="M75" s="3498">
        <v>1</v>
      </c>
      <c r="N75" s="3498"/>
      <c r="O75" s="3498">
        <v>60000</v>
      </c>
      <c r="P75" s="3498">
        <v>85466</v>
      </c>
    </row>
    <row r="76" spans="2:20" ht="21">
      <c r="B76" s="3502">
        <v>9</v>
      </c>
      <c r="C76" s="3499" t="s">
        <v>3828</v>
      </c>
      <c r="D76" s="3499" t="s">
        <v>21</v>
      </c>
      <c r="E76" s="3499" t="s">
        <v>3829</v>
      </c>
      <c r="F76" s="3499" t="s">
        <v>3800</v>
      </c>
      <c r="G76" s="3507">
        <v>8.5</v>
      </c>
      <c r="H76" s="3511">
        <v>15776</v>
      </c>
      <c r="I76" s="3511">
        <v>53879</v>
      </c>
      <c r="J76" s="3499" t="s">
        <v>3796</v>
      </c>
      <c r="K76" s="3499" t="s">
        <v>3830</v>
      </c>
      <c r="L76" s="3499" t="s">
        <v>3831</v>
      </c>
      <c r="M76" s="3497"/>
      <c r="N76" s="3498"/>
      <c r="O76" s="3490"/>
      <c r="P76" s="3519"/>
    </row>
    <row r="77" spans="2:20" ht="21">
      <c r="B77" s="3523">
        <v>10</v>
      </c>
      <c r="C77" s="3524" t="s">
        <v>3828</v>
      </c>
      <c r="D77" s="3524" t="s">
        <v>21</v>
      </c>
      <c r="E77" s="3528" t="s">
        <v>3832</v>
      </c>
      <c r="F77" s="3524" t="s">
        <v>3833</v>
      </c>
      <c r="G77" s="3529">
        <v>15.05</v>
      </c>
      <c r="H77" s="3530">
        <v>24205</v>
      </c>
      <c r="I77" s="3525">
        <v>62177</v>
      </c>
      <c r="J77" s="3524" t="s">
        <v>3811</v>
      </c>
      <c r="K77" s="3524" t="s">
        <v>3834</v>
      </c>
      <c r="L77" s="3524" t="s">
        <v>3835</v>
      </c>
      <c r="M77" s="3526"/>
      <c r="N77" s="3526">
        <v>0.25</v>
      </c>
      <c r="O77" s="3527">
        <f>17629.08+6577.22+8208.12</f>
        <v>32414.420000000006</v>
      </c>
      <c r="P77" s="3527">
        <v>46431</v>
      </c>
      <c r="Q77" s="3533" t="s">
        <v>3925</v>
      </c>
      <c r="R77" s="3535" t="s">
        <v>3927</v>
      </c>
      <c r="S77" s="3535" t="s">
        <v>3926</v>
      </c>
      <c r="T77">
        <f>8208.12/O77</f>
        <v>0.25322433657612875</v>
      </c>
    </row>
    <row r="78" spans="2:20" s="3488" customFormat="1">
      <c r="B78" s="3523">
        <v>11</v>
      </c>
      <c r="C78" s="3524" t="s">
        <v>3828</v>
      </c>
      <c r="D78" s="3524" t="s">
        <v>21</v>
      </c>
      <c r="E78" s="3528" t="s">
        <v>3932</v>
      </c>
      <c r="F78" s="3524" t="s">
        <v>3805</v>
      </c>
      <c r="G78" s="3529">
        <v>3.66</v>
      </c>
      <c r="H78" s="3530">
        <v>6938</v>
      </c>
      <c r="I78" s="3530">
        <v>52757</v>
      </c>
      <c r="J78" s="3524" t="s">
        <v>3796</v>
      </c>
      <c r="K78" s="3528" t="s">
        <v>4101</v>
      </c>
      <c r="L78" s="3524" t="s">
        <v>3836</v>
      </c>
      <c r="M78" s="3498"/>
      <c r="N78" s="3498"/>
      <c r="O78" s="3498"/>
      <c r="P78" s="3498"/>
    </row>
    <row r="79" spans="2:20" ht="21">
      <c r="B79" s="3505">
        <v>12</v>
      </c>
      <c r="C79" s="3500" t="s">
        <v>3837</v>
      </c>
      <c r="D79" s="3500" t="s">
        <v>3808</v>
      </c>
      <c r="E79" s="3500" t="s">
        <v>3838</v>
      </c>
      <c r="F79" s="3500" t="s">
        <v>3800</v>
      </c>
      <c r="G79" s="3505">
        <v>6</v>
      </c>
      <c r="H79" s="3513">
        <v>15000</v>
      </c>
      <c r="I79" s="3513">
        <v>40000</v>
      </c>
      <c r="J79" s="3500" t="s">
        <v>3796</v>
      </c>
      <c r="K79" s="3500" t="s">
        <v>3839</v>
      </c>
      <c r="L79" s="3500" t="s">
        <v>3840</v>
      </c>
      <c r="M79" s="3497"/>
      <c r="N79" s="3498"/>
      <c r="O79" s="3490"/>
      <c r="P79" s="3490"/>
    </row>
    <row r="80" spans="2:20">
      <c r="B80" s="3502">
        <v>13</v>
      </c>
      <c r="C80" s="3499" t="s">
        <v>3837</v>
      </c>
      <c r="D80" s="3499" t="s">
        <v>21</v>
      </c>
      <c r="E80" s="3499" t="s">
        <v>3841</v>
      </c>
      <c r="F80" s="3499" t="s">
        <v>3810</v>
      </c>
      <c r="G80" s="3510">
        <v>16.739999999999998</v>
      </c>
      <c r="H80" s="3511">
        <v>28829</v>
      </c>
      <c r="I80" s="3511">
        <v>58077</v>
      </c>
      <c r="J80" s="3499" t="s">
        <v>3811</v>
      </c>
      <c r="K80" s="3499" t="s">
        <v>3842</v>
      </c>
      <c r="L80" s="3499" t="s">
        <v>3843</v>
      </c>
      <c r="M80" s="3497"/>
      <c r="N80" s="3498"/>
      <c r="O80" s="3490"/>
      <c r="P80" s="3490"/>
    </row>
    <row r="81" spans="2:19" ht="21">
      <c r="B81" s="3505">
        <v>14</v>
      </c>
      <c r="C81" s="3500" t="s">
        <v>3837</v>
      </c>
      <c r="D81" s="3500" t="s">
        <v>3808</v>
      </c>
      <c r="E81" s="3500" t="s">
        <v>3844</v>
      </c>
      <c r="F81" s="3500" t="s">
        <v>3795</v>
      </c>
      <c r="G81" s="3514">
        <v>7.2</v>
      </c>
      <c r="H81" s="3513">
        <v>41900</v>
      </c>
      <c r="I81" s="3513">
        <v>17184</v>
      </c>
      <c r="J81" s="3500" t="s">
        <v>3811</v>
      </c>
      <c r="K81" s="3500" t="s">
        <v>3845</v>
      </c>
      <c r="L81" s="3500" t="s">
        <v>3846</v>
      </c>
      <c r="M81" s="3497"/>
      <c r="N81" s="3498"/>
      <c r="O81" s="3490"/>
      <c r="P81" s="3490"/>
      <c r="Q81" s="3490"/>
      <c r="R81" s="3490"/>
      <c r="S81" s="3490"/>
    </row>
    <row r="82" spans="2:19" ht="31.5">
      <c r="B82" s="3502">
        <v>15</v>
      </c>
      <c r="C82" s="3499" t="s">
        <v>3847</v>
      </c>
      <c r="D82" s="3499" t="s">
        <v>21</v>
      </c>
      <c r="E82" s="3499" t="s">
        <v>3848</v>
      </c>
      <c r="F82" s="3499" t="s">
        <v>3800</v>
      </c>
      <c r="G82" s="3510">
        <v>5.61</v>
      </c>
      <c r="H82" s="3511">
        <v>11645</v>
      </c>
      <c r="I82" s="3511">
        <v>48158</v>
      </c>
      <c r="J82" s="3499" t="s">
        <v>3811</v>
      </c>
      <c r="K82" s="3499" t="s">
        <v>3849</v>
      </c>
      <c r="L82" s="3499" t="s">
        <v>3850</v>
      </c>
      <c r="M82" s="3497"/>
      <c r="N82" s="3498"/>
      <c r="O82" s="3522"/>
      <c r="P82" s="3490"/>
      <c r="Q82" s="3490"/>
      <c r="R82" s="3490"/>
      <c r="S82" s="3490"/>
    </row>
    <row r="83" spans="2:19" s="3488" customFormat="1" ht="21">
      <c r="B83" s="3515">
        <v>16</v>
      </c>
      <c r="C83" s="3516" t="s">
        <v>3847</v>
      </c>
      <c r="D83" s="3516" t="s">
        <v>21</v>
      </c>
      <c r="E83" s="3516" t="s">
        <v>3851</v>
      </c>
      <c r="F83" s="3516" t="s">
        <v>3805</v>
      </c>
      <c r="G83" s="3517">
        <v>90.6</v>
      </c>
      <c r="H83" s="3485">
        <v>107627</v>
      </c>
      <c r="I83" s="3485">
        <v>84180</v>
      </c>
      <c r="J83" s="3516" t="s">
        <v>3796</v>
      </c>
      <c r="K83" s="3516" t="s">
        <v>3852</v>
      </c>
      <c r="L83" s="3516" t="s">
        <v>3853</v>
      </c>
      <c r="M83" s="3498">
        <v>12.307255260676994</v>
      </c>
      <c r="N83" s="3498">
        <v>0.12</v>
      </c>
      <c r="O83" s="3498">
        <v>122430.06</v>
      </c>
      <c r="P83" s="3498">
        <v>74001</v>
      </c>
      <c r="Q83" s="3498"/>
      <c r="R83" s="3498">
        <v>14</v>
      </c>
      <c r="S83" s="3498">
        <v>8745.0042857142853</v>
      </c>
    </row>
    <row r="84" spans="2:19" ht="31.5">
      <c r="B84" s="3502">
        <v>17</v>
      </c>
      <c r="C84" s="3499" t="s">
        <v>3847</v>
      </c>
      <c r="D84" s="3499" t="s">
        <v>3824</v>
      </c>
      <c r="E84" s="3499" t="s">
        <v>3854</v>
      </c>
      <c r="F84" s="3499" t="s">
        <v>3815</v>
      </c>
      <c r="G84" s="3502">
        <v>40</v>
      </c>
      <c r="H84" s="3511">
        <v>100030</v>
      </c>
      <c r="I84" s="3511">
        <v>40000</v>
      </c>
      <c r="J84" s="3499" t="s">
        <v>3855</v>
      </c>
      <c r="K84" s="3499" t="s">
        <v>3856</v>
      </c>
      <c r="L84" s="3499" t="s">
        <v>3857</v>
      </c>
      <c r="M84" s="3498"/>
      <c r="N84" s="3498"/>
      <c r="O84" s="3519"/>
      <c r="P84" s="3519"/>
      <c r="Q84" s="3519"/>
      <c r="R84" s="3490"/>
      <c r="S84" s="3490"/>
    </row>
    <row r="85" spans="2:19" ht="21">
      <c r="B85" s="3523">
        <v>18</v>
      </c>
      <c r="C85" s="3524" t="s">
        <v>3858</v>
      </c>
      <c r="D85" s="3524" t="s">
        <v>3859</v>
      </c>
      <c r="E85" s="3524" t="s">
        <v>3860</v>
      </c>
      <c r="F85" s="3524" t="s">
        <v>3833</v>
      </c>
      <c r="G85" s="3531">
        <v>43.3</v>
      </c>
      <c r="H85" s="3530">
        <v>110996</v>
      </c>
      <c r="I85" s="3530">
        <v>55732</v>
      </c>
      <c r="J85" s="3524" t="s">
        <v>3861</v>
      </c>
      <c r="K85" s="3524" t="s">
        <v>3862</v>
      </c>
      <c r="L85" s="3524" t="s">
        <v>3863</v>
      </c>
      <c r="M85" s="3526"/>
      <c r="N85" s="3526"/>
      <c r="O85" s="3527">
        <f>39288+29716+28661+48263</f>
        <v>145928</v>
      </c>
      <c r="P85" s="3527">
        <v>42389</v>
      </c>
      <c r="Q85" s="3527" t="s">
        <v>3928</v>
      </c>
      <c r="R85" s="3536">
        <f>O85-H85</f>
        <v>34932</v>
      </c>
      <c r="S85" s="3527">
        <f>R85/O85</f>
        <v>0.23937832355682254</v>
      </c>
    </row>
    <row r="86" spans="2:19" ht="31.5">
      <c r="B86" s="3502">
        <v>19</v>
      </c>
      <c r="C86" s="3499" t="s">
        <v>3864</v>
      </c>
      <c r="D86" s="3499" t="s">
        <v>3824</v>
      </c>
      <c r="E86" s="3499" t="s">
        <v>3865</v>
      </c>
      <c r="F86" s="3499" t="s">
        <v>3805</v>
      </c>
      <c r="G86" s="3510">
        <v>16.45</v>
      </c>
      <c r="H86" s="3511">
        <v>41197</v>
      </c>
      <c r="I86" s="3511">
        <v>39930</v>
      </c>
      <c r="J86" s="3499" t="s">
        <v>3811</v>
      </c>
      <c r="K86" s="3499" t="s">
        <v>3866</v>
      </c>
      <c r="L86" s="3501" t="s">
        <v>3867</v>
      </c>
      <c r="M86" s="3498"/>
      <c r="N86" s="3498"/>
      <c r="O86" s="3519"/>
      <c r="P86" s="3519"/>
      <c r="Q86" s="3519">
        <v>230000</v>
      </c>
      <c r="R86" s="3490">
        <v>55829.307959317426</v>
      </c>
      <c r="S86" s="3490">
        <v>0.7152173913043478</v>
      </c>
    </row>
    <row r="87" spans="2:19">
      <c r="B87" s="3505">
        <v>20</v>
      </c>
      <c r="C87" s="3500" t="s">
        <v>3864</v>
      </c>
      <c r="D87" s="3500" t="s">
        <v>21</v>
      </c>
      <c r="E87" s="3500" t="s">
        <v>3868</v>
      </c>
      <c r="F87" s="3500" t="s">
        <v>3869</v>
      </c>
      <c r="G87" s="3512">
        <v>20</v>
      </c>
      <c r="H87" s="3513">
        <v>49000</v>
      </c>
      <c r="I87" s="3513">
        <v>40816</v>
      </c>
      <c r="J87" s="3500" t="s">
        <v>3811</v>
      </c>
      <c r="K87" s="3500" t="s">
        <v>3870</v>
      </c>
      <c r="L87" s="3500" t="s">
        <v>3871</v>
      </c>
      <c r="M87" s="3498"/>
      <c r="N87" s="3498"/>
      <c r="O87" s="3519"/>
      <c r="P87" s="3519"/>
      <c r="Q87" s="3519"/>
      <c r="R87" s="3490"/>
      <c r="S87" s="3490"/>
    </row>
    <row r="88" spans="2:19" ht="31.5">
      <c r="B88" s="3502">
        <v>21</v>
      </c>
      <c r="C88" s="3499" t="s">
        <v>3864</v>
      </c>
      <c r="D88" s="3499" t="s">
        <v>3872</v>
      </c>
      <c r="E88" s="3499" t="s">
        <v>3873</v>
      </c>
      <c r="F88" s="3499" t="s">
        <v>3874</v>
      </c>
      <c r="G88" s="3510">
        <v>6.55</v>
      </c>
      <c r="H88" s="3511">
        <v>37002</v>
      </c>
      <c r="I88" s="3511">
        <v>17702</v>
      </c>
      <c r="J88" s="3499" t="s">
        <v>3796</v>
      </c>
      <c r="K88" s="3499" t="s">
        <v>3875</v>
      </c>
      <c r="L88" s="3499" t="s">
        <v>3876</v>
      </c>
      <c r="M88" s="3498"/>
      <c r="N88" s="3498"/>
      <c r="O88" s="3519"/>
      <c r="P88" s="3519"/>
      <c r="Q88" s="3519"/>
      <c r="R88" s="3490"/>
      <c r="S88" s="3490"/>
    </row>
    <row r="89" spans="2:19" ht="21">
      <c r="B89" s="3505">
        <v>22</v>
      </c>
      <c r="C89" s="3500" t="s">
        <v>3864</v>
      </c>
      <c r="D89" s="3500" t="s">
        <v>21</v>
      </c>
      <c r="E89" s="3500" t="s">
        <v>3877</v>
      </c>
      <c r="F89" s="3500" t="s">
        <v>3874</v>
      </c>
      <c r="G89" s="3512">
        <v>8.67</v>
      </c>
      <c r="H89" s="3513">
        <v>38464</v>
      </c>
      <c r="I89" s="3513">
        <v>22547</v>
      </c>
      <c r="J89" s="3500" t="s">
        <v>3811</v>
      </c>
      <c r="K89" s="3500" t="s">
        <v>3878</v>
      </c>
      <c r="L89" s="3500" t="s">
        <v>3879</v>
      </c>
      <c r="M89" s="3498"/>
      <c r="N89" s="3498"/>
      <c r="O89" s="3519"/>
      <c r="P89" s="3519"/>
      <c r="Q89" s="3519"/>
      <c r="R89" s="3490"/>
      <c r="S89" s="3490"/>
    </row>
    <row r="90" spans="2:19" ht="21">
      <c r="B90" s="3502">
        <v>23</v>
      </c>
      <c r="C90" s="3499" t="s">
        <v>3864</v>
      </c>
      <c r="D90" s="3499" t="s">
        <v>21</v>
      </c>
      <c r="E90" s="3499" t="s">
        <v>3880</v>
      </c>
      <c r="F90" s="3499" t="s">
        <v>3881</v>
      </c>
      <c r="G90" s="3510">
        <v>8.75</v>
      </c>
      <c r="H90" s="3511">
        <v>45240</v>
      </c>
      <c r="I90" s="3511">
        <v>19343</v>
      </c>
      <c r="J90" s="3499" t="s">
        <v>3811</v>
      </c>
      <c r="K90" s="3499" t="s">
        <v>3882</v>
      </c>
      <c r="L90" s="3499" t="s">
        <v>3883</v>
      </c>
      <c r="M90" s="3498"/>
      <c r="N90" s="3498"/>
      <c r="O90" s="3519"/>
      <c r="P90" s="3519"/>
      <c r="Q90" s="3519"/>
      <c r="R90" s="3490"/>
      <c r="S90" s="3490"/>
    </row>
    <row r="91" spans="2:19" s="3488" customFormat="1" ht="21">
      <c r="B91" s="3515">
        <v>24</v>
      </c>
      <c r="C91" s="3516" t="s">
        <v>3864</v>
      </c>
      <c r="D91" s="3516" t="s">
        <v>21</v>
      </c>
      <c r="E91" s="3516" t="s">
        <v>3884</v>
      </c>
      <c r="F91" s="3516" t="s">
        <v>3795</v>
      </c>
      <c r="G91" s="3487">
        <v>2.97</v>
      </c>
      <c r="H91" s="3485">
        <v>3507</v>
      </c>
      <c r="I91" s="3485">
        <v>84688</v>
      </c>
      <c r="J91" s="3516" t="s">
        <v>3811</v>
      </c>
      <c r="K91" s="3516" t="s">
        <v>3885</v>
      </c>
      <c r="L91" s="3516" t="s">
        <v>3886</v>
      </c>
      <c r="M91" s="3498">
        <v>3.5</v>
      </c>
      <c r="N91" s="3498">
        <v>0.19</v>
      </c>
      <c r="O91" s="3520">
        <v>3506.47</v>
      </c>
      <c r="P91" s="3498">
        <v>84701</v>
      </c>
      <c r="Q91" s="3498"/>
      <c r="R91" s="3498"/>
      <c r="S91" s="3498"/>
    </row>
    <row r="92" spans="2:19" ht="21">
      <c r="B92" s="3502">
        <v>25</v>
      </c>
      <c r="C92" s="3499" t="s">
        <v>3887</v>
      </c>
      <c r="D92" s="3499" t="s">
        <v>21</v>
      </c>
      <c r="E92" s="3499" t="s">
        <v>3888</v>
      </c>
      <c r="F92" s="3499" t="s">
        <v>3795</v>
      </c>
      <c r="G92" s="3510">
        <v>16.440000000000001</v>
      </c>
      <c r="H92" s="3511">
        <v>66158</v>
      </c>
      <c r="I92" s="3511">
        <v>24847</v>
      </c>
      <c r="J92" s="3499" t="s">
        <v>3811</v>
      </c>
      <c r="K92" s="3499" t="s">
        <v>3889</v>
      </c>
      <c r="L92" s="3499" t="s">
        <v>3890</v>
      </c>
      <c r="M92" s="3497"/>
      <c r="N92" s="3497"/>
      <c r="O92" s="3490"/>
      <c r="P92" s="3490"/>
      <c r="Q92" s="3490"/>
      <c r="R92" s="3490"/>
      <c r="S92" s="3490"/>
    </row>
    <row r="93" spans="2:19" ht="31.5">
      <c r="B93" s="3505">
        <v>26</v>
      </c>
      <c r="C93" s="3500" t="s">
        <v>3887</v>
      </c>
      <c r="D93" s="3500" t="s">
        <v>21</v>
      </c>
      <c r="E93" s="3500" t="s">
        <v>3891</v>
      </c>
      <c r="F93" s="3500" t="s">
        <v>3800</v>
      </c>
      <c r="G93" s="3512">
        <v>3.08</v>
      </c>
      <c r="H93" s="3513">
        <v>11951</v>
      </c>
      <c r="I93" s="3513">
        <v>25751</v>
      </c>
      <c r="J93" s="3500" t="s">
        <v>3811</v>
      </c>
      <c r="K93" s="3500" t="s">
        <v>3892</v>
      </c>
      <c r="L93" s="3500" t="s">
        <v>3893</v>
      </c>
      <c r="M93" s="3497"/>
      <c r="N93" s="3497"/>
      <c r="O93" s="3490"/>
      <c r="P93" s="3490"/>
      <c r="Q93" s="3490"/>
      <c r="R93" s="3490"/>
      <c r="S93" s="3490"/>
    </row>
    <row r="94" spans="2:19" ht="21">
      <c r="B94" s="3502">
        <v>27</v>
      </c>
      <c r="C94" s="3499" t="s">
        <v>3894</v>
      </c>
      <c r="D94" s="3499" t="s">
        <v>3</v>
      </c>
      <c r="E94" s="3499" t="s">
        <v>3895</v>
      </c>
      <c r="F94" s="3499" t="s">
        <v>3869</v>
      </c>
      <c r="G94" s="3510">
        <v>1.7</v>
      </c>
      <c r="H94" s="3511">
        <v>5382</v>
      </c>
      <c r="I94" s="3511">
        <v>31587</v>
      </c>
      <c r="J94" s="3499" t="s">
        <v>3811</v>
      </c>
      <c r="K94" s="3499" t="s">
        <v>3896</v>
      </c>
      <c r="L94" s="3499" t="s">
        <v>3897</v>
      </c>
      <c r="M94" s="3497"/>
      <c r="N94" s="3497"/>
      <c r="O94" s="3490"/>
      <c r="P94" s="3490"/>
      <c r="Q94" s="3490"/>
      <c r="R94" s="3490"/>
      <c r="S94" s="3490"/>
    </row>
    <row r="95" spans="2:19" ht="31.5">
      <c r="B95" s="3505">
        <v>28</v>
      </c>
      <c r="C95" s="3500" t="s">
        <v>3894</v>
      </c>
      <c r="D95" s="3500" t="s">
        <v>3</v>
      </c>
      <c r="E95" s="3500" t="s">
        <v>3898</v>
      </c>
      <c r="F95" s="3500" t="s">
        <v>3899</v>
      </c>
      <c r="G95" s="3512">
        <v>10.5</v>
      </c>
      <c r="H95" s="3513">
        <v>9671</v>
      </c>
      <c r="I95" s="3513">
        <v>108567</v>
      </c>
      <c r="J95" s="3500" t="s">
        <v>3796</v>
      </c>
      <c r="K95" s="3500" t="s">
        <v>3900</v>
      </c>
      <c r="L95" s="3500" t="s">
        <v>3901</v>
      </c>
      <c r="M95" s="3497"/>
      <c r="N95" s="3497"/>
      <c r="O95" s="3490"/>
      <c r="P95" s="3490"/>
      <c r="Q95" s="3490"/>
      <c r="R95" s="3490"/>
      <c r="S95" s="3490"/>
    </row>
    <row r="96" spans="2:19" ht="21">
      <c r="B96" s="3502">
        <v>29</v>
      </c>
      <c r="C96" s="3499" t="s">
        <v>3894</v>
      </c>
      <c r="D96" s="3499" t="s">
        <v>21</v>
      </c>
      <c r="E96" s="3499" t="s">
        <v>3902</v>
      </c>
      <c r="F96" s="3499" t="s">
        <v>3903</v>
      </c>
      <c r="G96" s="3510">
        <v>15.75</v>
      </c>
      <c r="H96" s="3511">
        <v>27765</v>
      </c>
      <c r="I96" s="3511">
        <v>56726</v>
      </c>
      <c r="J96" s="3499" t="s">
        <v>3796</v>
      </c>
      <c r="K96" s="3499" t="s">
        <v>3904</v>
      </c>
      <c r="L96" s="3499" t="s">
        <v>3905</v>
      </c>
      <c r="M96" s="3497"/>
      <c r="N96" s="3497"/>
      <c r="O96" s="3490">
        <v>38000</v>
      </c>
      <c r="P96" s="3490">
        <f>G96*10000/O96</f>
        <v>4.1447368421052628</v>
      </c>
      <c r="Q96" s="3490" t="s">
        <v>3929</v>
      </c>
      <c r="R96" s="3522">
        <f>O96-H96</f>
        <v>10235</v>
      </c>
      <c r="S96" s="3490">
        <f>R96/O96</f>
        <v>0.26934210526315788</v>
      </c>
    </row>
    <row r="100" spans="3:9">
      <c r="C100" s="3496" t="s">
        <v>3906</v>
      </c>
      <c r="D100" s="3490"/>
      <c r="E100" s="3490"/>
      <c r="F100" s="3490"/>
      <c r="G100" s="3490"/>
      <c r="H100" s="3490"/>
      <c r="I100" s="3490"/>
    </row>
    <row r="112" spans="3:9">
      <c r="C112" s="3490"/>
      <c r="D112" s="3490"/>
      <c r="E112" s="3490"/>
      <c r="F112" s="3490"/>
      <c r="G112" s="3490"/>
      <c r="H112" s="3490"/>
      <c r="I112" s="3490">
        <v>0.19353394181403308</v>
      </c>
    </row>
  </sheetData>
  <phoneticPr fontId="13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M34" zoomScale="70" zoomScaleNormal="70" zoomScaleSheetLayoutView="70" workbookViewId="0">
      <selection activeCell="Q30" sqref="Q3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19.46</v>
      </c>
      <c r="G1" s="1378">
        <f>MATCH(C1,'数据-取费表'!A6:A16,0)+5</f>
        <v>6</v>
      </c>
      <c r="H1" s="2674"/>
      <c r="I1" s="2675"/>
      <c r="J1" s="2675"/>
      <c r="K1" s="2676"/>
      <c r="L1" s="2675"/>
      <c r="M1" s="267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134957</v>
      </c>
      <c r="C2" s="1387" t="s">
        <v>805</v>
      </c>
      <c r="D2" s="1387"/>
      <c r="E2" s="1388"/>
      <c r="F2" s="1389"/>
      <c r="G2" s="2688"/>
      <c r="H2" s="2677"/>
      <c r="I2" s="2677"/>
      <c r="J2" s="2677"/>
      <c r="K2" s="2678"/>
      <c r="L2" s="2677"/>
      <c r="M2" s="2677"/>
    </row>
    <row r="3" spans="1:37" ht="18" customHeight="1" thickBot="1">
      <c r="A3" s="1390" t="s">
        <v>806</v>
      </c>
      <c r="B3" s="1391">
        <f ca="1">IF(ISERROR(B2*10000/F43),0,ROUND(B2*10000/F43,0))</f>
        <v>49438</v>
      </c>
      <c r="C3" s="1387" t="s">
        <v>807</v>
      </c>
      <c r="D3" s="1387"/>
      <c r="E3" s="1388"/>
      <c r="F3" s="1389"/>
      <c r="G3" s="2688"/>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12165</v>
      </c>
      <c r="D5" s="1364" t="s">
        <v>693</v>
      </c>
      <c r="E5" s="1071"/>
      <c r="F5" s="1072"/>
      <c r="G5" s="1384"/>
      <c r="H5" s="299">
        <v>1</v>
      </c>
      <c r="I5" s="300" t="s">
        <v>692</v>
      </c>
      <c r="J5" s="1070">
        <f ca="1">J6+J10+J12</f>
        <v>0</v>
      </c>
      <c r="K5" s="1364" t="s">
        <v>693</v>
      </c>
      <c r="L5" s="1071"/>
      <c r="M5" s="1072"/>
    </row>
    <row r="6" spans="1:37" ht="18" customHeight="1">
      <c r="A6" s="1069" t="s">
        <v>398</v>
      </c>
      <c r="B6" s="3771" t="s">
        <v>694</v>
      </c>
      <c r="C6" s="1074">
        <f ca="1">ROUND(F6*F8*F7*(1-F9)/10000,0)</f>
        <v>12150</v>
      </c>
      <c r="D6" s="155" t="s">
        <v>2108</v>
      </c>
      <c r="E6" s="302" t="s">
        <v>696</v>
      </c>
      <c r="F6" s="303">
        <f ca="1">INDIRECT("'数据-取费表'!u"&amp;$G$1)</f>
        <v>135000000</v>
      </c>
      <c r="G6" s="1384"/>
      <c r="H6" s="1069" t="s">
        <v>398</v>
      </c>
      <c r="I6" s="3771" t="s">
        <v>694</v>
      </c>
      <c r="J6" s="301">
        <f ca="1">ROUND(M6*M8*M7*(1-M9)/10000,0)</f>
        <v>0</v>
      </c>
      <c r="K6" s="155" t="s">
        <v>2107</v>
      </c>
      <c r="L6" s="302" t="s">
        <v>696</v>
      </c>
      <c r="M6" s="303">
        <f ca="1">INDIRECT("'数据-取费表'!z"&amp;$G$1)</f>
        <v>0</v>
      </c>
    </row>
    <row r="7" spans="1:37" ht="18" customHeight="1">
      <c r="A7" s="1073"/>
      <c r="B7" s="3772"/>
      <c r="C7" s="1075"/>
      <c r="D7" s="307"/>
      <c r="E7" s="1076" t="s">
        <v>697</v>
      </c>
      <c r="F7" s="303">
        <f ca="1">IF(INDIRECT("'数据-取费表'!ah"&amp;$G$1)="",INDIRECT("'数据-取费表'!k"&amp;$G$1),INDIRECT("'数据-取费表'!ah"&amp;$G$1))</f>
        <v>1</v>
      </c>
      <c r="G7" s="1384"/>
      <c r="H7" s="304"/>
      <c r="I7" s="3772"/>
      <c r="J7" s="306"/>
      <c r="K7" s="307"/>
      <c r="L7" s="302" t="s">
        <v>697</v>
      </c>
      <c r="M7" s="303">
        <f ca="1">F7</f>
        <v>1</v>
      </c>
    </row>
    <row r="8" spans="1:37" ht="18" customHeight="1">
      <c r="A8" s="304"/>
      <c r="B8" s="3772"/>
      <c r="C8" s="306"/>
      <c r="D8" s="307"/>
      <c r="E8" s="302" t="s">
        <v>698</v>
      </c>
      <c r="F8" s="303">
        <f ca="1">INDIRECT("'数据-取费表'!ai"&amp;$G$1)</f>
        <v>1</v>
      </c>
      <c r="G8" s="1384"/>
      <c r="H8" s="304"/>
      <c r="I8" s="3772"/>
      <c r="J8" s="306"/>
      <c r="K8" s="307"/>
      <c r="L8" s="302" t="s">
        <v>698</v>
      </c>
      <c r="M8" s="303">
        <f ca="1">INDIRECT("'数据-取费表'!ai"&amp;$G$1)</f>
        <v>1</v>
      </c>
    </row>
    <row r="9" spans="1:37" ht="18" customHeight="1">
      <c r="A9" s="304"/>
      <c r="B9" s="3773"/>
      <c r="C9" s="306"/>
      <c r="D9" s="307"/>
      <c r="E9" s="302" t="s">
        <v>699</v>
      </c>
      <c r="F9" s="312">
        <f ca="1">INDIRECT("'数据-取费表'!w"&amp;$G$1)</f>
        <v>0.1</v>
      </c>
      <c r="G9" s="1384"/>
      <c r="H9" s="304"/>
      <c r="I9" s="3773"/>
      <c r="J9" s="306"/>
      <c r="K9" s="307"/>
      <c r="L9" s="313" t="s">
        <v>699</v>
      </c>
      <c r="M9" s="314">
        <f ca="1">INDIRECT("'数据-取费表'!ab"&amp;$G$1)</f>
        <v>0</v>
      </c>
    </row>
    <row r="10" spans="1:37" ht="18" customHeight="1">
      <c r="A10" s="1069" t="s">
        <v>402</v>
      </c>
      <c r="B10" s="1365" t="s">
        <v>700</v>
      </c>
      <c r="C10" s="316">
        <f ca="1">ROUND(IF(F10="押一",C6/12*F11,IF(F10="押二",C6/12*2*F11,IF(F10="押三",C6/12*3*F11,C11*F11))),0)</f>
        <v>15</v>
      </c>
      <c r="D10" s="1366" t="s">
        <v>2116</v>
      </c>
      <c r="E10" s="313" t="s">
        <v>701</v>
      </c>
      <c r="F10" s="1116" t="s">
        <v>3393</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16359</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13723</v>
      </c>
      <c r="D14" s="1345" t="s">
        <v>708</v>
      </c>
      <c r="E14" s="1342"/>
      <c r="F14" s="319"/>
      <c r="G14" s="1384"/>
      <c r="H14" s="982" t="s">
        <v>398</v>
      </c>
      <c r="I14" s="302" t="s">
        <v>709</v>
      </c>
      <c r="J14" s="21">
        <f ca="1">C29</f>
        <v>20449</v>
      </c>
      <c r="K14" s="12"/>
      <c r="L14" s="807"/>
      <c r="M14" s="808"/>
    </row>
    <row r="15" spans="1:37" s="1397" customFormat="1" ht="18" customHeight="1" thickBot="1">
      <c r="A15" s="982" t="s">
        <v>399</v>
      </c>
      <c r="B15" s="302" t="s">
        <v>710</v>
      </c>
      <c r="C15" s="21">
        <f ca="1">ROUND(C14*F15,0)</f>
        <v>412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219</v>
      </c>
      <c r="K16" s="1087" t="s">
        <v>715</v>
      </c>
      <c r="L16" s="1088"/>
      <c r="M16" s="1072"/>
    </row>
    <row r="17" spans="1:37" s="1397" customFormat="1" ht="18" customHeight="1">
      <c r="A17" s="982" t="s">
        <v>681</v>
      </c>
      <c r="B17" s="302" t="s">
        <v>716</v>
      </c>
      <c r="C17" s="21">
        <f ca="1">ROUND(F17*(F43+INDIRECT("'数据-取费表'!S"&amp;$G$1))/10000,0)</f>
        <v>546</v>
      </c>
      <c r="D17" s="302" t="s">
        <v>717</v>
      </c>
      <c r="E17" s="302" t="s">
        <v>718</v>
      </c>
      <c r="F17" s="23">
        <f>'数据-取费表'!B35</f>
        <v>200</v>
      </c>
      <c r="G17" s="1396"/>
      <c r="H17" s="982" t="s">
        <v>398</v>
      </c>
      <c r="I17" s="302" t="s">
        <v>719</v>
      </c>
      <c r="J17" s="2316">
        <f ca="1">ROUND(IF(AND(项目基本情况!B11="自然人",项目基本情况!B10="北京市"),J6*M17/(1+'数据-取费表'!C42),J18+J19+J20),2)</f>
        <v>14.7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14887</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298</v>
      </c>
      <c r="D20" s="323" t="s">
        <v>729</v>
      </c>
      <c r="E20" s="302" t="s">
        <v>712</v>
      </c>
      <c r="F20" s="322">
        <f>'数据-取费表'!B37</f>
        <v>0.02</v>
      </c>
      <c r="G20" s="1396"/>
      <c r="H20" s="982" t="s">
        <v>680</v>
      </c>
      <c r="I20" s="155" t="s">
        <v>730</v>
      </c>
      <c r="J20" s="22">
        <f ca="1">ROUND(M20*M21/10000,2)</f>
        <v>14.7</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6123.19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204.49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630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0.05</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-219</v>
      </c>
      <c r="K25" s="1095" t="s">
        <v>753</v>
      </c>
      <c r="L25" s="1096"/>
      <c r="M25" s="1097"/>
    </row>
    <row r="26" spans="1:37">
      <c r="A26" s="982" t="s">
        <v>397</v>
      </c>
      <c r="B26" s="302" t="s">
        <v>754</v>
      </c>
      <c r="C26" s="21">
        <f ca="1">ROUND((C19+C20)*F26,0)</f>
        <v>3037</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20449</v>
      </c>
      <c r="D29" s="1092"/>
      <c r="E29" s="1090"/>
      <c r="F29" s="1093"/>
      <c r="G29" s="1396"/>
      <c r="H29" s="334" t="s">
        <v>396</v>
      </c>
      <c r="I29" s="335" t="s">
        <v>768</v>
      </c>
      <c r="J29" s="336">
        <f ca="1">ROUND(J26/(1+F40)^F41,0)</f>
        <v>0</v>
      </c>
      <c r="K29" s="337" t="s">
        <v>769</v>
      </c>
      <c r="L29" s="338"/>
      <c r="M29" s="339">
        <f ca="1">INDIRECT("'数据-取费表'!k"&amp;$G$1)</f>
        <v>27298.22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2880</v>
      </c>
      <c r="D30" s="1087" t="s">
        <v>715</v>
      </c>
      <c r="E30" s="1088"/>
      <c r="F30" s="1072"/>
      <c r="G30" s="1384"/>
      <c r="H30" s="2679"/>
      <c r="I30" s="1398"/>
      <c r="J30" s="1399"/>
      <c r="K30" s="2475"/>
      <c r="L30" s="2680"/>
      <c r="M30" s="2681"/>
    </row>
    <row r="31" spans="1:37" ht="18" customHeight="1">
      <c r="A31" s="982" t="s">
        <v>398</v>
      </c>
      <c r="B31" s="302" t="s">
        <v>719</v>
      </c>
      <c r="C31" s="2316">
        <f ca="1">ROUND(IF(AND(项目基本情况!B11="自然人",项目基本情况!B10="北京市"),C6*F31/(1+'数据-取费表'!C42),C32+C33+C34),2)</f>
        <v>2051.27</v>
      </c>
      <c r="D31" s="1345" t="s">
        <v>720</v>
      </c>
      <c r="E31" s="1344" t="s">
        <v>770</v>
      </c>
      <c r="F31" s="2315" t="str">
        <f>IF(项目基本情况!B11="企业","——",IF(M47="住宅",IF(F6*F7*F8/12/(1+'数据-取费表'!F30)&gt;100000,4%,2.5%),IF(F6*F7*F8/12/(1+'数据-取费表'!F30)&gt;100000,12%,7%)))</f>
        <v>——</v>
      </c>
      <c r="G31" s="1384"/>
      <c r="H31" s="2790" t="s">
        <v>2309</v>
      </c>
      <c r="I31" s="1398"/>
      <c r="J31" s="1399"/>
      <c r="K31" s="2475"/>
      <c r="L31" s="2680"/>
      <c r="M31" s="2681"/>
    </row>
    <row r="32" spans="1:37" ht="18" customHeight="1">
      <c r="A32" s="982" t="s">
        <v>397</v>
      </c>
      <c r="B32" s="302" t="s">
        <v>723</v>
      </c>
      <c r="C32" s="21">
        <f ca="1">IF(项目基本情况!B11="自然人","——",ROUND(C6*F32/(1+'数据-取费表'!C42),2))</f>
        <v>648</v>
      </c>
      <c r="D32" s="1344" t="s">
        <v>724</v>
      </c>
      <c r="E32" s="302" t="s">
        <v>712</v>
      </c>
      <c r="F32" s="331">
        <f>'数据-取费表'!B41</f>
        <v>5.6000000000000001E-2</v>
      </c>
      <c r="G32" s="1384"/>
      <c r="H32" s="2679"/>
      <c r="I32" s="1398"/>
      <c r="J32" s="1399"/>
      <c r="K32" s="2475"/>
      <c r="L32" s="2680"/>
      <c r="M32" s="2681"/>
    </row>
    <row r="33" spans="1:18" ht="18" customHeight="1">
      <c r="A33" s="982" t="s">
        <v>399</v>
      </c>
      <c r="B33" s="302" t="s">
        <v>727</v>
      </c>
      <c r="C33" s="21">
        <f ca="1">IF(项目基本情况!B11="自然人","——",IF(D33="按租金收入计税",ROUND(C6*F33/(1+'数据-取费表'!C42),2),IF(D33="按房产原值计税",ROUND(C29*F33*0.7,2),INDIRECT("'数据-取费表'!Aj"&amp;$G$1))))</f>
        <v>1388.57</v>
      </c>
      <c r="D33" s="1370" t="s">
        <v>3342</v>
      </c>
      <c r="E33" s="302" t="s">
        <v>712</v>
      </c>
      <c r="F33" s="322">
        <f>IF(D33="按票据","——",IF(D33="按租金收入计税",'数据-取费表'!B51,'数据-取费表'!B50))</f>
        <v>0.12</v>
      </c>
      <c r="G33" s="1384"/>
      <c r="H33" s="2682"/>
      <c r="I33" s="1398"/>
      <c r="J33" s="1399"/>
      <c r="K33" s="2683"/>
      <c r="L33" s="2682"/>
      <c r="M33" s="2682"/>
    </row>
    <row r="34" spans="1:18" ht="18" customHeight="1">
      <c r="A34" s="1069" t="s">
        <v>680</v>
      </c>
      <c r="B34" s="155" t="s">
        <v>730</v>
      </c>
      <c r="C34" s="22">
        <f ca="1">IF(项目基本情况!B11="自然人","——",ROUND(F34*F35/10000,2))</f>
        <v>14.7</v>
      </c>
      <c r="D34" s="324" t="s">
        <v>731</v>
      </c>
      <c r="E34" s="302" t="s">
        <v>732</v>
      </c>
      <c r="F34" s="325">
        <f>'数据-取费表'!B52</f>
        <v>24</v>
      </c>
      <c r="G34" s="1384"/>
      <c r="H34" s="2679"/>
      <c r="I34" s="1398"/>
      <c r="J34" s="1399"/>
      <c r="K34" s="2684"/>
      <c r="L34" s="2685"/>
      <c r="M34" s="2685"/>
    </row>
    <row r="35" spans="1:18" ht="18" customHeight="1">
      <c r="A35" s="1103"/>
      <c r="B35" s="1101"/>
      <c r="C35" s="26"/>
      <c r="D35" s="327"/>
      <c r="E35" s="302" t="s">
        <v>736</v>
      </c>
      <c r="F35" s="303">
        <f ca="1">INDIRECT("'数据-取费表'!r"&amp;$G$1)</f>
        <v>6123.19</v>
      </c>
      <c r="G35" s="1384"/>
      <c r="H35" s="2679"/>
      <c r="I35" s="1398"/>
      <c r="J35" s="1399"/>
      <c r="K35" s="2683"/>
      <c r="L35" s="2682"/>
      <c r="M35" s="2682"/>
    </row>
    <row r="36" spans="1:18" ht="18" customHeight="1">
      <c r="A36" s="1102" t="s">
        <v>402</v>
      </c>
      <c r="B36" s="302" t="s">
        <v>738</v>
      </c>
      <c r="C36" s="21">
        <f ca="1">ROUND(C29*F36,2)</f>
        <v>204.49</v>
      </c>
      <c r="D36" s="1344" t="s">
        <v>771</v>
      </c>
      <c r="E36" s="302" t="s">
        <v>712</v>
      </c>
      <c r="F36" s="328">
        <f ca="1">INDIRECT("'数据-取费表'!Ak"&amp;$G$1)</f>
        <v>0.01</v>
      </c>
      <c r="G36" s="1384"/>
      <c r="H36" s="2682"/>
      <c r="I36" s="1398"/>
      <c r="J36" s="1399"/>
      <c r="K36" s="2526"/>
      <c r="L36" s="2682"/>
      <c r="M36" s="2682"/>
    </row>
    <row r="37" spans="1:18" ht="18" customHeight="1">
      <c r="A37" s="982" t="s">
        <v>437</v>
      </c>
      <c r="B37" s="302" t="s">
        <v>742</v>
      </c>
      <c r="C37" s="21">
        <f ca="1">ROUND(C13*F37,2)</f>
        <v>16.36</v>
      </c>
      <c r="D37" s="1344" t="s">
        <v>743</v>
      </c>
      <c r="E37" s="302" t="s">
        <v>744</v>
      </c>
      <c r="F37" s="330">
        <f ca="1">INDIRECT("'数据-取费表'!Al"&amp;$G$1)</f>
        <v>1E-3</v>
      </c>
      <c r="G37" s="1384"/>
      <c r="H37" s="2682"/>
      <c r="I37" s="1398"/>
      <c r="J37" s="1399"/>
      <c r="K37" s="2526"/>
      <c r="L37" s="2682"/>
      <c r="M37" s="2682"/>
    </row>
    <row r="38" spans="1:18" ht="18" customHeight="1" thickBot="1">
      <c r="A38" s="1089" t="s">
        <v>684</v>
      </c>
      <c r="B38" s="1090" t="s">
        <v>728</v>
      </c>
      <c r="C38" s="1091">
        <f ca="1">ROUND(C5*F38,2)</f>
        <v>608.25</v>
      </c>
      <c r="D38" s="1092" t="s">
        <v>748</v>
      </c>
      <c r="E38" s="1090" t="s">
        <v>744</v>
      </c>
      <c r="F38" s="1086">
        <f ca="1">INDIRECT("'数据-取费表'!Am"&amp;$G$1)</f>
        <v>0.05</v>
      </c>
      <c r="G38" s="1384"/>
      <c r="H38" s="2682"/>
      <c r="I38" s="1398"/>
      <c r="J38" s="1399"/>
      <c r="K38" s="2686"/>
      <c r="L38" s="2682"/>
      <c r="M38" s="2682"/>
    </row>
    <row r="39" spans="1:18" ht="24.6" customHeight="1" thickTop="1">
      <c r="A39" s="1079" t="s">
        <v>394</v>
      </c>
      <c r="B39" s="1094" t="s">
        <v>772</v>
      </c>
      <c r="C39" s="310">
        <f ca="1">C5-C30</f>
        <v>9285</v>
      </c>
      <c r="D39" s="1095" t="s">
        <v>773</v>
      </c>
      <c r="E39" s="1096"/>
      <c r="F39" s="1097"/>
      <c r="G39" s="1384"/>
      <c r="H39" s="2682"/>
      <c r="I39" s="1398"/>
      <c r="J39" s="1399"/>
      <c r="K39" s="2686"/>
      <c r="L39" s="2682"/>
      <c r="M39" s="2682"/>
    </row>
    <row r="40" spans="1:18" ht="18" customHeight="1">
      <c r="A40" s="299" t="s">
        <v>395</v>
      </c>
      <c r="B40" s="300" t="s">
        <v>774</v>
      </c>
      <c r="C40" s="301">
        <f ca="1">ROUND(C39*(1-((1+F42)/(1+F40))^F41)/(F40-F42),0)</f>
        <v>132955</v>
      </c>
      <c r="D40" s="324" t="s">
        <v>758</v>
      </c>
      <c r="E40" s="302" t="s">
        <v>759</v>
      </c>
      <c r="F40" s="312">
        <f ca="1">INDIRECT("'数据-取费表'!I"&amp;$G$1)</f>
        <v>5.5E-2</v>
      </c>
      <c r="G40" s="1384"/>
      <c r="H40" s="1461"/>
      <c r="I40" s="1398"/>
      <c r="J40" s="1399"/>
      <c r="K40" s="2686"/>
      <c r="L40" s="1461"/>
      <c r="M40" s="1461"/>
    </row>
    <row r="41" spans="1:18" ht="18" customHeight="1">
      <c r="A41" s="304"/>
      <c r="B41" s="305"/>
      <c r="C41" s="306"/>
      <c r="D41" s="332" t="s">
        <v>775</v>
      </c>
      <c r="E41" s="302" t="s">
        <v>763</v>
      </c>
      <c r="F41" s="333">
        <f ca="1">IF(INDIRECT("'数据-取费表'!af"&amp;$G$1)=0,INDIRECT("'数据-取费表'!ae"&amp;$G$1),INDIRECT("'数据-取费表'!af"&amp;$G$1))</f>
        <v>19.46</v>
      </c>
      <c r="G41" s="1384"/>
      <c r="H41" s="1191"/>
      <c r="I41" s="1398"/>
      <c r="J41" s="1399"/>
      <c r="K41" s="2526"/>
      <c r="L41" s="1191"/>
      <c r="M41" s="1191"/>
    </row>
    <row r="42" spans="1:18" ht="18" customHeight="1">
      <c r="A42" s="308"/>
      <c r="B42" s="309"/>
      <c r="C42" s="310"/>
      <c r="D42" s="327"/>
      <c r="E42" s="302" t="s">
        <v>766</v>
      </c>
      <c r="F42" s="312">
        <f ca="1">INDIRECT("'数据-取费表'!v"&amp;$G$1)</f>
        <v>2.5000000000000001E-2</v>
      </c>
      <c r="G42" s="1384"/>
      <c r="H42" s="1191"/>
      <c r="I42" s="1398">
        <f ca="1">C6*10000/365/F43</f>
        <v>12.194081237852398</v>
      </c>
      <c r="J42" s="1399"/>
      <c r="K42" s="2526"/>
      <c r="L42" s="1191"/>
      <c r="M42" s="1191"/>
    </row>
    <row r="43" spans="1:18" ht="18" customHeight="1" thickBot="1">
      <c r="A43" s="334" t="s">
        <v>396</v>
      </c>
      <c r="B43" s="335" t="s">
        <v>776</v>
      </c>
      <c r="C43" s="336">
        <f ca="1">ROUND(C40*10000/F43,0)</f>
        <v>48705</v>
      </c>
      <c r="D43" s="337" t="s">
        <v>777</v>
      </c>
      <c r="E43" s="338" t="s">
        <v>778</v>
      </c>
      <c r="F43" s="339">
        <f ca="1">INDIRECT("'数据-取费表'!k"&amp;$G$1)</f>
        <v>27298.22</v>
      </c>
      <c r="G43" s="1384"/>
      <c r="H43" s="1191"/>
      <c r="I43" s="1191"/>
      <c r="J43" s="1191"/>
      <c r="K43" s="2526"/>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7" t="s">
        <v>808</v>
      </c>
      <c r="P45" s="1461"/>
      <c r="Q45" s="1461"/>
      <c r="R45" s="1461"/>
    </row>
    <row r="46" spans="1:18" s="1384" customFormat="1" ht="13.5" thickBot="1">
      <c r="A46" s="1404" t="s">
        <v>809</v>
      </c>
      <c r="C46" s="1405">
        <f ca="1">C68-C40</f>
        <v>-135732</v>
      </c>
      <c r="D46" s="1406" t="str">
        <f>C2</f>
        <v>万元</v>
      </c>
      <c r="E46" s="1400"/>
      <c r="F46" s="1400"/>
      <c r="I46" s="1407" t="s">
        <v>810</v>
      </c>
      <c r="J46" s="1408"/>
      <c r="K46" s="1409"/>
      <c r="L46" s="1410">
        <f ca="1">IF(M47="住宅",0,IF(L48&gt;J51,L60,J60))</f>
        <v>2002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3394</v>
      </c>
      <c r="K47" s="1416" t="s">
        <v>816</v>
      </c>
      <c r="L47" s="1417">
        <f ca="1">INDIRECT("'数据-取费表'!d"&amp;$G$1)</f>
        <v>40</v>
      </c>
      <c r="M47" s="1380" t="str">
        <f>IF(ISNUMBER(FIND("住宅",C1)),"住宅","非住宅")</f>
        <v>非住宅</v>
      </c>
      <c r="O47" s="1418" t="s">
        <v>403</v>
      </c>
      <c r="P47" s="1419" t="s">
        <v>817</v>
      </c>
      <c r="Q47" s="1420">
        <f ca="1">C40+J29</f>
        <v>132955</v>
      </c>
      <c r="R47" s="1420" t="s">
        <v>818</v>
      </c>
    </row>
    <row r="48" spans="1:18" s="1384" customFormat="1" ht="28.5" thickBot="1">
      <c r="A48" s="1110" t="s">
        <v>438</v>
      </c>
      <c r="B48" s="300" t="s">
        <v>692</v>
      </c>
      <c r="C48" s="1359">
        <f ca="1">C49+C53+C55</f>
        <v>0</v>
      </c>
      <c r="D48" s="1112"/>
      <c r="E48" s="1113"/>
      <c r="F48" s="962"/>
      <c r="G48" s="722"/>
      <c r="H48" s="723"/>
      <c r="I48" s="1421" t="s">
        <v>819</v>
      </c>
      <c r="J48" s="1422" t="s">
        <v>3395</v>
      </c>
      <c r="K48" s="1423" t="s">
        <v>820</v>
      </c>
      <c r="L48" s="1424">
        <f ca="1">INDIRECT("'数据-取费表'!f"&amp;$G$1)</f>
        <v>19.46</v>
      </c>
      <c r="O48" s="1418" t="s">
        <v>404</v>
      </c>
      <c r="P48" s="1419" t="s">
        <v>821</v>
      </c>
      <c r="Q48" s="1420">
        <f ca="1">J60</f>
        <v>2002</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2005</v>
      </c>
      <c r="K49" s="1423" t="s">
        <v>824</v>
      </c>
      <c r="L49" s="1427"/>
      <c r="O49" s="1428" t="s">
        <v>405</v>
      </c>
      <c r="P49" s="1419" t="s">
        <v>825</v>
      </c>
      <c r="Q49" s="1420">
        <f ca="1">C29</f>
        <v>20449</v>
      </c>
      <c r="R49" s="1420" t="s">
        <v>818</v>
      </c>
    </row>
    <row r="50" spans="1:18" s="1384" customFormat="1" ht="13.5"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v>
      </c>
      <c r="I51" s="1432" t="s">
        <v>829</v>
      </c>
      <c r="J51" s="1433">
        <f>IF(J49="",J50,J49+J50-YEAR('数据-取费表'!B2))</f>
        <v>42</v>
      </c>
      <c r="K51" s="1434" t="s">
        <v>830</v>
      </c>
      <c r="L51" s="1435">
        <f ca="1">ROUND(-PV(INDIRECT("'数据-取费表'!h"&amp;$G$1),J51,(C39-C13*C76),0),0)</f>
        <v>141823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19.46</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19.46</v>
      </c>
      <c r="K53" s="3769" t="s">
        <v>837</v>
      </c>
      <c r="L53" s="3770"/>
      <c r="O53" s="1418" t="s">
        <v>409</v>
      </c>
      <c r="P53" s="1419" t="s">
        <v>838</v>
      </c>
      <c r="Q53" s="1420">
        <f ca="1">Q47+Q48</f>
        <v>134957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0.376</v>
      </c>
      <c r="K55" s="1445" t="s">
        <v>841</v>
      </c>
      <c r="L55" s="1446"/>
      <c r="O55" s="1411" t="s">
        <v>811</v>
      </c>
      <c r="P55" s="1412" t="s">
        <v>812</v>
      </c>
      <c r="Q55" s="1413" t="s">
        <v>813</v>
      </c>
      <c r="R55" s="1413" t="s">
        <v>814</v>
      </c>
    </row>
    <row r="56" spans="1:18" s="1384" customFormat="1" ht="25.5" thickTop="1" thickBot="1">
      <c r="A56" s="957">
        <v>2</v>
      </c>
      <c r="B56" s="958" t="s">
        <v>704</v>
      </c>
      <c r="C56" s="232">
        <f ca="1">C13</f>
        <v>16359</v>
      </c>
      <c r="D56" s="1447"/>
      <c r="E56" s="1448"/>
      <c r="F56" s="1440"/>
      <c r="I56" s="1449" t="s">
        <v>842</v>
      </c>
      <c r="J56" s="1450" t="s">
        <v>3396</v>
      </c>
      <c r="K56" s="1421" t="s">
        <v>843</v>
      </c>
      <c r="L56" s="1424" t="str">
        <f ca="1">IF(L48&lt;J51,"——",L48-J53)</f>
        <v>——</v>
      </c>
      <c r="O56" s="1418" t="s">
        <v>403</v>
      </c>
      <c r="P56" s="1419" t="s">
        <v>817</v>
      </c>
      <c r="Q56" s="1420">
        <f ca="1">C40+J29</f>
        <v>132955</v>
      </c>
      <c r="R56" s="1420" t="s">
        <v>818</v>
      </c>
    </row>
    <row r="57" spans="1:18" s="1384" customFormat="1" ht="24.75" thickBot="1">
      <c r="A57" s="1451"/>
      <c r="B57" s="950" t="s">
        <v>767</v>
      </c>
      <c r="C57" s="238">
        <f ca="1">C29</f>
        <v>20449</v>
      </c>
      <c r="D57" s="1452"/>
      <c r="E57" s="1453"/>
      <c r="F57" s="1454"/>
      <c r="I57" s="1455" t="s">
        <v>844</v>
      </c>
      <c r="J57" s="1456">
        <f ca="1">IF(OR(M47="住宅",J51&lt;L48,J56="是"),"——",J51-L48)</f>
        <v>22.54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236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15</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8180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2002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14.7</v>
      </c>
      <c r="D62" s="965" t="s">
        <v>786</v>
      </c>
      <c r="E62" s="950" t="s">
        <v>787</v>
      </c>
      <c r="F62" s="325">
        <f t="shared" si="0"/>
        <v>24</v>
      </c>
      <c r="I62" s="1462" t="s">
        <v>858</v>
      </c>
      <c r="J62" s="1463" t="s">
        <v>859</v>
      </c>
      <c r="K62" s="1463" t="s">
        <v>860</v>
      </c>
      <c r="L62" s="1463" t="s">
        <v>861</v>
      </c>
      <c r="M62" s="1464" t="s">
        <v>862</v>
      </c>
      <c r="O62" s="1418" t="s">
        <v>409</v>
      </c>
      <c r="P62" s="1419" t="s">
        <v>863</v>
      </c>
      <c r="Q62" s="1420">
        <f ca="1">Q56+Q57</f>
        <v>132955</v>
      </c>
      <c r="R62" s="1420" t="s">
        <v>410</v>
      </c>
    </row>
    <row r="63" spans="1:18" s="1384" customFormat="1" ht="13.5" thickBot="1">
      <c r="A63" s="326"/>
      <c r="B63" s="956"/>
      <c r="C63" s="26"/>
      <c r="D63" s="966"/>
      <c r="E63" s="950" t="s">
        <v>788</v>
      </c>
      <c r="F63" s="303">
        <f t="shared" ca="1" si="0"/>
        <v>6123.19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204.49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16.36</v>
      </c>
      <c r="D65" s="964" t="s">
        <v>743</v>
      </c>
      <c r="E65" s="950" t="s">
        <v>744</v>
      </c>
      <c r="F65" s="330">
        <f t="shared" ca="1" si="0"/>
        <v>1E-3</v>
      </c>
      <c r="I65" s="1462" t="s">
        <v>867</v>
      </c>
      <c r="J65" s="1463">
        <v>40</v>
      </c>
      <c r="K65" s="1463">
        <v>30</v>
      </c>
      <c r="L65" s="1463">
        <v>50</v>
      </c>
      <c r="M65" s="1465">
        <v>0.02</v>
      </c>
      <c r="O65" s="1418" t="s">
        <v>403</v>
      </c>
      <c r="P65" s="1419" t="s">
        <v>868</v>
      </c>
      <c r="Q65" s="1420">
        <f ca="1">C40+J29</f>
        <v>132955</v>
      </c>
      <c r="R65" s="1420" t="s">
        <v>818</v>
      </c>
    </row>
    <row r="66" spans="1:18" s="1384" customFormat="1" ht="16.5" thickBot="1">
      <c r="A66" s="982" t="s">
        <v>793</v>
      </c>
      <c r="B66" s="950" t="s">
        <v>728</v>
      </c>
      <c r="C66" s="21">
        <f ca="1">ROUND(C48*F66,2)</f>
        <v>0</v>
      </c>
      <c r="D66" s="964" t="s">
        <v>794</v>
      </c>
      <c r="E66" s="950" t="s">
        <v>712</v>
      </c>
      <c r="F66" s="312">
        <f t="shared" ca="1" si="0"/>
        <v>0.05</v>
      </c>
      <c r="O66" s="1418" t="s">
        <v>404</v>
      </c>
      <c r="P66" s="1419" t="s">
        <v>846</v>
      </c>
      <c r="Q66" s="1420">
        <f ca="1">L60</f>
        <v>0</v>
      </c>
      <c r="R66" s="1420" t="s">
        <v>869</v>
      </c>
    </row>
    <row r="67" spans="1:18" s="1384" customFormat="1" ht="16.5" thickBot="1">
      <c r="A67" s="957" t="s">
        <v>394</v>
      </c>
      <c r="B67" s="967" t="s">
        <v>752</v>
      </c>
      <c r="C67" s="316">
        <f ca="1">C48-C58</f>
        <v>-236</v>
      </c>
      <c r="D67" s="963" t="s">
        <v>753</v>
      </c>
      <c r="E67" s="968"/>
      <c r="F67" s="969"/>
      <c r="O67" s="1428" t="s">
        <v>405</v>
      </c>
      <c r="P67" s="1419" t="s">
        <v>850</v>
      </c>
      <c r="Q67" s="1466">
        <f ca="1">L51</f>
        <v>141823</v>
      </c>
      <c r="R67" s="1420" t="s">
        <v>870</v>
      </c>
    </row>
    <row r="68" spans="1:18" s="1384" customFormat="1" ht="16.5" thickBot="1">
      <c r="A68" s="947" t="s">
        <v>395</v>
      </c>
      <c r="B68" s="948" t="s">
        <v>774</v>
      </c>
      <c r="C68" s="301">
        <f ca="1">ROUND(C67*(1-((1+F70)/(1+F68))^F69)/(F68-F70),0)</f>
        <v>-2777</v>
      </c>
      <c r="D68" s="965" t="s">
        <v>758</v>
      </c>
      <c r="E68" s="950" t="s">
        <v>759</v>
      </c>
      <c r="F68" s="312">
        <f ca="1">F40</f>
        <v>5.5E-2</v>
      </c>
      <c r="O68" s="1428" t="s">
        <v>406</v>
      </c>
      <c r="P68" s="1467" t="s">
        <v>871</v>
      </c>
      <c r="Q68" s="1420">
        <f ca="1">ROUND(Q69-Q70*Q71,0)</f>
        <v>8140</v>
      </c>
      <c r="R68" s="1420" t="s">
        <v>414</v>
      </c>
    </row>
    <row r="69" spans="1:18" s="1384" customFormat="1" ht="13.5" thickBot="1">
      <c r="A69" s="951"/>
      <c r="B69" s="952"/>
      <c r="C69" s="306"/>
      <c r="D69" s="970" t="s">
        <v>762</v>
      </c>
      <c r="E69" s="950" t="s">
        <v>763</v>
      </c>
      <c r="F69" s="333">
        <f ca="1">F41</f>
        <v>19.46</v>
      </c>
      <c r="O69" s="1428" t="s">
        <v>411</v>
      </c>
      <c r="P69" s="1467" t="s">
        <v>872</v>
      </c>
      <c r="Q69" s="1420">
        <f ca="1">C39</f>
        <v>9285</v>
      </c>
      <c r="R69" s="1420" t="s">
        <v>818</v>
      </c>
    </row>
    <row r="70" spans="1:18" s="1384" customFormat="1" ht="13.5" thickBot="1">
      <c r="A70" s="954"/>
      <c r="B70" s="955"/>
      <c r="C70" s="310"/>
      <c r="D70" s="966"/>
      <c r="E70" s="950" t="s">
        <v>766</v>
      </c>
      <c r="F70" s="1054"/>
      <c r="O70" s="1428" t="s">
        <v>412</v>
      </c>
      <c r="P70" s="1467" t="s">
        <v>873</v>
      </c>
      <c r="Q70" s="1420">
        <f ca="1">C13</f>
        <v>16359</v>
      </c>
      <c r="R70" s="1420" t="s">
        <v>818</v>
      </c>
    </row>
    <row r="71" spans="1:18" s="1384" customFormat="1" ht="13.5" thickBot="1">
      <c r="A71" s="971" t="s">
        <v>396</v>
      </c>
      <c r="B71" s="972" t="s">
        <v>776</v>
      </c>
      <c r="C71" s="336">
        <f ca="1">ROUND(C68*10000/F71,0)</f>
        <v>-1017</v>
      </c>
      <c r="D71" s="973" t="s">
        <v>777</v>
      </c>
      <c r="E71" s="974" t="s">
        <v>778</v>
      </c>
      <c r="F71" s="339">
        <f ca="1">F43</f>
        <v>27298.22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1145</v>
      </c>
      <c r="D75" s="1384"/>
      <c r="E75" s="1384"/>
      <c r="F75" s="1384"/>
      <c r="K75" s="1402"/>
      <c r="L75" s="1384"/>
      <c r="O75" s="1418" t="s">
        <v>409</v>
      </c>
      <c r="P75" s="1419" t="s">
        <v>838</v>
      </c>
      <c r="Q75" s="1420">
        <f ca="1">Q65+Q66</f>
        <v>132955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0.877</v>
      </c>
    </row>
    <row r="80" spans="1:18">
      <c r="B80" s="340" t="s">
        <v>800</v>
      </c>
      <c r="C80" s="274">
        <f ca="1">ROUND(C75/C39,3)</f>
        <v>0.123</v>
      </c>
    </row>
    <row r="81" spans="2:3">
      <c r="B81" s="270" t="s">
        <v>801</v>
      </c>
      <c r="C81" s="238"/>
    </row>
    <row r="82" spans="2:3">
      <c r="B82" s="273" t="s">
        <v>802</v>
      </c>
      <c r="C82" s="275">
        <f ca="1">1-C83</f>
        <v>0.877</v>
      </c>
    </row>
    <row r="83" spans="2:3">
      <c r="B83" s="273" t="s">
        <v>803</v>
      </c>
      <c r="C83" s="274">
        <f ca="1">ROUND(C13/C40,3)</f>
        <v>0.123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517" priority="56">
      <formula>$L$48&gt;$J$51</formula>
    </cfRule>
  </conditionalFormatting>
  <conditionalFormatting sqref="I55 I60">
    <cfRule type="expression" dxfId="516" priority="57">
      <formula>$J$51&gt;$L$48</formula>
    </cfRule>
  </conditionalFormatting>
  <conditionalFormatting sqref="C11">
    <cfRule type="expression" dxfId="515" priority="3">
      <formula>$F$10="自定义"</formula>
    </cfRule>
  </conditionalFormatting>
  <conditionalFormatting sqref="J11">
    <cfRule type="expression" dxfId="514" priority="2">
      <formula>$M$10="自定义"</formula>
    </cfRule>
  </conditionalFormatting>
  <conditionalFormatting sqref="C54">
    <cfRule type="expression" dxfId="5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74"/>
      <c r="I1" s="2675"/>
      <c r="J1" s="2675"/>
      <c r="K1" s="2676"/>
      <c r="L1" s="2675"/>
      <c r="M1" s="267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7" t="e">
        <f ca="1">ROUND(D2/10000,4)</f>
        <v>#DIV/0!</v>
      </c>
      <c r="C2" s="1387" t="s">
        <v>879</v>
      </c>
      <c r="D2" s="1471" t="e">
        <f ca="1">C40+J29+L46</f>
        <v>#DIV/0!</v>
      </c>
      <c r="E2" s="1388" t="s">
        <v>880</v>
      </c>
      <c r="F2" s="1389"/>
      <c r="G2" s="2688"/>
      <c r="H2" s="2677"/>
      <c r="I2" s="2677"/>
      <c r="J2" s="2677"/>
      <c r="K2" s="2678"/>
      <c r="L2" s="2677"/>
      <c r="M2" s="2677"/>
    </row>
    <row r="3" spans="1:37" ht="18" customHeight="1" thickBot="1">
      <c r="A3" s="1390" t="s">
        <v>881</v>
      </c>
      <c r="B3" s="1391">
        <f ca="1">IF(ISERROR(D2/F43),0,ROUND(D2/F43,0))</f>
        <v>0</v>
      </c>
      <c r="C3" s="1387" t="s">
        <v>882</v>
      </c>
      <c r="D3" s="1387"/>
      <c r="E3" s="1388"/>
      <c r="F3" s="1389"/>
      <c r="G3" s="2688"/>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71" t="s">
        <v>694</v>
      </c>
      <c r="C6" s="1074">
        <f ca="1">ROUND(F6*F8*F7*(1-F9),0)</f>
        <v>0</v>
      </c>
      <c r="D6" s="155" t="s">
        <v>2105</v>
      </c>
      <c r="E6" s="302" t="s">
        <v>696</v>
      </c>
      <c r="F6" s="303">
        <f ca="1">INDIRECT("'数据-取费表'!u"&amp;$G$1)</f>
        <v>0</v>
      </c>
      <c r="G6" s="1384"/>
      <c r="H6" s="1069" t="s">
        <v>398</v>
      </c>
      <c r="I6" s="3771" t="s">
        <v>694</v>
      </c>
      <c r="J6" s="301">
        <f ca="1">ROUND(M6*M8*M7*(1-M9),0)</f>
        <v>0</v>
      </c>
      <c r="K6" s="1376" t="s">
        <v>2106</v>
      </c>
      <c r="L6" s="302" t="s">
        <v>696</v>
      </c>
      <c r="M6" s="303">
        <f ca="1">INDIRECT("'数据-取费表'!z"&amp;$G$1)</f>
        <v>0</v>
      </c>
    </row>
    <row r="7" spans="1:37" ht="18" customHeight="1">
      <c r="A7" s="1073"/>
      <c r="B7" s="3772"/>
      <c r="C7" s="1075"/>
      <c r="D7" s="307"/>
      <c r="E7" s="1076" t="s">
        <v>697</v>
      </c>
      <c r="F7" s="303">
        <f ca="1">IF(INDIRECT("'数据-取费表'!ah"&amp;$G$1)="",INDIRECT("'数据-取费表'!k"&amp;$G$1),INDIRECT("'数据-取费表'!ah"&amp;$G$1))</f>
        <v>0</v>
      </c>
      <c r="G7" s="1384"/>
      <c r="H7" s="304"/>
      <c r="I7" s="3772"/>
      <c r="J7" s="306"/>
      <c r="K7" s="307"/>
      <c r="L7" s="302" t="s">
        <v>697</v>
      </c>
      <c r="M7" s="303">
        <f ca="1">F7</f>
        <v>0</v>
      </c>
    </row>
    <row r="8" spans="1:37" ht="18" customHeight="1">
      <c r="A8" s="304"/>
      <c r="B8" s="3772"/>
      <c r="C8" s="306"/>
      <c r="D8" s="307"/>
      <c r="E8" s="302" t="s">
        <v>698</v>
      </c>
      <c r="F8" s="303">
        <f ca="1">INDIRECT("'数据-取费表'!ai"&amp;$G$1)</f>
        <v>0</v>
      </c>
      <c r="G8" s="1384"/>
      <c r="H8" s="304"/>
      <c r="I8" s="3772"/>
      <c r="J8" s="306"/>
      <c r="K8" s="307"/>
      <c r="L8" s="302" t="s">
        <v>698</v>
      </c>
      <c r="M8" s="303">
        <f ca="1">INDIRECT("'数据-取费表'!ai"&amp;$G$1)</f>
        <v>0</v>
      </c>
    </row>
    <row r="9" spans="1:37" ht="18" customHeight="1">
      <c r="A9" s="304"/>
      <c r="B9" s="3773"/>
      <c r="C9" s="306"/>
      <c r="D9" s="307"/>
      <c r="E9" s="302" t="s">
        <v>699</v>
      </c>
      <c r="F9" s="312">
        <f ca="1">INDIRECT("'数据-取费表'!w"&amp;$G$1)</f>
        <v>0</v>
      </c>
      <c r="G9" s="1384"/>
      <c r="H9" s="304"/>
      <c r="I9" s="37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9"/>
      <c r="I30" s="1398"/>
      <c r="J30" s="1399"/>
      <c r="K30" s="2475"/>
      <c r="L30" s="2680"/>
      <c r="M30" s="2681"/>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90" t="s">
        <v>2309</v>
      </c>
      <c r="I31" s="1398"/>
      <c r="J31" s="1399"/>
      <c r="K31" s="2475"/>
      <c r="L31" s="2680"/>
      <c r="M31" s="2681"/>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9"/>
      <c r="I32" s="1398"/>
      <c r="J32" s="1399"/>
      <c r="K32" s="2475"/>
      <c r="L32" s="2680"/>
      <c r="M32" s="2681"/>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82"/>
      <c r="I33" s="1398"/>
      <c r="J33" s="1399"/>
      <c r="K33" s="2683"/>
      <c r="L33" s="2682"/>
      <c r="M33" s="2682"/>
    </row>
    <row r="34" spans="1:18" ht="18" customHeight="1">
      <c r="A34" s="1069" t="s">
        <v>680</v>
      </c>
      <c r="B34" s="155" t="s">
        <v>730</v>
      </c>
      <c r="C34" s="22">
        <f ca="1">IF(项目基本情况!B11="自然人","——",ROUND(F34*F35,0))</f>
        <v>0</v>
      </c>
      <c r="D34" s="324" t="s">
        <v>731</v>
      </c>
      <c r="E34" s="302" t="s">
        <v>732</v>
      </c>
      <c r="F34" s="325">
        <f>'数据-取费表'!B52</f>
        <v>24</v>
      </c>
      <c r="G34" s="1384"/>
      <c r="H34" s="2679"/>
      <c r="I34" s="1398"/>
      <c r="J34" s="1399"/>
      <c r="K34" s="2684"/>
      <c r="L34" s="2685"/>
      <c r="M34" s="2685"/>
    </row>
    <row r="35" spans="1:18" ht="18" customHeight="1">
      <c r="A35" s="1103"/>
      <c r="B35" s="1101"/>
      <c r="C35" s="26"/>
      <c r="D35" s="327"/>
      <c r="E35" s="302" t="s">
        <v>736</v>
      </c>
      <c r="F35" s="303">
        <f ca="1">INDIRECT("'数据-取费表'!r"&amp;$G$1)</f>
        <v>0</v>
      </c>
      <c r="G35" s="1384"/>
      <c r="H35" s="2679"/>
      <c r="I35" s="1398"/>
      <c r="J35" s="1399"/>
      <c r="K35" s="2683"/>
      <c r="L35" s="2682"/>
      <c r="M35" s="2682"/>
    </row>
    <row r="36" spans="1:18" ht="18" customHeight="1">
      <c r="A36" s="1102" t="s">
        <v>402</v>
      </c>
      <c r="B36" s="302" t="s">
        <v>738</v>
      </c>
      <c r="C36" s="21">
        <f ca="1">ROUND(C29*F36,0)</f>
        <v>0</v>
      </c>
      <c r="D36" s="1344" t="s">
        <v>771</v>
      </c>
      <c r="E36" s="302" t="s">
        <v>712</v>
      </c>
      <c r="F36" s="328">
        <f ca="1">INDIRECT("'数据-取费表'!Ak"&amp;$G$1)</f>
        <v>0</v>
      </c>
      <c r="G36" s="1384"/>
      <c r="H36" s="2682"/>
      <c r="I36" s="1398"/>
      <c r="J36" s="1399"/>
      <c r="K36" s="2526"/>
      <c r="L36" s="2682"/>
      <c r="M36" s="2682"/>
    </row>
    <row r="37" spans="1:18" ht="18" customHeight="1">
      <c r="A37" s="982" t="s">
        <v>437</v>
      </c>
      <c r="B37" s="302" t="s">
        <v>742</v>
      </c>
      <c r="C37" s="21">
        <f ca="1">ROUND(C13*F37,0)</f>
        <v>0</v>
      </c>
      <c r="D37" s="1344" t="s">
        <v>743</v>
      </c>
      <c r="E37" s="302" t="s">
        <v>744</v>
      </c>
      <c r="F37" s="330">
        <f ca="1">INDIRECT("'数据-取费表'!Al"&amp;$G$1)</f>
        <v>0</v>
      </c>
      <c r="G37" s="1384"/>
      <c r="H37" s="2682"/>
      <c r="I37" s="1398"/>
      <c r="J37" s="1399"/>
      <c r="K37" s="2526"/>
      <c r="L37" s="2682"/>
      <c r="M37" s="2682"/>
    </row>
    <row r="38" spans="1:18" ht="18" customHeight="1" thickBot="1">
      <c r="A38" s="1089" t="s">
        <v>684</v>
      </c>
      <c r="B38" s="1090" t="s">
        <v>728</v>
      </c>
      <c r="C38" s="1091">
        <f ca="1">ROUND(C5*F38,0)</f>
        <v>0</v>
      </c>
      <c r="D38" s="1092" t="s">
        <v>748</v>
      </c>
      <c r="E38" s="1090" t="s">
        <v>744</v>
      </c>
      <c r="F38" s="1086">
        <f ca="1">INDIRECT("'数据-取费表'!Am"&amp;$G$1)</f>
        <v>0</v>
      </c>
      <c r="G38" s="1384"/>
      <c r="H38" s="2682"/>
      <c r="I38" s="1398"/>
      <c r="J38" s="1399"/>
      <c r="K38" s="2686"/>
      <c r="L38" s="2682"/>
      <c r="M38" s="2682"/>
    </row>
    <row r="39" spans="1:18" ht="24.6" customHeight="1" thickTop="1">
      <c r="A39" s="1079" t="s">
        <v>394</v>
      </c>
      <c r="B39" s="1094" t="s">
        <v>772</v>
      </c>
      <c r="C39" s="310">
        <f ca="1">C5-C30</f>
        <v>0</v>
      </c>
      <c r="D39" s="1095" t="s">
        <v>773</v>
      </c>
      <c r="E39" s="1096"/>
      <c r="F39" s="1097"/>
      <c r="G39" s="1384"/>
      <c r="H39" s="2682"/>
      <c r="I39" s="1398"/>
      <c r="J39" s="1399"/>
      <c r="K39" s="2686"/>
      <c r="L39" s="2682"/>
      <c r="M39" s="2682"/>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6"/>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6"/>
      <c r="L41" s="1191"/>
      <c r="M41" s="1191"/>
    </row>
    <row r="42" spans="1:18" ht="18" customHeight="1">
      <c r="A42" s="308"/>
      <c r="B42" s="309"/>
      <c r="C42" s="310"/>
      <c r="D42" s="327"/>
      <c r="E42" s="302" t="s">
        <v>766</v>
      </c>
      <c r="F42" s="312">
        <f ca="1">INDIRECT("'数据-取费表'!v"&amp;$G$1)</f>
        <v>0</v>
      </c>
      <c r="G42" s="1384"/>
      <c r="H42" s="1191"/>
      <c r="I42" s="1398"/>
      <c r="J42" s="1399"/>
      <c r="K42" s="2526"/>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6"/>
      <c r="L43" s="1191"/>
      <c r="M43" s="1191"/>
    </row>
    <row r="44" spans="1:18" s="1384" customFormat="1" ht="18" customHeight="1">
      <c r="A44" s="1400"/>
      <c r="B44" s="1400"/>
      <c r="C44" s="1401"/>
      <c r="D44" s="1400"/>
      <c r="E44" s="1400"/>
      <c r="F44" s="1400"/>
      <c r="K44" s="1402"/>
    </row>
    <row r="45" spans="1:18" s="1384" customFormat="1" ht="18" customHeight="1" thickBot="1">
      <c r="A45" s="3413" t="s">
        <v>3358</v>
      </c>
      <c r="B45" s="1400"/>
      <c r="C45" s="1472" t="e">
        <f ca="1">ROUND((C68-C40)/10000,4)</f>
        <v>#DIV/0!</v>
      </c>
      <c r="D45" s="3414"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69" t="s">
        <v>837</v>
      </c>
      <c r="L53" s="377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512" priority="4">
      <formula>$L$48&gt;$J$51</formula>
    </cfRule>
  </conditionalFormatting>
  <conditionalFormatting sqref="I55 I60">
    <cfRule type="expression" dxfId="511" priority="5">
      <formula>$J$51&gt;$L$48</formula>
    </cfRule>
  </conditionalFormatting>
  <conditionalFormatting sqref="C11">
    <cfRule type="expression" dxfId="510" priority="3">
      <formula>$F$10="自定义"</formula>
    </cfRule>
  </conditionalFormatting>
  <conditionalFormatting sqref="J11">
    <cfRule type="expression" dxfId="509" priority="2">
      <formula>$M$10="自定义"</formula>
    </cfRule>
  </conditionalFormatting>
  <conditionalFormatting sqref="C54">
    <cfRule type="expression" dxfId="50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4" customWidth="1"/>
    <col min="2" max="2" width="8.875" style="2824"/>
    <col min="3" max="5" width="12.875" style="2824" customWidth="1"/>
    <col min="6" max="6" width="47.5" style="2824" customWidth="1"/>
    <col min="7" max="7" width="13" style="2983" customWidth="1"/>
    <col min="8" max="8" width="8.875" style="2818"/>
    <col min="9" max="9" width="8.875" style="2819"/>
    <col min="10" max="10" width="5.75" style="2984" customWidth="1"/>
    <col min="11" max="11" width="11.75" style="2984" customWidth="1"/>
    <col min="12" max="13" width="10.75" style="2984" customWidth="1"/>
    <col min="14" max="14" width="10" style="2984" customWidth="1"/>
    <col min="15" max="16" width="10.5" style="2984" bestFit="1" customWidth="1"/>
    <col min="17" max="17" width="10" style="2984" customWidth="1"/>
    <col min="18" max="18" width="10.125" style="2984" customWidth="1"/>
    <col min="19" max="19" width="10" style="2984" customWidth="1"/>
    <col min="20" max="20" width="26.125" style="2984" customWidth="1"/>
    <col min="21" max="21" width="8.875" style="2984"/>
    <col min="22" max="22" width="8.875" style="2819"/>
    <col min="23" max="256" width="8.875" style="2824"/>
    <col min="257" max="257" width="9.5" style="2824" customWidth="1"/>
    <col min="258" max="258" width="8.875" style="2824"/>
    <col min="259" max="261" width="12.875" style="2824" customWidth="1"/>
    <col min="262" max="262" width="47.5" style="2824" customWidth="1"/>
    <col min="263" max="263" width="13" style="2824" customWidth="1"/>
    <col min="264" max="265" width="8.875" style="2824"/>
    <col min="266" max="266" width="5.75" style="2824" customWidth="1"/>
    <col min="267" max="267" width="11.75" style="2824" customWidth="1"/>
    <col min="268" max="269" width="10.75" style="2824" customWidth="1"/>
    <col min="270" max="270" width="10" style="2824" customWidth="1"/>
    <col min="271" max="272" width="10.5" style="2824" bestFit="1" customWidth="1"/>
    <col min="273" max="273" width="10" style="2824" customWidth="1"/>
    <col min="274" max="274" width="10.125" style="2824" customWidth="1"/>
    <col min="275" max="275" width="10" style="2824" customWidth="1"/>
    <col min="276" max="276" width="26.125" style="2824" customWidth="1"/>
    <col min="277" max="512" width="8.875" style="2824"/>
    <col min="513" max="513" width="9.5" style="2824" customWidth="1"/>
    <col min="514" max="514" width="8.875" style="2824"/>
    <col min="515" max="517" width="12.875" style="2824" customWidth="1"/>
    <col min="518" max="518" width="47.5" style="2824" customWidth="1"/>
    <col min="519" max="519" width="13" style="2824" customWidth="1"/>
    <col min="520" max="521" width="8.875" style="2824"/>
    <col min="522" max="522" width="5.75" style="2824" customWidth="1"/>
    <col min="523" max="523" width="11.75" style="2824" customWidth="1"/>
    <col min="524" max="525" width="10.75" style="2824" customWidth="1"/>
    <col min="526" max="526" width="10" style="2824" customWidth="1"/>
    <col min="527" max="528" width="10.5" style="2824" bestFit="1" customWidth="1"/>
    <col min="529" max="529" width="10" style="2824" customWidth="1"/>
    <col min="530" max="530" width="10.125" style="2824" customWidth="1"/>
    <col min="531" max="531" width="10" style="2824" customWidth="1"/>
    <col min="532" max="532" width="26.125" style="2824" customWidth="1"/>
    <col min="533" max="768" width="8.875" style="2824"/>
    <col min="769" max="769" width="9.5" style="2824" customWidth="1"/>
    <col min="770" max="770" width="8.875" style="2824"/>
    <col min="771" max="773" width="12.875" style="2824" customWidth="1"/>
    <col min="774" max="774" width="47.5" style="2824" customWidth="1"/>
    <col min="775" max="775" width="13" style="2824" customWidth="1"/>
    <col min="776" max="777" width="8.875" style="2824"/>
    <col min="778" max="778" width="5.75" style="2824" customWidth="1"/>
    <col min="779" max="779" width="11.75" style="2824" customWidth="1"/>
    <col min="780" max="781" width="10.75" style="2824" customWidth="1"/>
    <col min="782" max="782" width="10" style="2824" customWidth="1"/>
    <col min="783" max="784" width="10.5" style="2824" bestFit="1" customWidth="1"/>
    <col min="785" max="785" width="10" style="2824" customWidth="1"/>
    <col min="786" max="786" width="10.125" style="2824" customWidth="1"/>
    <col min="787" max="787" width="10" style="2824" customWidth="1"/>
    <col min="788" max="788" width="26.125" style="2824" customWidth="1"/>
    <col min="789" max="1024" width="8.875" style="2824"/>
    <col min="1025" max="1025" width="9.5" style="2824" customWidth="1"/>
    <col min="1026" max="1026" width="8.875" style="2824"/>
    <col min="1027" max="1029" width="12.875" style="2824" customWidth="1"/>
    <col min="1030" max="1030" width="47.5" style="2824" customWidth="1"/>
    <col min="1031" max="1031" width="13" style="2824" customWidth="1"/>
    <col min="1032" max="1033" width="8.875" style="2824"/>
    <col min="1034" max="1034" width="5.75" style="2824" customWidth="1"/>
    <col min="1035" max="1035" width="11.75" style="2824" customWidth="1"/>
    <col min="1036" max="1037" width="10.75" style="2824" customWidth="1"/>
    <col min="1038" max="1038" width="10" style="2824" customWidth="1"/>
    <col min="1039" max="1040" width="10.5" style="2824" bestFit="1" customWidth="1"/>
    <col min="1041" max="1041" width="10" style="2824" customWidth="1"/>
    <col min="1042" max="1042" width="10.125" style="2824" customWidth="1"/>
    <col min="1043" max="1043" width="10" style="2824" customWidth="1"/>
    <col min="1044" max="1044" width="26.125" style="2824" customWidth="1"/>
    <col min="1045" max="1280" width="8.875" style="2824"/>
    <col min="1281" max="1281" width="9.5" style="2824" customWidth="1"/>
    <col min="1282" max="1282" width="8.875" style="2824"/>
    <col min="1283" max="1285" width="12.875" style="2824" customWidth="1"/>
    <col min="1286" max="1286" width="47.5" style="2824" customWidth="1"/>
    <col min="1287" max="1287" width="13" style="2824" customWidth="1"/>
    <col min="1288" max="1289" width="8.875" style="2824"/>
    <col min="1290" max="1290" width="5.75" style="2824" customWidth="1"/>
    <col min="1291" max="1291" width="11.75" style="2824" customWidth="1"/>
    <col min="1292" max="1293" width="10.75" style="2824" customWidth="1"/>
    <col min="1294" max="1294" width="10" style="2824" customWidth="1"/>
    <col min="1295" max="1296" width="10.5" style="2824" bestFit="1" customWidth="1"/>
    <col min="1297" max="1297" width="10" style="2824" customWidth="1"/>
    <col min="1298" max="1298" width="10.125" style="2824" customWidth="1"/>
    <col min="1299" max="1299" width="10" style="2824" customWidth="1"/>
    <col min="1300" max="1300" width="26.125" style="2824" customWidth="1"/>
    <col min="1301" max="1536" width="8.875" style="2824"/>
    <col min="1537" max="1537" width="9.5" style="2824" customWidth="1"/>
    <col min="1538" max="1538" width="8.875" style="2824"/>
    <col min="1539" max="1541" width="12.875" style="2824" customWidth="1"/>
    <col min="1542" max="1542" width="47.5" style="2824" customWidth="1"/>
    <col min="1543" max="1543" width="13" style="2824" customWidth="1"/>
    <col min="1544" max="1545" width="8.875" style="2824"/>
    <col min="1546" max="1546" width="5.75" style="2824" customWidth="1"/>
    <col min="1547" max="1547" width="11.75" style="2824" customWidth="1"/>
    <col min="1548" max="1549" width="10.75" style="2824" customWidth="1"/>
    <col min="1550" max="1550" width="10" style="2824" customWidth="1"/>
    <col min="1551" max="1552" width="10.5" style="2824" bestFit="1" customWidth="1"/>
    <col min="1553" max="1553" width="10" style="2824" customWidth="1"/>
    <col min="1554" max="1554" width="10.125" style="2824" customWidth="1"/>
    <col min="1555" max="1555" width="10" style="2824" customWidth="1"/>
    <col min="1556" max="1556" width="26.125" style="2824" customWidth="1"/>
    <col min="1557" max="1792" width="8.875" style="2824"/>
    <col min="1793" max="1793" width="9.5" style="2824" customWidth="1"/>
    <col min="1794" max="1794" width="8.875" style="2824"/>
    <col min="1795" max="1797" width="12.875" style="2824" customWidth="1"/>
    <col min="1798" max="1798" width="47.5" style="2824" customWidth="1"/>
    <col min="1799" max="1799" width="13" style="2824" customWidth="1"/>
    <col min="1800" max="1801" width="8.875" style="2824"/>
    <col min="1802" max="1802" width="5.75" style="2824" customWidth="1"/>
    <col min="1803" max="1803" width="11.75" style="2824" customWidth="1"/>
    <col min="1804" max="1805" width="10.75" style="2824" customWidth="1"/>
    <col min="1806" max="1806" width="10" style="2824" customWidth="1"/>
    <col min="1807" max="1808" width="10.5" style="2824" bestFit="1" customWidth="1"/>
    <col min="1809" max="1809" width="10" style="2824" customWidth="1"/>
    <col min="1810" max="1810" width="10.125" style="2824" customWidth="1"/>
    <col min="1811" max="1811" width="10" style="2824" customWidth="1"/>
    <col min="1812" max="1812" width="26.125" style="2824" customWidth="1"/>
    <col min="1813" max="2048" width="8.875" style="2824"/>
    <col min="2049" max="2049" width="9.5" style="2824" customWidth="1"/>
    <col min="2050" max="2050" width="8.875" style="2824"/>
    <col min="2051" max="2053" width="12.875" style="2824" customWidth="1"/>
    <col min="2054" max="2054" width="47.5" style="2824" customWidth="1"/>
    <col min="2055" max="2055" width="13" style="2824" customWidth="1"/>
    <col min="2056" max="2057" width="8.875" style="2824"/>
    <col min="2058" max="2058" width="5.75" style="2824" customWidth="1"/>
    <col min="2059" max="2059" width="11.75" style="2824" customWidth="1"/>
    <col min="2060" max="2061" width="10.75" style="2824" customWidth="1"/>
    <col min="2062" max="2062" width="10" style="2824" customWidth="1"/>
    <col min="2063" max="2064" width="10.5" style="2824" bestFit="1" customWidth="1"/>
    <col min="2065" max="2065" width="10" style="2824" customWidth="1"/>
    <col min="2066" max="2066" width="10.125" style="2824" customWidth="1"/>
    <col min="2067" max="2067" width="10" style="2824" customWidth="1"/>
    <col min="2068" max="2068" width="26.125" style="2824" customWidth="1"/>
    <col min="2069" max="2304" width="8.875" style="2824"/>
    <col min="2305" max="2305" width="9.5" style="2824" customWidth="1"/>
    <col min="2306" max="2306" width="8.875" style="2824"/>
    <col min="2307" max="2309" width="12.875" style="2824" customWidth="1"/>
    <col min="2310" max="2310" width="47.5" style="2824" customWidth="1"/>
    <col min="2311" max="2311" width="13" style="2824" customWidth="1"/>
    <col min="2312" max="2313" width="8.875" style="2824"/>
    <col min="2314" max="2314" width="5.75" style="2824" customWidth="1"/>
    <col min="2315" max="2315" width="11.75" style="2824" customWidth="1"/>
    <col min="2316" max="2317" width="10.75" style="2824" customWidth="1"/>
    <col min="2318" max="2318" width="10" style="2824" customWidth="1"/>
    <col min="2319" max="2320" width="10.5" style="2824" bestFit="1" customWidth="1"/>
    <col min="2321" max="2321" width="10" style="2824" customWidth="1"/>
    <col min="2322" max="2322" width="10.125" style="2824" customWidth="1"/>
    <col min="2323" max="2323" width="10" style="2824" customWidth="1"/>
    <col min="2324" max="2324" width="26.125" style="2824" customWidth="1"/>
    <col min="2325" max="2560" width="8.875" style="2824"/>
    <col min="2561" max="2561" width="9.5" style="2824" customWidth="1"/>
    <col min="2562" max="2562" width="8.875" style="2824"/>
    <col min="2563" max="2565" width="12.875" style="2824" customWidth="1"/>
    <col min="2566" max="2566" width="47.5" style="2824" customWidth="1"/>
    <col min="2567" max="2567" width="13" style="2824" customWidth="1"/>
    <col min="2568" max="2569" width="8.875" style="2824"/>
    <col min="2570" max="2570" width="5.75" style="2824" customWidth="1"/>
    <col min="2571" max="2571" width="11.75" style="2824" customWidth="1"/>
    <col min="2572" max="2573" width="10.75" style="2824" customWidth="1"/>
    <col min="2574" max="2574" width="10" style="2824" customWidth="1"/>
    <col min="2575" max="2576" width="10.5" style="2824" bestFit="1" customWidth="1"/>
    <col min="2577" max="2577" width="10" style="2824" customWidth="1"/>
    <col min="2578" max="2578" width="10.125" style="2824" customWidth="1"/>
    <col min="2579" max="2579" width="10" style="2824" customWidth="1"/>
    <col min="2580" max="2580" width="26.125" style="2824" customWidth="1"/>
    <col min="2581" max="2816" width="8.875" style="2824"/>
    <col min="2817" max="2817" width="9.5" style="2824" customWidth="1"/>
    <col min="2818" max="2818" width="8.875" style="2824"/>
    <col min="2819" max="2821" width="12.875" style="2824" customWidth="1"/>
    <col min="2822" max="2822" width="47.5" style="2824" customWidth="1"/>
    <col min="2823" max="2823" width="13" style="2824" customWidth="1"/>
    <col min="2824" max="2825" width="8.875" style="2824"/>
    <col min="2826" max="2826" width="5.75" style="2824" customWidth="1"/>
    <col min="2827" max="2827" width="11.75" style="2824" customWidth="1"/>
    <col min="2828" max="2829" width="10.75" style="2824" customWidth="1"/>
    <col min="2830" max="2830" width="10" style="2824" customWidth="1"/>
    <col min="2831" max="2832" width="10.5" style="2824" bestFit="1" customWidth="1"/>
    <col min="2833" max="2833" width="10" style="2824" customWidth="1"/>
    <col min="2834" max="2834" width="10.125" style="2824" customWidth="1"/>
    <col min="2835" max="2835" width="10" style="2824" customWidth="1"/>
    <col min="2836" max="2836" width="26.125" style="2824" customWidth="1"/>
    <col min="2837" max="3072" width="8.875" style="2824"/>
    <col min="3073" max="3073" width="9.5" style="2824" customWidth="1"/>
    <col min="3074" max="3074" width="8.875" style="2824"/>
    <col min="3075" max="3077" width="12.875" style="2824" customWidth="1"/>
    <col min="3078" max="3078" width="47.5" style="2824" customWidth="1"/>
    <col min="3079" max="3079" width="13" style="2824" customWidth="1"/>
    <col min="3080" max="3081" width="8.875" style="2824"/>
    <col min="3082" max="3082" width="5.75" style="2824" customWidth="1"/>
    <col min="3083" max="3083" width="11.75" style="2824" customWidth="1"/>
    <col min="3084" max="3085" width="10.75" style="2824" customWidth="1"/>
    <col min="3086" max="3086" width="10" style="2824" customWidth="1"/>
    <col min="3087" max="3088" width="10.5" style="2824" bestFit="1" customWidth="1"/>
    <col min="3089" max="3089" width="10" style="2824" customWidth="1"/>
    <col min="3090" max="3090" width="10.125" style="2824" customWidth="1"/>
    <col min="3091" max="3091" width="10" style="2824" customWidth="1"/>
    <col min="3092" max="3092" width="26.125" style="2824" customWidth="1"/>
    <col min="3093" max="3328" width="8.875" style="2824"/>
    <col min="3329" max="3329" width="9.5" style="2824" customWidth="1"/>
    <col min="3330" max="3330" width="8.875" style="2824"/>
    <col min="3331" max="3333" width="12.875" style="2824" customWidth="1"/>
    <col min="3334" max="3334" width="47.5" style="2824" customWidth="1"/>
    <col min="3335" max="3335" width="13" style="2824" customWidth="1"/>
    <col min="3336" max="3337" width="8.875" style="2824"/>
    <col min="3338" max="3338" width="5.75" style="2824" customWidth="1"/>
    <col min="3339" max="3339" width="11.75" style="2824" customWidth="1"/>
    <col min="3340" max="3341" width="10.75" style="2824" customWidth="1"/>
    <col min="3342" max="3342" width="10" style="2824" customWidth="1"/>
    <col min="3343" max="3344" width="10.5" style="2824" bestFit="1" customWidth="1"/>
    <col min="3345" max="3345" width="10" style="2824" customWidth="1"/>
    <col min="3346" max="3346" width="10.125" style="2824" customWidth="1"/>
    <col min="3347" max="3347" width="10" style="2824" customWidth="1"/>
    <col min="3348" max="3348" width="26.125" style="2824" customWidth="1"/>
    <col min="3349" max="3584" width="8.875" style="2824"/>
    <col min="3585" max="3585" width="9.5" style="2824" customWidth="1"/>
    <col min="3586" max="3586" width="8.875" style="2824"/>
    <col min="3587" max="3589" width="12.875" style="2824" customWidth="1"/>
    <col min="3590" max="3590" width="47.5" style="2824" customWidth="1"/>
    <col min="3591" max="3591" width="13" style="2824" customWidth="1"/>
    <col min="3592" max="3593" width="8.875" style="2824"/>
    <col min="3594" max="3594" width="5.75" style="2824" customWidth="1"/>
    <col min="3595" max="3595" width="11.75" style="2824" customWidth="1"/>
    <col min="3596" max="3597" width="10.75" style="2824" customWidth="1"/>
    <col min="3598" max="3598" width="10" style="2824" customWidth="1"/>
    <col min="3599" max="3600" width="10.5" style="2824" bestFit="1" customWidth="1"/>
    <col min="3601" max="3601" width="10" style="2824" customWidth="1"/>
    <col min="3602" max="3602" width="10.125" style="2824" customWidth="1"/>
    <col min="3603" max="3603" width="10" style="2824" customWidth="1"/>
    <col min="3604" max="3604" width="26.125" style="2824" customWidth="1"/>
    <col min="3605" max="3840" width="8.875" style="2824"/>
    <col min="3841" max="3841" width="9.5" style="2824" customWidth="1"/>
    <col min="3842" max="3842" width="8.875" style="2824"/>
    <col min="3843" max="3845" width="12.875" style="2824" customWidth="1"/>
    <col min="3846" max="3846" width="47.5" style="2824" customWidth="1"/>
    <col min="3847" max="3847" width="13" style="2824" customWidth="1"/>
    <col min="3848" max="3849" width="8.875" style="2824"/>
    <col min="3850" max="3850" width="5.75" style="2824" customWidth="1"/>
    <col min="3851" max="3851" width="11.75" style="2824" customWidth="1"/>
    <col min="3852" max="3853" width="10.75" style="2824" customWidth="1"/>
    <col min="3854" max="3854" width="10" style="2824" customWidth="1"/>
    <col min="3855" max="3856" width="10.5" style="2824" bestFit="1" customWidth="1"/>
    <col min="3857" max="3857" width="10" style="2824" customWidth="1"/>
    <col min="3858" max="3858" width="10.125" style="2824" customWidth="1"/>
    <col min="3859" max="3859" width="10" style="2824" customWidth="1"/>
    <col min="3860" max="3860" width="26.125" style="2824" customWidth="1"/>
    <col min="3861" max="4096" width="8.875" style="2824"/>
    <col min="4097" max="4097" width="9.5" style="2824" customWidth="1"/>
    <col min="4098" max="4098" width="8.875" style="2824"/>
    <col min="4099" max="4101" width="12.875" style="2824" customWidth="1"/>
    <col min="4102" max="4102" width="47.5" style="2824" customWidth="1"/>
    <col min="4103" max="4103" width="13" style="2824" customWidth="1"/>
    <col min="4104" max="4105" width="8.875" style="2824"/>
    <col min="4106" max="4106" width="5.75" style="2824" customWidth="1"/>
    <col min="4107" max="4107" width="11.75" style="2824" customWidth="1"/>
    <col min="4108" max="4109" width="10.75" style="2824" customWidth="1"/>
    <col min="4110" max="4110" width="10" style="2824" customWidth="1"/>
    <col min="4111" max="4112" width="10.5" style="2824" bestFit="1" customWidth="1"/>
    <col min="4113" max="4113" width="10" style="2824" customWidth="1"/>
    <col min="4114" max="4114" width="10.125" style="2824" customWidth="1"/>
    <col min="4115" max="4115" width="10" style="2824" customWidth="1"/>
    <col min="4116" max="4116" width="26.125" style="2824" customWidth="1"/>
    <col min="4117" max="4352" width="8.875" style="2824"/>
    <col min="4353" max="4353" width="9.5" style="2824" customWidth="1"/>
    <col min="4354" max="4354" width="8.875" style="2824"/>
    <col min="4355" max="4357" width="12.875" style="2824" customWidth="1"/>
    <col min="4358" max="4358" width="47.5" style="2824" customWidth="1"/>
    <col min="4359" max="4359" width="13" style="2824" customWidth="1"/>
    <col min="4360" max="4361" width="8.875" style="2824"/>
    <col min="4362" max="4362" width="5.75" style="2824" customWidth="1"/>
    <col min="4363" max="4363" width="11.75" style="2824" customWidth="1"/>
    <col min="4364" max="4365" width="10.75" style="2824" customWidth="1"/>
    <col min="4366" max="4366" width="10" style="2824" customWidth="1"/>
    <col min="4367" max="4368" width="10.5" style="2824" bestFit="1" customWidth="1"/>
    <col min="4369" max="4369" width="10" style="2824" customWidth="1"/>
    <col min="4370" max="4370" width="10.125" style="2824" customWidth="1"/>
    <col min="4371" max="4371" width="10" style="2824" customWidth="1"/>
    <col min="4372" max="4372" width="26.125" style="2824" customWidth="1"/>
    <col min="4373" max="4608" width="8.875" style="2824"/>
    <col min="4609" max="4609" width="9.5" style="2824" customWidth="1"/>
    <col min="4610" max="4610" width="8.875" style="2824"/>
    <col min="4611" max="4613" width="12.875" style="2824" customWidth="1"/>
    <col min="4614" max="4614" width="47.5" style="2824" customWidth="1"/>
    <col min="4615" max="4615" width="13" style="2824" customWidth="1"/>
    <col min="4616" max="4617" width="8.875" style="2824"/>
    <col min="4618" max="4618" width="5.75" style="2824" customWidth="1"/>
    <col min="4619" max="4619" width="11.75" style="2824" customWidth="1"/>
    <col min="4620" max="4621" width="10.75" style="2824" customWidth="1"/>
    <col min="4622" max="4622" width="10" style="2824" customWidth="1"/>
    <col min="4623" max="4624" width="10.5" style="2824" bestFit="1" customWidth="1"/>
    <col min="4625" max="4625" width="10" style="2824" customWidth="1"/>
    <col min="4626" max="4626" width="10.125" style="2824" customWidth="1"/>
    <col min="4627" max="4627" width="10" style="2824" customWidth="1"/>
    <col min="4628" max="4628" width="26.125" style="2824" customWidth="1"/>
    <col min="4629" max="4864" width="8.875" style="2824"/>
    <col min="4865" max="4865" width="9.5" style="2824" customWidth="1"/>
    <col min="4866" max="4866" width="8.875" style="2824"/>
    <col min="4867" max="4869" width="12.875" style="2824" customWidth="1"/>
    <col min="4870" max="4870" width="47.5" style="2824" customWidth="1"/>
    <col min="4871" max="4871" width="13" style="2824" customWidth="1"/>
    <col min="4872" max="4873" width="8.875" style="2824"/>
    <col min="4874" max="4874" width="5.75" style="2824" customWidth="1"/>
    <col min="4875" max="4875" width="11.75" style="2824" customWidth="1"/>
    <col min="4876" max="4877" width="10.75" style="2824" customWidth="1"/>
    <col min="4878" max="4878" width="10" style="2824" customWidth="1"/>
    <col min="4879" max="4880" width="10.5" style="2824" bestFit="1" customWidth="1"/>
    <col min="4881" max="4881" width="10" style="2824" customWidth="1"/>
    <col min="4882" max="4882" width="10.125" style="2824" customWidth="1"/>
    <col min="4883" max="4883" width="10" style="2824" customWidth="1"/>
    <col min="4884" max="4884" width="26.125" style="2824" customWidth="1"/>
    <col min="4885" max="5120" width="8.875" style="2824"/>
    <col min="5121" max="5121" width="9.5" style="2824" customWidth="1"/>
    <col min="5122" max="5122" width="8.875" style="2824"/>
    <col min="5123" max="5125" width="12.875" style="2824" customWidth="1"/>
    <col min="5126" max="5126" width="47.5" style="2824" customWidth="1"/>
    <col min="5127" max="5127" width="13" style="2824" customWidth="1"/>
    <col min="5128" max="5129" width="8.875" style="2824"/>
    <col min="5130" max="5130" width="5.75" style="2824" customWidth="1"/>
    <col min="5131" max="5131" width="11.75" style="2824" customWidth="1"/>
    <col min="5132" max="5133" width="10.75" style="2824" customWidth="1"/>
    <col min="5134" max="5134" width="10" style="2824" customWidth="1"/>
    <col min="5135" max="5136" width="10.5" style="2824" bestFit="1" customWidth="1"/>
    <col min="5137" max="5137" width="10" style="2824" customWidth="1"/>
    <col min="5138" max="5138" width="10.125" style="2824" customWidth="1"/>
    <col min="5139" max="5139" width="10" style="2824" customWidth="1"/>
    <col min="5140" max="5140" width="26.125" style="2824" customWidth="1"/>
    <col min="5141" max="5376" width="8.875" style="2824"/>
    <col min="5377" max="5377" width="9.5" style="2824" customWidth="1"/>
    <col min="5378" max="5378" width="8.875" style="2824"/>
    <col min="5379" max="5381" width="12.875" style="2824" customWidth="1"/>
    <col min="5382" max="5382" width="47.5" style="2824" customWidth="1"/>
    <col min="5383" max="5383" width="13" style="2824" customWidth="1"/>
    <col min="5384" max="5385" width="8.875" style="2824"/>
    <col min="5386" max="5386" width="5.75" style="2824" customWidth="1"/>
    <col min="5387" max="5387" width="11.75" style="2824" customWidth="1"/>
    <col min="5388" max="5389" width="10.75" style="2824" customWidth="1"/>
    <col min="5390" max="5390" width="10" style="2824" customWidth="1"/>
    <col min="5391" max="5392" width="10.5" style="2824" bestFit="1" customWidth="1"/>
    <col min="5393" max="5393" width="10" style="2824" customWidth="1"/>
    <col min="5394" max="5394" width="10.125" style="2824" customWidth="1"/>
    <col min="5395" max="5395" width="10" style="2824" customWidth="1"/>
    <col min="5396" max="5396" width="26.125" style="2824" customWidth="1"/>
    <col min="5397" max="5632" width="8.875" style="2824"/>
    <col min="5633" max="5633" width="9.5" style="2824" customWidth="1"/>
    <col min="5634" max="5634" width="8.875" style="2824"/>
    <col min="5635" max="5637" width="12.875" style="2824" customWidth="1"/>
    <col min="5638" max="5638" width="47.5" style="2824" customWidth="1"/>
    <col min="5639" max="5639" width="13" style="2824" customWidth="1"/>
    <col min="5640" max="5641" width="8.875" style="2824"/>
    <col min="5642" max="5642" width="5.75" style="2824" customWidth="1"/>
    <col min="5643" max="5643" width="11.75" style="2824" customWidth="1"/>
    <col min="5644" max="5645" width="10.75" style="2824" customWidth="1"/>
    <col min="5646" max="5646" width="10" style="2824" customWidth="1"/>
    <col min="5647" max="5648" width="10.5" style="2824" bestFit="1" customWidth="1"/>
    <col min="5649" max="5649" width="10" style="2824" customWidth="1"/>
    <col min="5650" max="5650" width="10.125" style="2824" customWidth="1"/>
    <col min="5651" max="5651" width="10" style="2824" customWidth="1"/>
    <col min="5652" max="5652" width="26.125" style="2824" customWidth="1"/>
    <col min="5653" max="5888" width="8.875" style="2824"/>
    <col min="5889" max="5889" width="9.5" style="2824" customWidth="1"/>
    <col min="5890" max="5890" width="8.875" style="2824"/>
    <col min="5891" max="5893" width="12.875" style="2824" customWidth="1"/>
    <col min="5894" max="5894" width="47.5" style="2824" customWidth="1"/>
    <col min="5895" max="5895" width="13" style="2824" customWidth="1"/>
    <col min="5896" max="5897" width="8.875" style="2824"/>
    <col min="5898" max="5898" width="5.75" style="2824" customWidth="1"/>
    <col min="5899" max="5899" width="11.75" style="2824" customWidth="1"/>
    <col min="5900" max="5901" width="10.75" style="2824" customWidth="1"/>
    <col min="5902" max="5902" width="10" style="2824" customWidth="1"/>
    <col min="5903" max="5904" width="10.5" style="2824" bestFit="1" customWidth="1"/>
    <col min="5905" max="5905" width="10" style="2824" customWidth="1"/>
    <col min="5906" max="5906" width="10.125" style="2824" customWidth="1"/>
    <col min="5907" max="5907" width="10" style="2824" customWidth="1"/>
    <col min="5908" max="5908" width="26.125" style="2824" customWidth="1"/>
    <col min="5909" max="6144" width="8.875" style="2824"/>
    <col min="6145" max="6145" width="9.5" style="2824" customWidth="1"/>
    <col min="6146" max="6146" width="8.875" style="2824"/>
    <col min="6147" max="6149" width="12.875" style="2824" customWidth="1"/>
    <col min="6150" max="6150" width="47.5" style="2824" customWidth="1"/>
    <col min="6151" max="6151" width="13" style="2824" customWidth="1"/>
    <col min="6152" max="6153" width="8.875" style="2824"/>
    <col min="6154" max="6154" width="5.75" style="2824" customWidth="1"/>
    <col min="6155" max="6155" width="11.75" style="2824" customWidth="1"/>
    <col min="6156" max="6157" width="10.75" style="2824" customWidth="1"/>
    <col min="6158" max="6158" width="10" style="2824" customWidth="1"/>
    <col min="6159" max="6160" width="10.5" style="2824" bestFit="1" customWidth="1"/>
    <col min="6161" max="6161" width="10" style="2824" customWidth="1"/>
    <col min="6162" max="6162" width="10.125" style="2824" customWidth="1"/>
    <col min="6163" max="6163" width="10" style="2824" customWidth="1"/>
    <col min="6164" max="6164" width="26.125" style="2824" customWidth="1"/>
    <col min="6165" max="6400" width="8.875" style="2824"/>
    <col min="6401" max="6401" width="9.5" style="2824" customWidth="1"/>
    <col min="6402" max="6402" width="8.875" style="2824"/>
    <col min="6403" max="6405" width="12.875" style="2824" customWidth="1"/>
    <col min="6406" max="6406" width="47.5" style="2824" customWidth="1"/>
    <col min="6407" max="6407" width="13" style="2824" customWidth="1"/>
    <col min="6408" max="6409" width="8.875" style="2824"/>
    <col min="6410" max="6410" width="5.75" style="2824" customWidth="1"/>
    <col min="6411" max="6411" width="11.75" style="2824" customWidth="1"/>
    <col min="6412" max="6413" width="10.75" style="2824" customWidth="1"/>
    <col min="6414" max="6414" width="10" style="2824" customWidth="1"/>
    <col min="6415" max="6416" width="10.5" style="2824" bestFit="1" customWidth="1"/>
    <col min="6417" max="6417" width="10" style="2824" customWidth="1"/>
    <col min="6418" max="6418" width="10.125" style="2824" customWidth="1"/>
    <col min="6419" max="6419" width="10" style="2824" customWidth="1"/>
    <col min="6420" max="6420" width="26.125" style="2824" customWidth="1"/>
    <col min="6421" max="6656" width="8.875" style="2824"/>
    <col min="6657" max="6657" width="9.5" style="2824" customWidth="1"/>
    <col min="6658" max="6658" width="8.875" style="2824"/>
    <col min="6659" max="6661" width="12.875" style="2824" customWidth="1"/>
    <col min="6662" max="6662" width="47.5" style="2824" customWidth="1"/>
    <col min="6663" max="6663" width="13" style="2824" customWidth="1"/>
    <col min="6664" max="6665" width="8.875" style="2824"/>
    <col min="6666" max="6666" width="5.75" style="2824" customWidth="1"/>
    <col min="6667" max="6667" width="11.75" style="2824" customWidth="1"/>
    <col min="6668" max="6669" width="10.75" style="2824" customWidth="1"/>
    <col min="6670" max="6670" width="10" style="2824" customWidth="1"/>
    <col min="6671" max="6672" width="10.5" style="2824" bestFit="1" customWidth="1"/>
    <col min="6673" max="6673" width="10" style="2824" customWidth="1"/>
    <col min="6674" max="6674" width="10.125" style="2824" customWidth="1"/>
    <col min="6675" max="6675" width="10" style="2824" customWidth="1"/>
    <col min="6676" max="6676" width="26.125" style="2824" customWidth="1"/>
    <col min="6677" max="6912" width="8.875" style="2824"/>
    <col min="6913" max="6913" width="9.5" style="2824" customWidth="1"/>
    <col min="6914" max="6914" width="8.875" style="2824"/>
    <col min="6915" max="6917" width="12.875" style="2824" customWidth="1"/>
    <col min="6918" max="6918" width="47.5" style="2824" customWidth="1"/>
    <col min="6919" max="6919" width="13" style="2824" customWidth="1"/>
    <col min="6920" max="6921" width="8.875" style="2824"/>
    <col min="6922" max="6922" width="5.75" style="2824" customWidth="1"/>
    <col min="6923" max="6923" width="11.75" style="2824" customWidth="1"/>
    <col min="6924" max="6925" width="10.75" style="2824" customWidth="1"/>
    <col min="6926" max="6926" width="10" style="2824" customWidth="1"/>
    <col min="6927" max="6928" width="10.5" style="2824" bestFit="1" customWidth="1"/>
    <col min="6929" max="6929" width="10" style="2824" customWidth="1"/>
    <col min="6930" max="6930" width="10.125" style="2824" customWidth="1"/>
    <col min="6931" max="6931" width="10" style="2824" customWidth="1"/>
    <col min="6932" max="6932" width="26.125" style="2824" customWidth="1"/>
    <col min="6933" max="7168" width="8.875" style="2824"/>
    <col min="7169" max="7169" width="9.5" style="2824" customWidth="1"/>
    <col min="7170" max="7170" width="8.875" style="2824"/>
    <col min="7171" max="7173" width="12.875" style="2824" customWidth="1"/>
    <col min="7174" max="7174" width="47.5" style="2824" customWidth="1"/>
    <col min="7175" max="7175" width="13" style="2824" customWidth="1"/>
    <col min="7176" max="7177" width="8.875" style="2824"/>
    <col min="7178" max="7178" width="5.75" style="2824" customWidth="1"/>
    <col min="7179" max="7179" width="11.75" style="2824" customWidth="1"/>
    <col min="7180" max="7181" width="10.75" style="2824" customWidth="1"/>
    <col min="7182" max="7182" width="10" style="2824" customWidth="1"/>
    <col min="7183" max="7184" width="10.5" style="2824" bestFit="1" customWidth="1"/>
    <col min="7185" max="7185" width="10" style="2824" customWidth="1"/>
    <col min="7186" max="7186" width="10.125" style="2824" customWidth="1"/>
    <col min="7187" max="7187" width="10" style="2824" customWidth="1"/>
    <col min="7188" max="7188" width="26.125" style="2824" customWidth="1"/>
    <col min="7189" max="7424" width="8.875" style="2824"/>
    <col min="7425" max="7425" width="9.5" style="2824" customWidth="1"/>
    <col min="7426" max="7426" width="8.875" style="2824"/>
    <col min="7427" max="7429" width="12.875" style="2824" customWidth="1"/>
    <col min="7430" max="7430" width="47.5" style="2824" customWidth="1"/>
    <col min="7431" max="7431" width="13" style="2824" customWidth="1"/>
    <col min="7432" max="7433" width="8.875" style="2824"/>
    <col min="7434" max="7434" width="5.75" style="2824" customWidth="1"/>
    <col min="7435" max="7435" width="11.75" style="2824" customWidth="1"/>
    <col min="7436" max="7437" width="10.75" style="2824" customWidth="1"/>
    <col min="7438" max="7438" width="10" style="2824" customWidth="1"/>
    <col min="7439" max="7440" width="10.5" style="2824" bestFit="1" customWidth="1"/>
    <col min="7441" max="7441" width="10" style="2824" customWidth="1"/>
    <col min="7442" max="7442" width="10.125" style="2824" customWidth="1"/>
    <col min="7443" max="7443" width="10" style="2824" customWidth="1"/>
    <col min="7444" max="7444" width="26.125" style="2824" customWidth="1"/>
    <col min="7445" max="7680" width="8.875" style="2824"/>
    <col min="7681" max="7681" width="9.5" style="2824" customWidth="1"/>
    <col min="7682" max="7682" width="8.875" style="2824"/>
    <col min="7683" max="7685" width="12.875" style="2824" customWidth="1"/>
    <col min="7686" max="7686" width="47.5" style="2824" customWidth="1"/>
    <col min="7687" max="7687" width="13" style="2824" customWidth="1"/>
    <col min="7688" max="7689" width="8.875" style="2824"/>
    <col min="7690" max="7690" width="5.75" style="2824" customWidth="1"/>
    <col min="7691" max="7691" width="11.75" style="2824" customWidth="1"/>
    <col min="7692" max="7693" width="10.75" style="2824" customWidth="1"/>
    <col min="7694" max="7694" width="10" style="2824" customWidth="1"/>
    <col min="7695" max="7696" width="10.5" style="2824" bestFit="1" customWidth="1"/>
    <col min="7697" max="7697" width="10" style="2824" customWidth="1"/>
    <col min="7698" max="7698" width="10.125" style="2824" customWidth="1"/>
    <col min="7699" max="7699" width="10" style="2824" customWidth="1"/>
    <col min="7700" max="7700" width="26.125" style="2824" customWidth="1"/>
    <col min="7701" max="7936" width="8.875" style="2824"/>
    <col min="7937" max="7937" width="9.5" style="2824" customWidth="1"/>
    <col min="7938" max="7938" width="8.875" style="2824"/>
    <col min="7939" max="7941" width="12.875" style="2824" customWidth="1"/>
    <col min="7942" max="7942" width="47.5" style="2824" customWidth="1"/>
    <col min="7943" max="7943" width="13" style="2824" customWidth="1"/>
    <col min="7944" max="7945" width="8.875" style="2824"/>
    <col min="7946" max="7946" width="5.75" style="2824" customWidth="1"/>
    <col min="7947" max="7947" width="11.75" style="2824" customWidth="1"/>
    <col min="7948" max="7949" width="10.75" style="2824" customWidth="1"/>
    <col min="7950" max="7950" width="10" style="2824" customWidth="1"/>
    <col min="7951" max="7952" width="10.5" style="2824" bestFit="1" customWidth="1"/>
    <col min="7953" max="7953" width="10" style="2824" customWidth="1"/>
    <col min="7954" max="7954" width="10.125" style="2824" customWidth="1"/>
    <col min="7955" max="7955" width="10" style="2824" customWidth="1"/>
    <col min="7956" max="7956" width="26.125" style="2824" customWidth="1"/>
    <col min="7957" max="8192" width="8.875" style="2824"/>
    <col min="8193" max="8193" width="9.5" style="2824" customWidth="1"/>
    <col min="8194" max="8194" width="8.875" style="2824"/>
    <col min="8195" max="8197" width="12.875" style="2824" customWidth="1"/>
    <col min="8198" max="8198" width="47.5" style="2824" customWidth="1"/>
    <col min="8199" max="8199" width="13" style="2824" customWidth="1"/>
    <col min="8200" max="8201" width="8.875" style="2824"/>
    <col min="8202" max="8202" width="5.75" style="2824" customWidth="1"/>
    <col min="8203" max="8203" width="11.75" style="2824" customWidth="1"/>
    <col min="8204" max="8205" width="10.75" style="2824" customWidth="1"/>
    <col min="8206" max="8206" width="10" style="2824" customWidth="1"/>
    <col min="8207" max="8208" width="10.5" style="2824" bestFit="1" customWidth="1"/>
    <col min="8209" max="8209" width="10" style="2824" customWidth="1"/>
    <col min="8210" max="8210" width="10.125" style="2824" customWidth="1"/>
    <col min="8211" max="8211" width="10" style="2824" customWidth="1"/>
    <col min="8212" max="8212" width="26.125" style="2824" customWidth="1"/>
    <col min="8213" max="8448" width="8.875" style="2824"/>
    <col min="8449" max="8449" width="9.5" style="2824" customWidth="1"/>
    <col min="8450" max="8450" width="8.875" style="2824"/>
    <col min="8451" max="8453" width="12.875" style="2824" customWidth="1"/>
    <col min="8454" max="8454" width="47.5" style="2824" customWidth="1"/>
    <col min="8455" max="8455" width="13" style="2824" customWidth="1"/>
    <col min="8456" max="8457" width="8.875" style="2824"/>
    <col min="8458" max="8458" width="5.75" style="2824" customWidth="1"/>
    <col min="8459" max="8459" width="11.75" style="2824" customWidth="1"/>
    <col min="8460" max="8461" width="10.75" style="2824" customWidth="1"/>
    <col min="8462" max="8462" width="10" style="2824" customWidth="1"/>
    <col min="8463" max="8464" width="10.5" style="2824" bestFit="1" customWidth="1"/>
    <col min="8465" max="8465" width="10" style="2824" customWidth="1"/>
    <col min="8466" max="8466" width="10.125" style="2824" customWidth="1"/>
    <col min="8467" max="8467" width="10" style="2824" customWidth="1"/>
    <col min="8468" max="8468" width="26.125" style="2824" customWidth="1"/>
    <col min="8469" max="8704" width="8.875" style="2824"/>
    <col min="8705" max="8705" width="9.5" style="2824" customWidth="1"/>
    <col min="8706" max="8706" width="8.875" style="2824"/>
    <col min="8707" max="8709" width="12.875" style="2824" customWidth="1"/>
    <col min="8710" max="8710" width="47.5" style="2824" customWidth="1"/>
    <col min="8711" max="8711" width="13" style="2824" customWidth="1"/>
    <col min="8712" max="8713" width="8.875" style="2824"/>
    <col min="8714" max="8714" width="5.75" style="2824" customWidth="1"/>
    <col min="8715" max="8715" width="11.75" style="2824" customWidth="1"/>
    <col min="8716" max="8717" width="10.75" style="2824" customWidth="1"/>
    <col min="8718" max="8718" width="10" style="2824" customWidth="1"/>
    <col min="8719" max="8720" width="10.5" style="2824" bestFit="1" customWidth="1"/>
    <col min="8721" max="8721" width="10" style="2824" customWidth="1"/>
    <col min="8722" max="8722" width="10.125" style="2824" customWidth="1"/>
    <col min="8723" max="8723" width="10" style="2824" customWidth="1"/>
    <col min="8724" max="8724" width="26.125" style="2824" customWidth="1"/>
    <col min="8725" max="8960" width="8.875" style="2824"/>
    <col min="8961" max="8961" width="9.5" style="2824" customWidth="1"/>
    <col min="8962" max="8962" width="8.875" style="2824"/>
    <col min="8963" max="8965" width="12.875" style="2824" customWidth="1"/>
    <col min="8966" max="8966" width="47.5" style="2824" customWidth="1"/>
    <col min="8967" max="8967" width="13" style="2824" customWidth="1"/>
    <col min="8968" max="8969" width="8.875" style="2824"/>
    <col min="8970" max="8970" width="5.75" style="2824" customWidth="1"/>
    <col min="8971" max="8971" width="11.75" style="2824" customWidth="1"/>
    <col min="8972" max="8973" width="10.75" style="2824" customWidth="1"/>
    <col min="8974" max="8974" width="10" style="2824" customWidth="1"/>
    <col min="8975" max="8976" width="10.5" style="2824" bestFit="1" customWidth="1"/>
    <col min="8977" max="8977" width="10" style="2824" customWidth="1"/>
    <col min="8978" max="8978" width="10.125" style="2824" customWidth="1"/>
    <col min="8979" max="8979" width="10" style="2824" customWidth="1"/>
    <col min="8980" max="8980" width="26.125" style="2824" customWidth="1"/>
    <col min="8981" max="9216" width="8.875" style="2824"/>
    <col min="9217" max="9217" width="9.5" style="2824" customWidth="1"/>
    <col min="9218" max="9218" width="8.875" style="2824"/>
    <col min="9219" max="9221" width="12.875" style="2824" customWidth="1"/>
    <col min="9222" max="9222" width="47.5" style="2824" customWidth="1"/>
    <col min="9223" max="9223" width="13" style="2824" customWidth="1"/>
    <col min="9224" max="9225" width="8.875" style="2824"/>
    <col min="9226" max="9226" width="5.75" style="2824" customWidth="1"/>
    <col min="9227" max="9227" width="11.75" style="2824" customWidth="1"/>
    <col min="9228" max="9229" width="10.75" style="2824" customWidth="1"/>
    <col min="9230" max="9230" width="10" style="2824" customWidth="1"/>
    <col min="9231" max="9232" width="10.5" style="2824" bestFit="1" customWidth="1"/>
    <col min="9233" max="9233" width="10" style="2824" customWidth="1"/>
    <col min="9234" max="9234" width="10.125" style="2824" customWidth="1"/>
    <col min="9235" max="9235" width="10" style="2824" customWidth="1"/>
    <col min="9236" max="9236" width="26.125" style="2824" customWidth="1"/>
    <col min="9237" max="9472" width="8.875" style="2824"/>
    <col min="9473" max="9473" width="9.5" style="2824" customWidth="1"/>
    <col min="9474" max="9474" width="8.875" style="2824"/>
    <col min="9475" max="9477" width="12.875" style="2824" customWidth="1"/>
    <col min="9478" max="9478" width="47.5" style="2824" customWidth="1"/>
    <col min="9479" max="9479" width="13" style="2824" customWidth="1"/>
    <col min="9480" max="9481" width="8.875" style="2824"/>
    <col min="9482" max="9482" width="5.75" style="2824" customWidth="1"/>
    <col min="9483" max="9483" width="11.75" style="2824" customWidth="1"/>
    <col min="9484" max="9485" width="10.75" style="2824" customWidth="1"/>
    <col min="9486" max="9486" width="10" style="2824" customWidth="1"/>
    <col min="9487" max="9488" width="10.5" style="2824" bestFit="1" customWidth="1"/>
    <col min="9489" max="9489" width="10" style="2824" customWidth="1"/>
    <col min="9490" max="9490" width="10.125" style="2824" customWidth="1"/>
    <col min="9491" max="9491" width="10" style="2824" customWidth="1"/>
    <col min="9492" max="9492" width="26.125" style="2824" customWidth="1"/>
    <col min="9493" max="9728" width="8.875" style="2824"/>
    <col min="9729" max="9729" width="9.5" style="2824" customWidth="1"/>
    <col min="9730" max="9730" width="8.875" style="2824"/>
    <col min="9731" max="9733" width="12.875" style="2824" customWidth="1"/>
    <col min="9734" max="9734" width="47.5" style="2824" customWidth="1"/>
    <col min="9735" max="9735" width="13" style="2824" customWidth="1"/>
    <col min="9736" max="9737" width="8.875" style="2824"/>
    <col min="9738" max="9738" width="5.75" style="2824" customWidth="1"/>
    <col min="9739" max="9739" width="11.75" style="2824" customWidth="1"/>
    <col min="9740" max="9741" width="10.75" style="2824" customWidth="1"/>
    <col min="9742" max="9742" width="10" style="2824" customWidth="1"/>
    <col min="9743" max="9744" width="10.5" style="2824" bestFit="1" customWidth="1"/>
    <col min="9745" max="9745" width="10" style="2824" customWidth="1"/>
    <col min="9746" max="9746" width="10.125" style="2824" customWidth="1"/>
    <col min="9747" max="9747" width="10" style="2824" customWidth="1"/>
    <col min="9748" max="9748" width="26.125" style="2824" customWidth="1"/>
    <col min="9749" max="9984" width="8.875" style="2824"/>
    <col min="9985" max="9985" width="9.5" style="2824" customWidth="1"/>
    <col min="9986" max="9986" width="8.875" style="2824"/>
    <col min="9987" max="9989" width="12.875" style="2824" customWidth="1"/>
    <col min="9990" max="9990" width="47.5" style="2824" customWidth="1"/>
    <col min="9991" max="9991" width="13" style="2824" customWidth="1"/>
    <col min="9992" max="9993" width="8.875" style="2824"/>
    <col min="9994" max="9994" width="5.75" style="2824" customWidth="1"/>
    <col min="9995" max="9995" width="11.75" style="2824" customWidth="1"/>
    <col min="9996" max="9997" width="10.75" style="2824" customWidth="1"/>
    <col min="9998" max="9998" width="10" style="2824" customWidth="1"/>
    <col min="9999" max="10000" width="10.5" style="2824" bestFit="1" customWidth="1"/>
    <col min="10001" max="10001" width="10" style="2824" customWidth="1"/>
    <col min="10002" max="10002" width="10.125" style="2824" customWidth="1"/>
    <col min="10003" max="10003" width="10" style="2824" customWidth="1"/>
    <col min="10004" max="10004" width="26.125" style="2824" customWidth="1"/>
    <col min="10005" max="10240" width="8.875" style="2824"/>
    <col min="10241" max="10241" width="9.5" style="2824" customWidth="1"/>
    <col min="10242" max="10242" width="8.875" style="2824"/>
    <col min="10243" max="10245" width="12.875" style="2824" customWidth="1"/>
    <col min="10246" max="10246" width="47.5" style="2824" customWidth="1"/>
    <col min="10247" max="10247" width="13" style="2824" customWidth="1"/>
    <col min="10248" max="10249" width="8.875" style="2824"/>
    <col min="10250" max="10250" width="5.75" style="2824" customWidth="1"/>
    <col min="10251" max="10251" width="11.75" style="2824" customWidth="1"/>
    <col min="10252" max="10253" width="10.75" style="2824" customWidth="1"/>
    <col min="10254" max="10254" width="10" style="2824" customWidth="1"/>
    <col min="10255" max="10256" width="10.5" style="2824" bestFit="1" customWidth="1"/>
    <col min="10257" max="10257" width="10" style="2824" customWidth="1"/>
    <col min="10258" max="10258" width="10.125" style="2824" customWidth="1"/>
    <col min="10259" max="10259" width="10" style="2824" customWidth="1"/>
    <col min="10260" max="10260" width="26.125" style="2824" customWidth="1"/>
    <col min="10261" max="10496" width="8.875" style="2824"/>
    <col min="10497" max="10497" width="9.5" style="2824" customWidth="1"/>
    <col min="10498" max="10498" width="8.875" style="2824"/>
    <col min="10499" max="10501" width="12.875" style="2824" customWidth="1"/>
    <col min="10502" max="10502" width="47.5" style="2824" customWidth="1"/>
    <col min="10503" max="10503" width="13" style="2824" customWidth="1"/>
    <col min="10504" max="10505" width="8.875" style="2824"/>
    <col min="10506" max="10506" width="5.75" style="2824" customWidth="1"/>
    <col min="10507" max="10507" width="11.75" style="2824" customWidth="1"/>
    <col min="10508" max="10509" width="10.75" style="2824" customWidth="1"/>
    <col min="10510" max="10510" width="10" style="2824" customWidth="1"/>
    <col min="10511" max="10512" width="10.5" style="2824" bestFit="1" customWidth="1"/>
    <col min="10513" max="10513" width="10" style="2824" customWidth="1"/>
    <col min="10514" max="10514" width="10.125" style="2824" customWidth="1"/>
    <col min="10515" max="10515" width="10" style="2824" customWidth="1"/>
    <col min="10516" max="10516" width="26.125" style="2824" customWidth="1"/>
    <col min="10517" max="10752" width="8.875" style="2824"/>
    <col min="10753" max="10753" width="9.5" style="2824" customWidth="1"/>
    <col min="10754" max="10754" width="8.875" style="2824"/>
    <col min="10755" max="10757" width="12.875" style="2824" customWidth="1"/>
    <col min="10758" max="10758" width="47.5" style="2824" customWidth="1"/>
    <col min="10759" max="10759" width="13" style="2824" customWidth="1"/>
    <col min="10760" max="10761" width="8.875" style="2824"/>
    <col min="10762" max="10762" width="5.75" style="2824" customWidth="1"/>
    <col min="10763" max="10763" width="11.75" style="2824" customWidth="1"/>
    <col min="10764" max="10765" width="10.75" style="2824" customWidth="1"/>
    <col min="10766" max="10766" width="10" style="2824" customWidth="1"/>
    <col min="10767" max="10768" width="10.5" style="2824" bestFit="1" customWidth="1"/>
    <col min="10769" max="10769" width="10" style="2824" customWidth="1"/>
    <col min="10770" max="10770" width="10.125" style="2824" customWidth="1"/>
    <col min="10771" max="10771" width="10" style="2824" customWidth="1"/>
    <col min="10772" max="10772" width="26.125" style="2824" customWidth="1"/>
    <col min="10773" max="11008" width="8.875" style="2824"/>
    <col min="11009" max="11009" width="9.5" style="2824" customWidth="1"/>
    <col min="11010" max="11010" width="8.875" style="2824"/>
    <col min="11011" max="11013" width="12.875" style="2824" customWidth="1"/>
    <col min="11014" max="11014" width="47.5" style="2824" customWidth="1"/>
    <col min="11015" max="11015" width="13" style="2824" customWidth="1"/>
    <col min="11016" max="11017" width="8.875" style="2824"/>
    <col min="11018" max="11018" width="5.75" style="2824" customWidth="1"/>
    <col min="11019" max="11019" width="11.75" style="2824" customWidth="1"/>
    <col min="11020" max="11021" width="10.75" style="2824" customWidth="1"/>
    <col min="11022" max="11022" width="10" style="2824" customWidth="1"/>
    <col min="11023" max="11024" width="10.5" style="2824" bestFit="1" customWidth="1"/>
    <col min="11025" max="11025" width="10" style="2824" customWidth="1"/>
    <col min="11026" max="11026" width="10.125" style="2824" customWidth="1"/>
    <col min="11027" max="11027" width="10" style="2824" customWidth="1"/>
    <col min="11028" max="11028" width="26.125" style="2824" customWidth="1"/>
    <col min="11029" max="11264" width="8.875" style="2824"/>
    <col min="11265" max="11265" width="9.5" style="2824" customWidth="1"/>
    <col min="11266" max="11266" width="8.875" style="2824"/>
    <col min="11267" max="11269" width="12.875" style="2824" customWidth="1"/>
    <col min="11270" max="11270" width="47.5" style="2824" customWidth="1"/>
    <col min="11271" max="11271" width="13" style="2824" customWidth="1"/>
    <col min="11272" max="11273" width="8.875" style="2824"/>
    <col min="11274" max="11274" width="5.75" style="2824" customWidth="1"/>
    <col min="11275" max="11275" width="11.75" style="2824" customWidth="1"/>
    <col min="11276" max="11277" width="10.75" style="2824" customWidth="1"/>
    <col min="11278" max="11278" width="10" style="2824" customWidth="1"/>
    <col min="11279" max="11280" width="10.5" style="2824" bestFit="1" customWidth="1"/>
    <col min="11281" max="11281" width="10" style="2824" customWidth="1"/>
    <col min="11282" max="11282" width="10.125" style="2824" customWidth="1"/>
    <col min="11283" max="11283" width="10" style="2824" customWidth="1"/>
    <col min="11284" max="11284" width="26.125" style="2824" customWidth="1"/>
    <col min="11285" max="11520" width="8.875" style="2824"/>
    <col min="11521" max="11521" width="9.5" style="2824" customWidth="1"/>
    <col min="11522" max="11522" width="8.875" style="2824"/>
    <col min="11523" max="11525" width="12.875" style="2824" customWidth="1"/>
    <col min="11526" max="11526" width="47.5" style="2824" customWidth="1"/>
    <col min="11527" max="11527" width="13" style="2824" customWidth="1"/>
    <col min="11528" max="11529" width="8.875" style="2824"/>
    <col min="11530" max="11530" width="5.75" style="2824" customWidth="1"/>
    <col min="11531" max="11531" width="11.75" style="2824" customWidth="1"/>
    <col min="11532" max="11533" width="10.75" style="2824" customWidth="1"/>
    <col min="11534" max="11534" width="10" style="2824" customWidth="1"/>
    <col min="11535" max="11536" width="10.5" style="2824" bestFit="1" customWidth="1"/>
    <col min="11537" max="11537" width="10" style="2824" customWidth="1"/>
    <col min="11538" max="11538" width="10.125" style="2824" customWidth="1"/>
    <col min="11539" max="11539" width="10" style="2824" customWidth="1"/>
    <col min="11540" max="11540" width="26.125" style="2824" customWidth="1"/>
    <col min="11541" max="11776" width="8.875" style="2824"/>
    <col min="11777" max="11777" width="9.5" style="2824" customWidth="1"/>
    <col min="11778" max="11778" width="8.875" style="2824"/>
    <col min="11779" max="11781" width="12.875" style="2824" customWidth="1"/>
    <col min="11782" max="11782" width="47.5" style="2824" customWidth="1"/>
    <col min="11783" max="11783" width="13" style="2824" customWidth="1"/>
    <col min="11784" max="11785" width="8.875" style="2824"/>
    <col min="11786" max="11786" width="5.75" style="2824" customWidth="1"/>
    <col min="11787" max="11787" width="11.75" style="2824" customWidth="1"/>
    <col min="11788" max="11789" width="10.75" style="2824" customWidth="1"/>
    <col min="11790" max="11790" width="10" style="2824" customWidth="1"/>
    <col min="11791" max="11792" width="10.5" style="2824" bestFit="1" customWidth="1"/>
    <col min="11793" max="11793" width="10" style="2824" customWidth="1"/>
    <col min="11794" max="11794" width="10.125" style="2824" customWidth="1"/>
    <col min="11795" max="11795" width="10" style="2824" customWidth="1"/>
    <col min="11796" max="11796" width="26.125" style="2824" customWidth="1"/>
    <col min="11797" max="12032" width="8.875" style="2824"/>
    <col min="12033" max="12033" width="9.5" style="2824" customWidth="1"/>
    <col min="12034" max="12034" width="8.875" style="2824"/>
    <col min="12035" max="12037" width="12.875" style="2824" customWidth="1"/>
    <col min="12038" max="12038" width="47.5" style="2824" customWidth="1"/>
    <col min="12039" max="12039" width="13" style="2824" customWidth="1"/>
    <col min="12040" max="12041" width="8.875" style="2824"/>
    <col min="12042" max="12042" width="5.75" style="2824" customWidth="1"/>
    <col min="12043" max="12043" width="11.75" style="2824" customWidth="1"/>
    <col min="12044" max="12045" width="10.75" style="2824" customWidth="1"/>
    <col min="12046" max="12046" width="10" style="2824" customWidth="1"/>
    <col min="12047" max="12048" width="10.5" style="2824" bestFit="1" customWidth="1"/>
    <col min="12049" max="12049" width="10" style="2824" customWidth="1"/>
    <col min="12050" max="12050" width="10.125" style="2824" customWidth="1"/>
    <col min="12051" max="12051" width="10" style="2824" customWidth="1"/>
    <col min="12052" max="12052" width="26.125" style="2824" customWidth="1"/>
    <col min="12053" max="12288" width="8.875" style="2824"/>
    <col min="12289" max="12289" width="9.5" style="2824" customWidth="1"/>
    <col min="12290" max="12290" width="8.875" style="2824"/>
    <col min="12291" max="12293" width="12.875" style="2824" customWidth="1"/>
    <col min="12294" max="12294" width="47.5" style="2824" customWidth="1"/>
    <col min="12295" max="12295" width="13" style="2824" customWidth="1"/>
    <col min="12296" max="12297" width="8.875" style="2824"/>
    <col min="12298" max="12298" width="5.75" style="2824" customWidth="1"/>
    <col min="12299" max="12299" width="11.75" style="2824" customWidth="1"/>
    <col min="12300" max="12301" width="10.75" style="2824" customWidth="1"/>
    <col min="12302" max="12302" width="10" style="2824" customWidth="1"/>
    <col min="12303" max="12304" width="10.5" style="2824" bestFit="1" customWidth="1"/>
    <col min="12305" max="12305" width="10" style="2824" customWidth="1"/>
    <col min="12306" max="12306" width="10.125" style="2824" customWidth="1"/>
    <col min="12307" max="12307" width="10" style="2824" customWidth="1"/>
    <col min="12308" max="12308" width="26.125" style="2824" customWidth="1"/>
    <col min="12309" max="12544" width="8.875" style="2824"/>
    <col min="12545" max="12545" width="9.5" style="2824" customWidth="1"/>
    <col min="12546" max="12546" width="8.875" style="2824"/>
    <col min="12547" max="12549" width="12.875" style="2824" customWidth="1"/>
    <col min="12550" max="12550" width="47.5" style="2824" customWidth="1"/>
    <col min="12551" max="12551" width="13" style="2824" customWidth="1"/>
    <col min="12552" max="12553" width="8.875" style="2824"/>
    <col min="12554" max="12554" width="5.75" style="2824" customWidth="1"/>
    <col min="12555" max="12555" width="11.75" style="2824" customWidth="1"/>
    <col min="12556" max="12557" width="10.75" style="2824" customWidth="1"/>
    <col min="12558" max="12558" width="10" style="2824" customWidth="1"/>
    <col min="12559" max="12560" width="10.5" style="2824" bestFit="1" customWidth="1"/>
    <col min="12561" max="12561" width="10" style="2824" customWidth="1"/>
    <col min="12562" max="12562" width="10.125" style="2824" customWidth="1"/>
    <col min="12563" max="12563" width="10" style="2824" customWidth="1"/>
    <col min="12564" max="12564" width="26.125" style="2824" customWidth="1"/>
    <col min="12565" max="12800" width="8.875" style="2824"/>
    <col min="12801" max="12801" width="9.5" style="2824" customWidth="1"/>
    <col min="12802" max="12802" width="8.875" style="2824"/>
    <col min="12803" max="12805" width="12.875" style="2824" customWidth="1"/>
    <col min="12806" max="12806" width="47.5" style="2824" customWidth="1"/>
    <col min="12807" max="12807" width="13" style="2824" customWidth="1"/>
    <col min="12808" max="12809" width="8.875" style="2824"/>
    <col min="12810" max="12810" width="5.75" style="2824" customWidth="1"/>
    <col min="12811" max="12811" width="11.75" style="2824" customWidth="1"/>
    <col min="12812" max="12813" width="10.75" style="2824" customWidth="1"/>
    <col min="12814" max="12814" width="10" style="2824" customWidth="1"/>
    <col min="12815" max="12816" width="10.5" style="2824" bestFit="1" customWidth="1"/>
    <col min="12817" max="12817" width="10" style="2824" customWidth="1"/>
    <col min="12818" max="12818" width="10.125" style="2824" customWidth="1"/>
    <col min="12819" max="12819" width="10" style="2824" customWidth="1"/>
    <col min="12820" max="12820" width="26.125" style="2824" customWidth="1"/>
    <col min="12821" max="13056" width="8.875" style="2824"/>
    <col min="13057" max="13057" width="9.5" style="2824" customWidth="1"/>
    <col min="13058" max="13058" width="8.875" style="2824"/>
    <col min="13059" max="13061" width="12.875" style="2824" customWidth="1"/>
    <col min="13062" max="13062" width="47.5" style="2824" customWidth="1"/>
    <col min="13063" max="13063" width="13" style="2824" customWidth="1"/>
    <col min="13064" max="13065" width="8.875" style="2824"/>
    <col min="13066" max="13066" width="5.75" style="2824" customWidth="1"/>
    <col min="13067" max="13067" width="11.75" style="2824" customWidth="1"/>
    <col min="13068" max="13069" width="10.75" style="2824" customWidth="1"/>
    <col min="13070" max="13070" width="10" style="2824" customWidth="1"/>
    <col min="13071" max="13072" width="10.5" style="2824" bestFit="1" customWidth="1"/>
    <col min="13073" max="13073" width="10" style="2824" customWidth="1"/>
    <col min="13074" max="13074" width="10.125" style="2824" customWidth="1"/>
    <col min="13075" max="13075" width="10" style="2824" customWidth="1"/>
    <col min="13076" max="13076" width="26.125" style="2824" customWidth="1"/>
    <col min="13077" max="13312" width="8.875" style="2824"/>
    <col min="13313" max="13313" width="9.5" style="2824" customWidth="1"/>
    <col min="13314" max="13314" width="8.875" style="2824"/>
    <col min="13315" max="13317" width="12.875" style="2824" customWidth="1"/>
    <col min="13318" max="13318" width="47.5" style="2824" customWidth="1"/>
    <col min="13319" max="13319" width="13" style="2824" customWidth="1"/>
    <col min="13320" max="13321" width="8.875" style="2824"/>
    <col min="13322" max="13322" width="5.75" style="2824" customWidth="1"/>
    <col min="13323" max="13323" width="11.75" style="2824" customWidth="1"/>
    <col min="13324" max="13325" width="10.75" style="2824" customWidth="1"/>
    <col min="13326" max="13326" width="10" style="2824" customWidth="1"/>
    <col min="13327" max="13328" width="10.5" style="2824" bestFit="1" customWidth="1"/>
    <col min="13329" max="13329" width="10" style="2824" customWidth="1"/>
    <col min="13330" max="13330" width="10.125" style="2824" customWidth="1"/>
    <col min="13331" max="13331" width="10" style="2824" customWidth="1"/>
    <col min="13332" max="13332" width="26.125" style="2824" customWidth="1"/>
    <col min="13333" max="13568" width="8.875" style="2824"/>
    <col min="13569" max="13569" width="9.5" style="2824" customWidth="1"/>
    <col min="13570" max="13570" width="8.875" style="2824"/>
    <col min="13571" max="13573" width="12.875" style="2824" customWidth="1"/>
    <col min="13574" max="13574" width="47.5" style="2824" customWidth="1"/>
    <col min="13575" max="13575" width="13" style="2824" customWidth="1"/>
    <col min="13576" max="13577" width="8.875" style="2824"/>
    <col min="13578" max="13578" width="5.75" style="2824" customWidth="1"/>
    <col min="13579" max="13579" width="11.75" style="2824" customWidth="1"/>
    <col min="13580" max="13581" width="10.75" style="2824" customWidth="1"/>
    <col min="13582" max="13582" width="10" style="2824" customWidth="1"/>
    <col min="13583" max="13584" width="10.5" style="2824" bestFit="1" customWidth="1"/>
    <col min="13585" max="13585" width="10" style="2824" customWidth="1"/>
    <col min="13586" max="13586" width="10.125" style="2824" customWidth="1"/>
    <col min="13587" max="13587" width="10" style="2824" customWidth="1"/>
    <col min="13588" max="13588" width="26.125" style="2824" customWidth="1"/>
    <col min="13589" max="13824" width="8.875" style="2824"/>
    <col min="13825" max="13825" width="9.5" style="2824" customWidth="1"/>
    <col min="13826" max="13826" width="8.875" style="2824"/>
    <col min="13827" max="13829" width="12.875" style="2824" customWidth="1"/>
    <col min="13830" max="13830" width="47.5" style="2824" customWidth="1"/>
    <col min="13831" max="13831" width="13" style="2824" customWidth="1"/>
    <col min="13832" max="13833" width="8.875" style="2824"/>
    <col min="13834" max="13834" width="5.75" style="2824" customWidth="1"/>
    <col min="13835" max="13835" width="11.75" style="2824" customWidth="1"/>
    <col min="13836" max="13837" width="10.75" style="2824" customWidth="1"/>
    <col min="13838" max="13838" width="10" style="2824" customWidth="1"/>
    <col min="13839" max="13840" width="10.5" style="2824" bestFit="1" customWidth="1"/>
    <col min="13841" max="13841" width="10" style="2824" customWidth="1"/>
    <col min="13842" max="13842" width="10.125" style="2824" customWidth="1"/>
    <col min="13843" max="13843" width="10" style="2824" customWidth="1"/>
    <col min="13844" max="13844" width="26.125" style="2824" customWidth="1"/>
    <col min="13845" max="14080" width="8.875" style="2824"/>
    <col min="14081" max="14081" width="9.5" style="2824" customWidth="1"/>
    <col min="14082" max="14082" width="8.875" style="2824"/>
    <col min="14083" max="14085" width="12.875" style="2824" customWidth="1"/>
    <col min="14086" max="14086" width="47.5" style="2824" customWidth="1"/>
    <col min="14087" max="14087" width="13" style="2824" customWidth="1"/>
    <col min="14088" max="14089" width="8.875" style="2824"/>
    <col min="14090" max="14090" width="5.75" style="2824" customWidth="1"/>
    <col min="14091" max="14091" width="11.75" style="2824" customWidth="1"/>
    <col min="14092" max="14093" width="10.75" style="2824" customWidth="1"/>
    <col min="14094" max="14094" width="10" style="2824" customWidth="1"/>
    <col min="14095" max="14096" width="10.5" style="2824" bestFit="1" customWidth="1"/>
    <col min="14097" max="14097" width="10" style="2824" customWidth="1"/>
    <col min="14098" max="14098" width="10.125" style="2824" customWidth="1"/>
    <col min="14099" max="14099" width="10" style="2824" customWidth="1"/>
    <col min="14100" max="14100" width="26.125" style="2824" customWidth="1"/>
    <col min="14101" max="14336" width="8.875" style="2824"/>
    <col min="14337" max="14337" width="9.5" style="2824" customWidth="1"/>
    <col min="14338" max="14338" width="8.875" style="2824"/>
    <col min="14339" max="14341" width="12.875" style="2824" customWidth="1"/>
    <col min="14342" max="14342" width="47.5" style="2824" customWidth="1"/>
    <col min="14343" max="14343" width="13" style="2824" customWidth="1"/>
    <col min="14344" max="14345" width="8.875" style="2824"/>
    <col min="14346" max="14346" width="5.75" style="2824" customWidth="1"/>
    <col min="14347" max="14347" width="11.75" style="2824" customWidth="1"/>
    <col min="14348" max="14349" width="10.75" style="2824" customWidth="1"/>
    <col min="14350" max="14350" width="10" style="2824" customWidth="1"/>
    <col min="14351" max="14352" width="10.5" style="2824" bestFit="1" customWidth="1"/>
    <col min="14353" max="14353" width="10" style="2824" customWidth="1"/>
    <col min="14354" max="14354" width="10.125" style="2824" customWidth="1"/>
    <col min="14355" max="14355" width="10" style="2824" customWidth="1"/>
    <col min="14356" max="14356" width="26.125" style="2824" customWidth="1"/>
    <col min="14357" max="14592" width="8.875" style="2824"/>
    <col min="14593" max="14593" width="9.5" style="2824" customWidth="1"/>
    <col min="14594" max="14594" width="8.875" style="2824"/>
    <col min="14595" max="14597" width="12.875" style="2824" customWidth="1"/>
    <col min="14598" max="14598" width="47.5" style="2824" customWidth="1"/>
    <col min="14599" max="14599" width="13" style="2824" customWidth="1"/>
    <col min="14600" max="14601" width="8.875" style="2824"/>
    <col min="14602" max="14602" width="5.75" style="2824" customWidth="1"/>
    <col min="14603" max="14603" width="11.75" style="2824" customWidth="1"/>
    <col min="14604" max="14605" width="10.75" style="2824" customWidth="1"/>
    <col min="14606" max="14606" width="10" style="2824" customWidth="1"/>
    <col min="14607" max="14608" width="10.5" style="2824" bestFit="1" customWidth="1"/>
    <col min="14609" max="14609" width="10" style="2824" customWidth="1"/>
    <col min="14610" max="14610" width="10.125" style="2824" customWidth="1"/>
    <col min="14611" max="14611" width="10" style="2824" customWidth="1"/>
    <col min="14612" max="14612" width="26.125" style="2824" customWidth="1"/>
    <col min="14613" max="14848" width="8.875" style="2824"/>
    <col min="14849" max="14849" width="9.5" style="2824" customWidth="1"/>
    <col min="14850" max="14850" width="8.875" style="2824"/>
    <col min="14851" max="14853" width="12.875" style="2824" customWidth="1"/>
    <col min="14854" max="14854" width="47.5" style="2824" customWidth="1"/>
    <col min="14855" max="14855" width="13" style="2824" customWidth="1"/>
    <col min="14856" max="14857" width="8.875" style="2824"/>
    <col min="14858" max="14858" width="5.75" style="2824" customWidth="1"/>
    <col min="14859" max="14859" width="11.75" style="2824" customWidth="1"/>
    <col min="14860" max="14861" width="10.75" style="2824" customWidth="1"/>
    <col min="14862" max="14862" width="10" style="2824" customWidth="1"/>
    <col min="14863" max="14864" width="10.5" style="2824" bestFit="1" customWidth="1"/>
    <col min="14865" max="14865" width="10" style="2824" customWidth="1"/>
    <col min="14866" max="14866" width="10.125" style="2824" customWidth="1"/>
    <col min="14867" max="14867" width="10" style="2824" customWidth="1"/>
    <col min="14868" max="14868" width="26.125" style="2824" customWidth="1"/>
    <col min="14869" max="15104" width="8.875" style="2824"/>
    <col min="15105" max="15105" width="9.5" style="2824" customWidth="1"/>
    <col min="15106" max="15106" width="8.875" style="2824"/>
    <col min="15107" max="15109" width="12.875" style="2824" customWidth="1"/>
    <col min="15110" max="15110" width="47.5" style="2824" customWidth="1"/>
    <col min="15111" max="15111" width="13" style="2824" customWidth="1"/>
    <col min="15112" max="15113" width="8.875" style="2824"/>
    <col min="15114" max="15114" width="5.75" style="2824" customWidth="1"/>
    <col min="15115" max="15115" width="11.75" style="2824" customWidth="1"/>
    <col min="15116" max="15117" width="10.75" style="2824" customWidth="1"/>
    <col min="15118" max="15118" width="10" style="2824" customWidth="1"/>
    <col min="15119" max="15120" width="10.5" style="2824" bestFit="1" customWidth="1"/>
    <col min="15121" max="15121" width="10" style="2824" customWidth="1"/>
    <col min="15122" max="15122" width="10.125" style="2824" customWidth="1"/>
    <col min="15123" max="15123" width="10" style="2824" customWidth="1"/>
    <col min="15124" max="15124" width="26.125" style="2824" customWidth="1"/>
    <col min="15125" max="15360" width="8.875" style="2824"/>
    <col min="15361" max="15361" width="9.5" style="2824" customWidth="1"/>
    <col min="15362" max="15362" width="8.875" style="2824"/>
    <col min="15363" max="15365" width="12.875" style="2824" customWidth="1"/>
    <col min="15366" max="15366" width="47.5" style="2824" customWidth="1"/>
    <col min="15367" max="15367" width="13" style="2824" customWidth="1"/>
    <col min="15368" max="15369" width="8.875" style="2824"/>
    <col min="15370" max="15370" width="5.75" style="2824" customWidth="1"/>
    <col min="15371" max="15371" width="11.75" style="2824" customWidth="1"/>
    <col min="15372" max="15373" width="10.75" style="2824" customWidth="1"/>
    <col min="15374" max="15374" width="10" style="2824" customWidth="1"/>
    <col min="15375" max="15376" width="10.5" style="2824" bestFit="1" customWidth="1"/>
    <col min="15377" max="15377" width="10" style="2824" customWidth="1"/>
    <col min="15378" max="15378" width="10.125" style="2824" customWidth="1"/>
    <col min="15379" max="15379" width="10" style="2824" customWidth="1"/>
    <col min="15380" max="15380" width="26.125" style="2824" customWidth="1"/>
    <col min="15381" max="15616" width="8.875" style="2824"/>
    <col min="15617" max="15617" width="9.5" style="2824" customWidth="1"/>
    <col min="15618" max="15618" width="8.875" style="2824"/>
    <col min="15619" max="15621" width="12.875" style="2824" customWidth="1"/>
    <col min="15622" max="15622" width="47.5" style="2824" customWidth="1"/>
    <col min="15623" max="15623" width="13" style="2824" customWidth="1"/>
    <col min="15624" max="15625" width="8.875" style="2824"/>
    <col min="15626" max="15626" width="5.75" style="2824" customWidth="1"/>
    <col min="15627" max="15627" width="11.75" style="2824" customWidth="1"/>
    <col min="15628" max="15629" width="10.75" style="2824" customWidth="1"/>
    <col min="15630" max="15630" width="10" style="2824" customWidth="1"/>
    <col min="15631" max="15632" width="10.5" style="2824" bestFit="1" customWidth="1"/>
    <col min="15633" max="15633" width="10" style="2824" customWidth="1"/>
    <col min="15634" max="15634" width="10.125" style="2824" customWidth="1"/>
    <col min="15635" max="15635" width="10" style="2824" customWidth="1"/>
    <col min="15636" max="15636" width="26.125" style="2824" customWidth="1"/>
    <col min="15637" max="15872" width="8.875" style="2824"/>
    <col min="15873" max="15873" width="9.5" style="2824" customWidth="1"/>
    <col min="15874" max="15874" width="8.875" style="2824"/>
    <col min="15875" max="15877" width="12.875" style="2824" customWidth="1"/>
    <col min="15878" max="15878" width="47.5" style="2824" customWidth="1"/>
    <col min="15879" max="15879" width="13" style="2824" customWidth="1"/>
    <col min="15880" max="15881" width="8.875" style="2824"/>
    <col min="15882" max="15882" width="5.75" style="2824" customWidth="1"/>
    <col min="15883" max="15883" width="11.75" style="2824" customWidth="1"/>
    <col min="15884" max="15885" width="10.75" style="2824" customWidth="1"/>
    <col min="15886" max="15886" width="10" style="2824" customWidth="1"/>
    <col min="15887" max="15888" width="10.5" style="2824" bestFit="1" customWidth="1"/>
    <col min="15889" max="15889" width="10" style="2824" customWidth="1"/>
    <col min="15890" max="15890" width="10.125" style="2824" customWidth="1"/>
    <col min="15891" max="15891" width="10" style="2824" customWidth="1"/>
    <col min="15892" max="15892" width="26.125" style="2824" customWidth="1"/>
    <col min="15893" max="16128" width="8.875" style="2824"/>
    <col min="16129" max="16129" width="9.5" style="2824" customWidth="1"/>
    <col min="16130" max="16130" width="8.875" style="2824"/>
    <col min="16131" max="16133" width="12.875" style="2824" customWidth="1"/>
    <col min="16134" max="16134" width="47.5" style="2824" customWidth="1"/>
    <col min="16135" max="16135" width="13" style="2824" customWidth="1"/>
    <col min="16136" max="16137" width="8.875" style="2824"/>
    <col min="16138" max="16138" width="5.75" style="2824" customWidth="1"/>
    <col min="16139" max="16139" width="11.75" style="2824" customWidth="1"/>
    <col min="16140" max="16141" width="10.75" style="2824" customWidth="1"/>
    <col min="16142" max="16142" width="10" style="2824" customWidth="1"/>
    <col min="16143" max="16144" width="10.5" style="2824" bestFit="1" customWidth="1"/>
    <col min="16145" max="16145" width="10" style="2824" customWidth="1"/>
    <col min="16146" max="16146" width="10.125" style="2824" customWidth="1"/>
    <col min="16147" max="16147" width="10" style="2824" customWidth="1"/>
    <col min="16148" max="16148" width="26.125" style="2824" customWidth="1"/>
    <col min="16149" max="16384" width="8.875" style="2824"/>
  </cols>
  <sheetData>
    <row r="1" spans="1:22" ht="21" customHeight="1">
      <c r="A1" s="2813" t="s">
        <v>2437</v>
      </c>
      <c r="B1" s="2814"/>
      <c r="C1" s="2826"/>
      <c r="D1" s="2826"/>
      <c r="E1" s="2815"/>
      <c r="F1" s="2816"/>
      <c r="G1" s="2817"/>
      <c r="J1" s="2820" t="s">
        <v>2316</v>
      </c>
      <c r="K1" s="2821"/>
      <c r="L1" s="2821"/>
      <c r="M1" s="2821"/>
      <c r="N1" s="2821"/>
      <c r="O1" s="2821"/>
      <c r="P1" s="2821"/>
      <c r="Q1" s="2821"/>
      <c r="R1" s="2822"/>
      <c r="S1" s="2823"/>
      <c r="T1" s="2823"/>
      <c r="U1" s="2823"/>
    </row>
    <row r="2" spans="1:22" s="2835" customFormat="1" ht="13.15" customHeight="1">
      <c r="A2" s="1385" t="s">
        <v>2317</v>
      </c>
      <c r="B2" s="2825" t="e">
        <f>IF(D2="——",C40,C40+E2)</f>
        <v>#DIV/0!</v>
      </c>
      <c r="C2" s="2826" t="s">
        <v>2318</v>
      </c>
      <c r="D2" s="3425" t="s">
        <v>3365</v>
      </c>
      <c r="E2" s="3426"/>
      <c r="F2" s="2828"/>
      <c r="G2" s="2829"/>
      <c r="H2" s="2830"/>
      <c r="I2" s="2831"/>
      <c r="J2" s="3774" t="s">
        <v>2319</v>
      </c>
      <c r="K2" s="3775"/>
      <c r="L2" s="2832" t="s">
        <v>2320</v>
      </c>
      <c r="M2" s="2832" t="s">
        <v>2321</v>
      </c>
      <c r="N2" s="2832" t="s">
        <v>2322</v>
      </c>
      <c r="O2" s="2832" t="s">
        <v>2323</v>
      </c>
      <c r="P2" s="2832" t="s">
        <v>2324</v>
      </c>
      <c r="Q2" s="2833" t="s">
        <v>2325</v>
      </c>
      <c r="R2" s="2834" t="s">
        <v>2326</v>
      </c>
      <c r="S2" s="2823"/>
      <c r="T2" s="2823"/>
      <c r="U2" s="2823"/>
      <c r="V2" s="2831"/>
    </row>
    <row r="3" spans="1:22" s="2835" customFormat="1" ht="13.15" customHeight="1">
      <c r="A3" s="2836" t="s">
        <v>2327</v>
      </c>
      <c r="B3" s="2837" t="e">
        <f>ROUND(B2*10000/B4,0)</f>
        <v>#DIV/0!</v>
      </c>
      <c r="C3" s="2826" t="s">
        <v>2328</v>
      </c>
      <c r="D3" s="2826"/>
      <c r="E3" s="2827"/>
      <c r="F3" s="2828"/>
      <c r="G3" s="2829"/>
      <c r="H3" s="2830"/>
      <c r="I3" s="2831"/>
      <c r="J3" s="3776" t="s">
        <v>2329</v>
      </c>
      <c r="K3" s="3777"/>
      <c r="L3" s="2838"/>
      <c r="M3" s="2838"/>
      <c r="N3" s="2838"/>
      <c r="O3" s="2838"/>
      <c r="P3" s="2838"/>
      <c r="Q3" s="2839"/>
      <c r="R3" s="2840">
        <f>SUM(L3:Q3)</f>
        <v>0</v>
      </c>
      <c r="S3" s="2823"/>
      <c r="T3" s="2823"/>
      <c r="U3" s="2823"/>
      <c r="V3" s="2831"/>
    </row>
    <row r="4" spans="1:22" s="2835" customFormat="1" ht="13.15" customHeight="1">
      <c r="A4" s="2841" t="s">
        <v>2330</v>
      </c>
      <c r="B4" s="2842"/>
      <c r="C4" s="2826"/>
      <c r="D4" s="2826"/>
      <c r="E4" s="2827"/>
      <c r="F4" s="2828"/>
      <c r="G4" s="2829"/>
      <c r="H4" s="2830"/>
      <c r="I4" s="2831"/>
      <c r="J4" s="3776" t="s">
        <v>2331</v>
      </c>
      <c r="K4" s="3777"/>
      <c r="L4" s="2843"/>
      <c r="M4" s="2843"/>
      <c r="N4" s="2843"/>
      <c r="O4" s="2843"/>
      <c r="P4" s="2843"/>
      <c r="Q4" s="2844"/>
      <c r="R4" s="2845">
        <f>SUM(L4:Q4)</f>
        <v>0</v>
      </c>
      <c r="S4" s="2823"/>
      <c r="T4" s="2823"/>
      <c r="U4" s="2823"/>
      <c r="V4" s="2831"/>
    </row>
    <row r="5" spans="1:22" s="2835" customFormat="1" ht="13.15" customHeight="1" thickBot="1">
      <c r="A5" s="2846" t="s">
        <v>2332</v>
      </c>
      <c r="B5" s="2847"/>
      <c r="C5" s="2826"/>
      <c r="D5" s="2848"/>
      <c r="E5" s="2828"/>
      <c r="F5" s="2828"/>
      <c r="G5" s="2829"/>
      <c r="H5" s="2830"/>
      <c r="I5" s="2831"/>
      <c r="J5" s="2849" t="s">
        <v>2333</v>
      </c>
      <c r="K5" s="2850"/>
      <c r="L5" s="2850"/>
      <c r="M5" s="2851"/>
      <c r="N5" s="2851"/>
      <c r="O5" s="2851"/>
      <c r="P5" s="2851"/>
      <c r="Q5" s="2851"/>
      <c r="R5" s="2834">
        <f>SUM(R14,R19,R24,R25,R27,R28)</f>
        <v>0</v>
      </c>
      <c r="S5" s="2823"/>
      <c r="T5" s="2823" t="s">
        <v>2334</v>
      </c>
      <c r="U5" s="2823" t="e">
        <f>ROUND(R5*10000/365/R3,1)</f>
        <v>#DIV/0!</v>
      </c>
      <c r="V5" s="2831"/>
    </row>
    <row r="6" spans="1:22" s="2835" customFormat="1" ht="13.15" customHeight="1" thickBot="1">
      <c r="A6" s="3778" t="s">
        <v>2335</v>
      </c>
      <c r="B6" s="3779"/>
      <c r="C6" s="3780"/>
      <c r="D6" s="2852"/>
      <c r="E6" s="2853"/>
      <c r="F6" s="2854"/>
      <c r="G6" s="2855"/>
      <c r="H6" s="2830"/>
      <c r="I6" s="2831"/>
      <c r="J6" s="3781">
        <v>1</v>
      </c>
      <c r="K6" s="3782" t="s">
        <v>2336</v>
      </c>
      <c r="L6" s="2856" t="s">
        <v>2337</v>
      </c>
      <c r="M6" s="2857" t="s">
        <v>2338</v>
      </c>
      <c r="N6" s="2857" t="s">
        <v>2339</v>
      </c>
      <c r="O6" s="2857" t="s">
        <v>2340</v>
      </c>
      <c r="P6" s="2857" t="s">
        <v>2341</v>
      </c>
      <c r="Q6" s="2857" t="s">
        <v>2342</v>
      </c>
      <c r="R6" s="2840" t="s">
        <v>2343</v>
      </c>
      <c r="S6" s="2823"/>
      <c r="T6" s="2823" t="s">
        <v>2344</v>
      </c>
      <c r="U6" s="2823"/>
      <c r="V6" s="2831"/>
    </row>
    <row r="7" spans="1:22" s="2835" customFormat="1" ht="13.15" customHeight="1">
      <c r="A7" s="2858" t="s">
        <v>2345</v>
      </c>
      <c r="B7" s="2859"/>
      <c r="C7" s="2860"/>
      <c r="D7" s="2861">
        <f>SUM(D9,D10,D11,D17,0)</f>
        <v>0</v>
      </c>
      <c r="E7" s="2862" t="e">
        <f>E9+E10+E11+E17</f>
        <v>#DIV/0!</v>
      </c>
      <c r="F7" s="2863"/>
      <c r="G7" s="2864"/>
      <c r="H7" s="2830"/>
      <c r="I7" s="2831"/>
      <c r="J7" s="3781"/>
      <c r="K7" s="3783"/>
      <c r="L7" s="2865" t="s">
        <v>2346</v>
      </c>
      <c r="M7" s="2866"/>
      <c r="N7" s="2842"/>
      <c r="O7" s="2867"/>
      <c r="P7" s="2867"/>
      <c r="Q7" s="2868">
        <v>365</v>
      </c>
      <c r="R7" s="2869">
        <f>ROUND(M7*N7*O7*P7*Q7/10000,0)</f>
        <v>0</v>
      </c>
      <c r="S7" s="2823"/>
      <c r="T7" s="2823" t="s">
        <v>2347</v>
      </c>
      <c r="U7" s="2823"/>
      <c r="V7" s="2831"/>
    </row>
    <row r="8" spans="1:22" s="2835" customFormat="1" ht="13.15" customHeight="1">
      <c r="A8" s="2870" t="s">
        <v>2348</v>
      </c>
      <c r="B8" s="3785" t="s">
        <v>2349</v>
      </c>
      <c r="C8" s="3786"/>
      <c r="D8" s="2871" t="s">
        <v>2350</v>
      </c>
      <c r="E8" s="2872" t="s">
        <v>2351</v>
      </c>
      <c r="F8" s="2873" t="s">
        <v>2352</v>
      </c>
      <c r="G8" s="2874"/>
      <c r="H8" s="2830"/>
      <c r="I8" s="2831"/>
      <c r="J8" s="3781"/>
      <c r="K8" s="3783"/>
      <c r="L8" s="2865" t="s">
        <v>2353</v>
      </c>
      <c r="M8" s="2866"/>
      <c r="N8" s="2842"/>
      <c r="O8" s="2867"/>
      <c r="P8" s="2867"/>
      <c r="Q8" s="2868">
        <v>365</v>
      </c>
      <c r="R8" s="2869">
        <f t="shared" ref="R8:R13" si="0">ROUND(M8*N8*O8*P8*Q8/10000,0)</f>
        <v>0</v>
      </c>
      <c r="S8" s="2823"/>
      <c r="T8" s="2823" t="s">
        <v>2354</v>
      </c>
      <c r="U8" s="2823"/>
      <c r="V8" s="2831"/>
    </row>
    <row r="9" spans="1:22" s="2835" customFormat="1" ht="13.15" customHeight="1">
      <c r="A9" s="2870">
        <v>1</v>
      </c>
      <c r="B9" s="3785" t="s">
        <v>2355</v>
      </c>
      <c r="C9" s="3786"/>
      <c r="D9" s="2871">
        <f>ROUND(D6*E9,0)</f>
        <v>0</v>
      </c>
      <c r="E9" s="2875"/>
      <c r="F9" s="2876" t="s">
        <v>2356</v>
      </c>
      <c r="G9" s="2855"/>
      <c r="H9" s="2830"/>
      <c r="I9" s="2831"/>
      <c r="J9" s="3781"/>
      <c r="K9" s="3783"/>
      <c r="L9" s="2865" t="s">
        <v>2357</v>
      </c>
      <c r="M9" s="2866"/>
      <c r="N9" s="2842"/>
      <c r="O9" s="2867"/>
      <c r="P9" s="2867"/>
      <c r="Q9" s="2868">
        <v>365</v>
      </c>
      <c r="R9" s="2869">
        <f t="shared" si="0"/>
        <v>0</v>
      </c>
      <c r="S9" s="2823"/>
      <c r="T9" s="2823"/>
      <c r="U9" s="2823"/>
      <c r="V9" s="2831"/>
    </row>
    <row r="10" spans="1:22" s="2835" customFormat="1" ht="13.15" customHeight="1">
      <c r="A10" s="2870">
        <v>2</v>
      </c>
      <c r="B10" s="3785" t="s">
        <v>2358</v>
      </c>
      <c r="C10" s="3786"/>
      <c r="D10" s="2871">
        <f>ROUND(D6*E10,0)</f>
        <v>0</v>
      </c>
      <c r="E10" s="2875"/>
      <c r="F10" s="2876" t="s">
        <v>2359</v>
      </c>
      <c r="G10" s="2855"/>
      <c r="H10" s="2830"/>
      <c r="I10" s="2831"/>
      <c r="J10" s="3781"/>
      <c r="K10" s="3783"/>
      <c r="L10" s="2865" t="s">
        <v>2360</v>
      </c>
      <c r="M10" s="2866"/>
      <c r="N10" s="2842"/>
      <c r="O10" s="2867"/>
      <c r="P10" s="2867"/>
      <c r="Q10" s="2868">
        <v>365</v>
      </c>
      <c r="R10" s="2869">
        <f t="shared" si="0"/>
        <v>0</v>
      </c>
      <c r="S10" s="2823"/>
      <c r="T10" s="2823"/>
      <c r="U10" s="2823"/>
      <c r="V10" s="2831"/>
    </row>
    <row r="11" spans="1:22" s="2835" customFormat="1" ht="13.15" customHeight="1">
      <c r="A11" s="2870">
        <v>3</v>
      </c>
      <c r="B11" s="3785" t="s">
        <v>2361</v>
      </c>
      <c r="C11" s="3786"/>
      <c r="D11" s="2871">
        <f>D12+D14+D15+D16</f>
        <v>0</v>
      </c>
      <c r="E11" s="2877" t="e">
        <f>D11/D6</f>
        <v>#DIV/0!</v>
      </c>
      <c r="F11" s="2873"/>
      <c r="G11" s="2874"/>
      <c r="H11" s="2830"/>
      <c r="I11" s="2831"/>
      <c r="J11" s="3781"/>
      <c r="K11" s="3783"/>
      <c r="L11" s="2865" t="s">
        <v>2362</v>
      </c>
      <c r="M11" s="2866"/>
      <c r="N11" s="2842"/>
      <c r="O11" s="2867"/>
      <c r="P11" s="2867"/>
      <c r="Q11" s="2868">
        <v>365</v>
      </c>
      <c r="R11" s="2869">
        <f t="shared" si="0"/>
        <v>0</v>
      </c>
      <c r="S11" s="2823"/>
      <c r="T11" s="2823"/>
      <c r="U11" s="2823"/>
      <c r="V11" s="2831"/>
    </row>
    <row r="12" spans="1:22" s="2835" customFormat="1" ht="13.15" customHeight="1">
      <c r="A12" s="2878" t="s">
        <v>2363</v>
      </c>
      <c r="B12" s="3787" t="s">
        <v>2364</v>
      </c>
      <c r="C12" s="3788"/>
      <c r="D12" s="2879">
        <f>ROUND(D13*1.2%*(1-30%),0)</f>
        <v>0</v>
      </c>
      <c r="E12" s="2880">
        <v>1.2E-2</v>
      </c>
      <c r="F12" s="2873" t="s">
        <v>2365</v>
      </c>
      <c r="G12" s="2874"/>
      <c r="H12" s="2830"/>
      <c r="I12" s="2831"/>
      <c r="J12" s="3781"/>
      <c r="K12" s="3783"/>
      <c r="L12" s="2865" t="s">
        <v>2366</v>
      </c>
      <c r="M12" s="2866"/>
      <c r="N12" s="2842"/>
      <c r="O12" s="2867"/>
      <c r="P12" s="2867"/>
      <c r="Q12" s="2868">
        <v>365</v>
      </c>
      <c r="R12" s="2869">
        <f t="shared" si="0"/>
        <v>0</v>
      </c>
      <c r="S12" s="2823"/>
      <c r="T12" s="2823"/>
      <c r="U12" s="2823"/>
      <c r="V12" s="2831"/>
    </row>
    <row r="13" spans="1:22" s="2835" customFormat="1" ht="13.15" customHeight="1">
      <c r="A13" s="2878"/>
      <c r="B13" s="2881"/>
      <c r="C13" s="2882" t="s">
        <v>2367</v>
      </c>
      <c r="D13" s="2883"/>
      <c r="E13" s="2884"/>
      <c r="F13" s="2873"/>
      <c r="G13" s="2874"/>
      <c r="H13" s="2830"/>
      <c r="I13" s="2831"/>
      <c r="J13" s="3781"/>
      <c r="K13" s="3783"/>
      <c r="L13" s="2865" t="s">
        <v>2368</v>
      </c>
      <c r="M13" s="2866"/>
      <c r="N13" s="2842"/>
      <c r="O13" s="2867"/>
      <c r="P13" s="2867"/>
      <c r="Q13" s="2868">
        <v>365</v>
      </c>
      <c r="R13" s="2869">
        <f t="shared" si="0"/>
        <v>0</v>
      </c>
      <c r="S13" s="2823"/>
      <c r="T13" s="2823"/>
      <c r="U13" s="2823"/>
      <c r="V13" s="2831"/>
    </row>
    <row r="14" spans="1:22" s="2835" customFormat="1" ht="13.15" customHeight="1">
      <c r="A14" s="2878" t="s">
        <v>2369</v>
      </c>
      <c r="B14" s="3787" t="s">
        <v>2370</v>
      </c>
      <c r="C14" s="3788"/>
      <c r="D14" s="2879">
        <f>ROUND(E14*B5/10000,0)</f>
        <v>0</v>
      </c>
      <c r="E14" s="2868"/>
      <c r="F14" s="2873" t="s">
        <v>2371</v>
      </c>
      <c r="G14" s="2874"/>
      <c r="H14" s="2830"/>
      <c r="I14" s="2831"/>
      <c r="J14" s="3781"/>
      <c r="K14" s="3784"/>
      <c r="L14" s="2885" t="s">
        <v>2372</v>
      </c>
      <c r="M14" s="2886">
        <f>SUM(M7:M13)</f>
        <v>0</v>
      </c>
      <c r="N14" s="2886" t="e">
        <f>ROUND((N7*M7+N8*M8+N9*M9+N10*M10+N11*M11+N12*M12+N13*M13)/M14,0)</f>
        <v>#DIV/0!</v>
      </c>
      <c r="O14" s="2887"/>
      <c r="P14" s="2887"/>
      <c r="Q14" s="2888"/>
      <c r="R14" s="2834">
        <f>SUM(R7:R13)</f>
        <v>0</v>
      </c>
      <c r="S14" s="2823"/>
      <c r="T14" s="2823"/>
      <c r="U14" s="2823"/>
      <c r="V14" s="2831"/>
    </row>
    <row r="15" spans="1:22" s="2835" customFormat="1" ht="13.15" customHeight="1">
      <c r="A15" s="2878" t="s">
        <v>2373</v>
      </c>
      <c r="B15" s="3787" t="s">
        <v>2374</v>
      </c>
      <c r="C15" s="3788"/>
      <c r="D15" s="2879">
        <f>ROUND(D6*E15,0)</f>
        <v>0</v>
      </c>
      <c r="E15" s="2880">
        <v>5.5E-2</v>
      </c>
      <c r="F15" s="2873" t="s">
        <v>2375</v>
      </c>
      <c r="G15" s="2855"/>
      <c r="H15" s="2830"/>
      <c r="I15" s="2831"/>
      <c r="J15" s="3781">
        <v>2</v>
      </c>
      <c r="K15" s="3782" t="s">
        <v>2376</v>
      </c>
      <c r="L15" s="2865" t="s">
        <v>2377</v>
      </c>
      <c r="M15" s="2866" t="s">
        <v>2378</v>
      </c>
      <c r="N15" s="2866" t="s">
        <v>2379</v>
      </c>
      <c r="O15" s="2867" t="s">
        <v>2380</v>
      </c>
      <c r="P15" s="2867" t="s">
        <v>2342</v>
      </c>
      <c r="Q15" s="2842" t="s">
        <v>2381</v>
      </c>
      <c r="R15" s="2889" t="s">
        <v>2343</v>
      </c>
      <c r="S15" s="2823"/>
      <c r="T15" s="2823"/>
      <c r="U15" s="2823"/>
      <c r="V15" s="2831"/>
    </row>
    <row r="16" spans="1:22" s="2835" customFormat="1" ht="13.15" customHeight="1">
      <c r="A16" s="2878" t="s">
        <v>2382</v>
      </c>
      <c r="B16" s="3787" t="s">
        <v>2383</v>
      </c>
      <c r="C16" s="3788"/>
      <c r="D16" s="2890">
        <f>D6*E16</f>
        <v>0</v>
      </c>
      <c r="E16" s="2891"/>
      <c r="F16" s="2876" t="s">
        <v>2384</v>
      </c>
      <c r="G16" s="2855"/>
      <c r="H16" s="2830"/>
      <c r="I16" s="2831"/>
      <c r="J16" s="3781"/>
      <c r="K16" s="3783"/>
      <c r="L16" s="2865" t="s">
        <v>2385</v>
      </c>
      <c r="M16" s="2866"/>
      <c r="N16" s="2866"/>
      <c r="O16" s="2867"/>
      <c r="P16" s="2868">
        <v>365</v>
      </c>
      <c r="Q16" s="2842"/>
      <c r="R16" s="2889">
        <f>ROUND(M16*N16*O16*P16/10000,0)</f>
        <v>0</v>
      </c>
      <c r="S16" s="2823"/>
      <c r="T16" s="2823"/>
      <c r="U16" s="2823"/>
      <c r="V16" s="2831"/>
    </row>
    <row r="17" spans="1:22" s="2835" customFormat="1" ht="13.15" customHeight="1" thickBot="1">
      <c r="A17" s="2892">
        <v>4</v>
      </c>
      <c r="B17" s="3789" t="s">
        <v>2386</v>
      </c>
      <c r="C17" s="3790"/>
      <c r="D17" s="2893">
        <f>ROUND(D6*E17,0)</f>
        <v>0</v>
      </c>
      <c r="E17" s="2894"/>
      <c r="F17" s="2895" t="s">
        <v>2387</v>
      </c>
      <c r="G17" s="2855"/>
      <c r="H17" s="2830"/>
      <c r="I17" s="2831"/>
      <c r="J17" s="3781"/>
      <c r="K17" s="3783"/>
      <c r="L17" s="2865" t="s">
        <v>2388</v>
      </c>
      <c r="M17" s="2866"/>
      <c r="N17" s="2866"/>
      <c r="O17" s="2867"/>
      <c r="P17" s="2868">
        <v>365</v>
      </c>
      <c r="Q17" s="2842"/>
      <c r="R17" s="2889">
        <f>ROUND(M17*N17*O17*P17/10000,0)</f>
        <v>0</v>
      </c>
      <c r="S17" s="2823"/>
      <c r="T17" s="2823"/>
      <c r="U17" s="2823"/>
      <c r="V17" s="2831"/>
    </row>
    <row r="18" spans="1:22" s="2835" customFormat="1" ht="13.15" customHeight="1" thickBot="1">
      <c r="A18" s="2858" t="s">
        <v>2389</v>
      </c>
      <c r="B18" s="2859"/>
      <c r="C18" s="2859"/>
      <c r="D18" s="2896">
        <f>ROUND(D6*E18,0)</f>
        <v>0</v>
      </c>
      <c r="E18" s="2897"/>
      <c r="F18" s="2898" t="s">
        <v>2390</v>
      </c>
      <c r="G18" s="2855"/>
      <c r="H18" s="2830"/>
      <c r="I18" s="2831"/>
      <c r="J18" s="3781"/>
      <c r="K18" s="3783"/>
      <c r="L18" s="2865" t="s">
        <v>2391</v>
      </c>
      <c r="M18" s="2866"/>
      <c r="N18" s="2866"/>
      <c r="O18" s="2867"/>
      <c r="P18" s="2868">
        <v>365</v>
      </c>
      <c r="Q18" s="2842"/>
      <c r="R18" s="2889">
        <f>ROUND(M18*N18*O18*P18/10000,0)</f>
        <v>0</v>
      </c>
      <c r="S18" s="2823"/>
      <c r="T18" s="2823"/>
      <c r="U18" s="2823"/>
      <c r="V18" s="2831"/>
    </row>
    <row r="19" spans="1:22" s="2835" customFormat="1" ht="13.15" customHeight="1" thickBot="1">
      <c r="A19" s="2899" t="s">
        <v>2392</v>
      </c>
      <c r="B19" s="2853"/>
      <c r="C19" s="2853"/>
      <c r="D19" s="2853"/>
      <c r="E19" s="2853"/>
      <c r="F19" s="2854"/>
      <c r="G19" s="2874"/>
      <c r="H19" s="2830"/>
      <c r="I19" s="2831"/>
      <c r="J19" s="3781"/>
      <c r="K19" s="3784"/>
      <c r="L19" s="2885" t="s">
        <v>2372</v>
      </c>
      <c r="M19" s="2886"/>
      <c r="N19" s="2886">
        <f>SUM(N16:N18)</f>
        <v>0</v>
      </c>
      <c r="O19" s="2887"/>
      <c r="P19" s="2900" t="s">
        <v>2436</v>
      </c>
      <c r="Q19" s="2867">
        <v>0</v>
      </c>
      <c r="R19" s="2901">
        <f>ROUND(IF(P19="按比例",R14*Q19,SUM(R16:R18)),0)</f>
        <v>0</v>
      </c>
      <c r="S19" s="2823"/>
      <c r="T19" s="2823"/>
      <c r="U19" s="2823"/>
      <c r="V19" s="2831"/>
    </row>
    <row r="20" spans="1:22" s="2835" customFormat="1" ht="13.15" customHeight="1">
      <c r="A20" s="2858"/>
      <c r="B20" s="2859"/>
      <c r="C20" s="2859"/>
      <c r="D20" s="2859"/>
      <c r="E20" s="2859"/>
      <c r="F20" s="2902"/>
      <c r="G20" s="2874"/>
      <c r="H20" s="2830"/>
      <c r="I20" s="2831"/>
      <c r="J20" s="3781">
        <v>3</v>
      </c>
      <c r="K20" s="3782" t="s">
        <v>2393</v>
      </c>
      <c r="L20" s="2865" t="s">
        <v>2394</v>
      </c>
      <c r="M20" s="2866" t="s">
        <v>2395</v>
      </c>
      <c r="N20" s="2903" t="s">
        <v>2396</v>
      </c>
      <c r="O20" s="2867" t="s">
        <v>2397</v>
      </c>
      <c r="P20" s="2868" t="s">
        <v>2398</v>
      </c>
      <c r="Q20" s="2842" t="s">
        <v>2399</v>
      </c>
      <c r="R20" s="2889" t="s">
        <v>2400</v>
      </c>
      <c r="S20" s="2904"/>
      <c r="T20" s="2904"/>
      <c r="U20" s="2904"/>
      <c r="V20" s="2831"/>
    </row>
    <row r="21" spans="1:22" s="2835" customFormat="1" ht="13.15" customHeight="1">
      <c r="A21" s="2858"/>
      <c r="B21" s="2859"/>
      <c r="C21" s="2905" t="s">
        <v>2401</v>
      </c>
      <c r="D21" s="2906" t="s">
        <v>2402</v>
      </c>
      <c r="E21" s="2907" t="s">
        <v>2403</v>
      </c>
      <c r="F21" s="2902"/>
      <c r="G21" s="2874"/>
      <c r="H21" s="2830"/>
      <c r="I21" s="2831"/>
      <c r="J21" s="3781"/>
      <c r="K21" s="3783"/>
      <c r="L21" s="2865" t="s">
        <v>2404</v>
      </c>
      <c r="M21" s="2866"/>
      <c r="N21" s="2866"/>
      <c r="O21" s="2867"/>
      <c r="P21" s="2868">
        <v>365</v>
      </c>
      <c r="Q21" s="2842"/>
      <c r="R21" s="2908">
        <f>ROUND(M21*N21*O21*P21/10000,0)</f>
        <v>0</v>
      </c>
      <c r="S21" s="2904"/>
      <c r="T21" s="2904"/>
      <c r="U21" s="2904"/>
      <c r="V21" s="2831"/>
    </row>
    <row r="22" spans="1:22" s="2835" customFormat="1" ht="13.15" customHeight="1">
      <c r="A22" s="2858"/>
      <c r="B22" s="2859"/>
      <c r="C22" s="2909" t="s">
        <v>2405</v>
      </c>
      <c r="D22" s="2910" t="s">
        <v>2406</v>
      </c>
      <c r="E22" s="2911" t="s">
        <v>2407</v>
      </c>
      <c r="F22" s="2902"/>
      <c r="G22" s="2912"/>
      <c r="H22" s="2830"/>
      <c r="I22" s="2831"/>
      <c r="J22" s="3781"/>
      <c r="K22" s="3783"/>
      <c r="L22" s="2865" t="s">
        <v>2408</v>
      </c>
      <c r="M22" s="2866"/>
      <c r="N22" s="2866"/>
      <c r="O22" s="2867"/>
      <c r="P22" s="2868">
        <v>365</v>
      </c>
      <c r="Q22" s="2842"/>
      <c r="R22" s="2908">
        <f>ROUND(M22*N22*O22*P22/10000,0)</f>
        <v>0</v>
      </c>
      <c r="S22" s="2904"/>
      <c r="T22" s="2904"/>
      <c r="U22" s="2904"/>
      <c r="V22" s="2831"/>
    </row>
    <row r="23" spans="1:22" s="2835" customFormat="1" ht="13.15" customHeight="1">
      <c r="A23" s="2913">
        <v>1</v>
      </c>
      <c r="B23" s="2914" t="s">
        <v>2409</v>
      </c>
      <c r="C23" s="2915">
        <f>D6</f>
        <v>0</v>
      </c>
      <c r="D23" s="2916">
        <f>C23*(1+D24)</f>
        <v>0</v>
      </c>
      <c r="E23" s="2917">
        <f>D23*(1+E24)</f>
        <v>0</v>
      </c>
      <c r="F23" s="2918"/>
      <c r="G23" s="2919"/>
      <c r="H23" s="2830"/>
      <c r="I23" s="2831"/>
      <c r="J23" s="3781"/>
      <c r="K23" s="3783"/>
      <c r="L23" s="2865" t="s">
        <v>2410</v>
      </c>
      <c r="M23" s="2866"/>
      <c r="N23" s="2866"/>
      <c r="O23" s="2867"/>
      <c r="P23" s="2868">
        <v>365</v>
      </c>
      <c r="Q23" s="2842"/>
      <c r="R23" s="2908">
        <f>ROUND(M23*N23*O23*P23/10000,0)</f>
        <v>0</v>
      </c>
      <c r="S23" s="2823"/>
      <c r="T23" s="2823"/>
      <c r="U23" s="2823"/>
      <c r="V23" s="2831"/>
    </row>
    <row r="24" spans="1:22" s="2835" customFormat="1" ht="13.15" customHeight="1">
      <c r="A24" s="2920"/>
      <c r="B24" s="2921" t="s">
        <v>2411</v>
      </c>
      <c r="C24" s="2922"/>
      <c r="D24" s="2923"/>
      <c r="E24" s="2924"/>
      <c r="F24" s="2925"/>
      <c r="G24" s="2919"/>
      <c r="H24" s="2830"/>
      <c r="I24" s="2831"/>
      <c r="J24" s="3781"/>
      <c r="K24" s="3784"/>
      <c r="L24" s="2885" t="s">
        <v>2372</v>
      </c>
      <c r="M24" s="2886">
        <f>SUM(M21:M23)</f>
        <v>0</v>
      </c>
      <c r="N24" s="2886"/>
      <c r="O24" s="2887"/>
      <c r="P24" s="2900" t="s">
        <v>2436</v>
      </c>
      <c r="Q24" s="2867">
        <v>0</v>
      </c>
      <c r="R24" s="2901">
        <f>ROUND(IF(P24="按比例",R14*Q24,SUM(R21:R23)),0)</f>
        <v>0</v>
      </c>
      <c r="S24" s="2823"/>
      <c r="T24" s="2823"/>
      <c r="U24" s="2823"/>
      <c r="V24" s="2831"/>
    </row>
    <row r="25" spans="1:22" s="2932" customFormat="1" ht="13.15" customHeight="1">
      <c r="A25" s="2920"/>
      <c r="B25" s="2921"/>
      <c r="C25" s="2922"/>
      <c r="D25" s="2923"/>
      <c r="E25" s="2924"/>
      <c r="F25" s="2925"/>
      <c r="G25" s="2912"/>
      <c r="H25" s="2830"/>
      <c r="I25" s="2831"/>
      <c r="J25" s="2926">
        <v>4</v>
      </c>
      <c r="K25" s="2927" t="s">
        <v>2412</v>
      </c>
      <c r="L25" s="2928"/>
      <c r="M25" s="2928"/>
      <c r="N25" s="2928"/>
      <c r="O25" s="2928"/>
      <c r="P25" s="2929"/>
      <c r="Q25" s="2930">
        <v>0</v>
      </c>
      <c r="R25" s="2901">
        <f>ROUND(R14*Q25,0)</f>
        <v>0</v>
      </c>
      <c r="S25" s="2823"/>
      <c r="T25" s="2823"/>
      <c r="U25" s="2823"/>
      <c r="V25" s="2931"/>
    </row>
    <row r="26" spans="1:22" s="2932" customFormat="1" ht="13.15" customHeight="1">
      <c r="A26" s="2913">
        <v>2</v>
      </c>
      <c r="B26" s="2914" t="s">
        <v>2413</v>
      </c>
      <c r="C26" s="2915">
        <f>D7</f>
        <v>0</v>
      </c>
      <c r="D26" s="2916">
        <f>D23*D27</f>
        <v>0</v>
      </c>
      <c r="E26" s="2917">
        <f>E23*E27</f>
        <v>0</v>
      </c>
      <c r="F26" s="2918"/>
      <c r="G26" s="2919"/>
      <c r="H26" s="2830"/>
      <c r="I26" s="2831"/>
      <c r="J26" s="3791">
        <v>5</v>
      </c>
      <c r="K26" s="2933" t="s">
        <v>2414</v>
      </c>
      <c r="L26" s="2934"/>
      <c r="M26" s="2935"/>
      <c r="N26" s="2936" t="s">
        <v>2415</v>
      </c>
      <c r="O26" s="2936" t="s">
        <v>2416</v>
      </c>
      <c r="P26" s="2937" t="s">
        <v>2417</v>
      </c>
      <c r="Q26" s="2937" t="s">
        <v>2418</v>
      </c>
      <c r="R26" s="2840" t="s">
        <v>2343</v>
      </c>
      <c r="S26" s="2938"/>
      <c r="T26" s="2938"/>
      <c r="U26" s="2938"/>
      <c r="V26" s="2931"/>
    </row>
    <row r="27" spans="1:22" s="2835" customFormat="1" ht="13.15" customHeight="1">
      <c r="A27" s="2920"/>
      <c r="B27" s="2921" t="s">
        <v>2419</v>
      </c>
      <c r="C27" s="2939" t="e">
        <f>E7</f>
        <v>#DIV/0!</v>
      </c>
      <c r="D27" s="2923"/>
      <c r="E27" s="2924"/>
      <c r="F27" s="2925"/>
      <c r="G27" s="2919"/>
      <c r="H27" s="2940"/>
      <c r="I27" s="2931"/>
      <c r="J27" s="3792"/>
      <c r="K27" s="2941"/>
      <c r="L27" s="2942"/>
      <c r="M27" s="2943"/>
      <c r="N27" s="2944"/>
      <c r="O27" s="2944"/>
      <c r="P27" s="2944"/>
      <c r="Q27" s="2945"/>
      <c r="R27" s="2901">
        <f>ROUND(O27*N27*P27*(1-Q27)/10000,0)</f>
        <v>0</v>
      </c>
      <c r="S27" s="2823"/>
      <c r="T27" s="2823"/>
      <c r="U27" s="2823"/>
      <c r="V27" s="2831"/>
    </row>
    <row r="28" spans="1:22" s="2932" customFormat="1" ht="13.15" customHeight="1" thickBot="1">
      <c r="A28" s="2920"/>
      <c r="B28" s="2921"/>
      <c r="C28" s="2939"/>
      <c r="D28" s="2923"/>
      <c r="E28" s="2924" t="s">
        <v>2420</v>
      </c>
      <c r="F28" s="2925"/>
      <c r="G28" s="2912"/>
      <c r="H28" s="2940"/>
      <c r="I28" s="2931"/>
      <c r="J28" s="2946">
        <v>6</v>
      </c>
      <c r="K28" s="2947" t="s">
        <v>2421</v>
      </c>
      <c r="L28" s="2948" t="s">
        <v>2422</v>
      </c>
      <c r="M28" s="2949"/>
      <c r="N28" s="2948" t="s">
        <v>2423</v>
      </c>
      <c r="O28" s="2950"/>
      <c r="P28" s="2948" t="s">
        <v>2424</v>
      </c>
      <c r="Q28" s="2951">
        <v>1.4999999999999999E-2</v>
      </c>
      <c r="R28" s="2952"/>
      <c r="S28" s="2904"/>
      <c r="T28" s="2904"/>
      <c r="U28" s="2904"/>
      <c r="V28" s="2931"/>
    </row>
    <row r="29" spans="1:22" s="2932" customFormat="1" ht="13.15" customHeight="1">
      <c r="A29" s="2913">
        <v>3</v>
      </c>
      <c r="B29" s="2914" t="s">
        <v>2425</v>
      </c>
      <c r="C29" s="2915">
        <f>C23*C30</f>
        <v>0</v>
      </c>
      <c r="D29" s="2916">
        <f>D23*C30</f>
        <v>0</v>
      </c>
      <c r="E29" s="2917">
        <f>E23*C30</f>
        <v>0</v>
      </c>
      <c r="F29" s="2918"/>
      <c r="G29" s="2919"/>
      <c r="H29" s="2830"/>
      <c r="I29" s="2831"/>
      <c r="J29" s="2904"/>
      <c r="K29" s="2904"/>
      <c r="L29" s="2904"/>
      <c r="M29" s="2904"/>
      <c r="N29" s="2904"/>
      <c r="O29" s="2904"/>
      <c r="P29" s="2904"/>
      <c r="Q29" s="2904"/>
      <c r="R29" s="2904"/>
      <c r="S29" s="2904"/>
      <c r="T29" s="2904"/>
      <c r="U29" s="2904"/>
      <c r="V29" s="2931"/>
    </row>
    <row r="30" spans="1:22" s="2835" customFormat="1" ht="13.15" customHeight="1" thickBot="1">
      <c r="A30" s="2920"/>
      <c r="B30" s="2921" t="s">
        <v>2419</v>
      </c>
      <c r="C30" s="2939">
        <f>E18</f>
        <v>0</v>
      </c>
      <c r="D30" s="2953"/>
      <c r="E30" s="2884"/>
      <c r="F30" s="2925"/>
      <c r="G30" s="2919"/>
      <c r="H30" s="2940"/>
      <c r="I30" s="2931"/>
      <c r="J30" s="2904"/>
      <c r="K30" s="2904"/>
      <c r="L30" s="2904"/>
      <c r="M30" s="2904"/>
      <c r="N30" s="2904"/>
      <c r="O30" s="2904"/>
      <c r="P30" s="2904"/>
      <c r="Q30" s="2904"/>
      <c r="R30" s="2904"/>
      <c r="S30" s="2904"/>
      <c r="T30" s="2904"/>
      <c r="U30" s="2823"/>
      <c r="V30" s="2831"/>
    </row>
    <row r="31" spans="1:22" s="2932" customFormat="1" ht="13.15" customHeight="1">
      <c r="A31" s="2920"/>
      <c r="B31" s="2921"/>
      <c r="C31" s="2954"/>
      <c r="D31" s="2953"/>
      <c r="E31" s="2884"/>
      <c r="F31" s="2925"/>
      <c r="G31" s="2912"/>
      <c r="H31" s="2940"/>
      <c r="I31" s="2931"/>
      <c r="J31" s="2820" t="s">
        <v>2426</v>
      </c>
      <c r="K31" s="2821"/>
      <c r="L31" s="2821"/>
      <c r="M31" s="2821"/>
      <c r="N31" s="2821"/>
      <c r="O31" s="2821"/>
      <c r="P31" s="2821"/>
      <c r="Q31" s="2821"/>
      <c r="R31" s="2822"/>
      <c r="S31" s="2904"/>
      <c r="T31" s="2823"/>
      <c r="U31" s="2823"/>
      <c r="V31" s="2931"/>
    </row>
    <row r="32" spans="1:22" s="2932" customFormat="1" ht="13.15" customHeight="1">
      <c r="A32" s="2913">
        <v>4</v>
      </c>
      <c r="B32" s="2914" t="s">
        <v>2427</v>
      </c>
      <c r="C32" s="2915">
        <f>C23-C26-C29</f>
        <v>0</v>
      </c>
      <c r="D32" s="2916">
        <f>D23-D26-D29</f>
        <v>0</v>
      </c>
      <c r="E32" s="2917">
        <f>E23-E26-E29</f>
        <v>0</v>
      </c>
      <c r="F32" s="2918"/>
      <c r="G32" s="2912"/>
      <c r="H32" s="2830"/>
      <c r="I32" s="2831"/>
      <c r="J32" s="3774" t="s">
        <v>2319</v>
      </c>
      <c r="K32" s="3775"/>
      <c r="L32" s="2832" t="s">
        <v>2320</v>
      </c>
      <c r="M32" s="2832" t="s">
        <v>2321</v>
      </c>
      <c r="N32" s="2832" t="s">
        <v>2322</v>
      </c>
      <c r="O32" s="2832" t="s">
        <v>2323</v>
      </c>
      <c r="P32" s="2832" t="s">
        <v>2324</v>
      </c>
      <c r="Q32" s="2833" t="s">
        <v>2325</v>
      </c>
      <c r="R32" s="2955" t="s">
        <v>2326</v>
      </c>
      <c r="S32" s="2904"/>
      <c r="T32" s="2823"/>
      <c r="U32" s="2823"/>
      <c r="V32" s="2931"/>
    </row>
    <row r="33" spans="1:23" s="2835" customFormat="1" ht="13.15" customHeight="1">
      <c r="A33" s="2913"/>
      <c r="B33" s="2914"/>
      <c r="C33" s="2915"/>
      <c r="D33" s="2956"/>
      <c r="E33" s="2957"/>
      <c r="F33" s="2918"/>
      <c r="G33" s="2912"/>
      <c r="H33" s="2940"/>
      <c r="I33" s="2931"/>
      <c r="J33" s="3776" t="s">
        <v>2329</v>
      </c>
      <c r="K33" s="3777"/>
      <c r="L33" s="2838"/>
      <c r="M33" s="2838"/>
      <c r="N33" s="2838"/>
      <c r="O33" s="2838"/>
      <c r="P33" s="2838"/>
      <c r="Q33" s="2839"/>
      <c r="R33" s="2958">
        <f>SUM(L33:Q33)</f>
        <v>0</v>
      </c>
      <c r="S33" s="2904"/>
      <c r="T33" s="2823"/>
      <c r="U33" s="2823"/>
      <c r="V33" s="2831"/>
    </row>
    <row r="34" spans="1:23" s="2835" customFormat="1" ht="13.15" customHeight="1">
      <c r="A34" s="2913">
        <v>5</v>
      </c>
      <c r="B34" s="2914" t="s">
        <v>2428</v>
      </c>
      <c r="C34" s="2959"/>
      <c r="D34" s="2960"/>
      <c r="E34" s="2961"/>
      <c r="F34" s="2918"/>
      <c r="G34" s="2912"/>
      <c r="H34" s="2940"/>
      <c r="I34" s="2931"/>
      <c r="J34" s="3776" t="s">
        <v>2331</v>
      </c>
      <c r="K34" s="3777"/>
      <c r="L34" s="2843"/>
      <c r="M34" s="2843"/>
      <c r="N34" s="2843"/>
      <c r="O34" s="2843"/>
      <c r="P34" s="2843"/>
      <c r="Q34" s="2844"/>
      <c r="R34" s="2962">
        <f>SUM(L34:Q34)</f>
        <v>0</v>
      </c>
      <c r="S34" s="2904"/>
      <c r="T34" s="2823"/>
      <c r="U34" s="2823" t="e">
        <f>ROUND(R35*10000/365/R33,1)</f>
        <v>#DIV/0!</v>
      </c>
      <c r="V34" s="2831"/>
    </row>
    <row r="35" spans="1:23" s="2835" customFormat="1" ht="13.15" customHeight="1">
      <c r="A35" s="2913">
        <v>6</v>
      </c>
      <c r="B35" s="2914" t="s">
        <v>2429</v>
      </c>
      <c r="C35" s="2963"/>
      <c r="D35" s="2964"/>
      <c r="E35" s="2965"/>
      <c r="F35" s="2918"/>
      <c r="G35" s="2966"/>
      <c r="H35" s="2830"/>
      <c r="I35" s="2931"/>
      <c r="J35" s="2849" t="s">
        <v>2333</v>
      </c>
      <c r="K35" s="2850"/>
      <c r="L35" s="2850"/>
      <c r="M35" s="2851"/>
      <c r="N35" s="2851"/>
      <c r="O35" s="2851"/>
      <c r="P35" s="2851"/>
      <c r="Q35" s="2851"/>
      <c r="R35" s="2967">
        <f>R40+R41+R43</f>
        <v>0</v>
      </c>
      <c r="S35" s="2904"/>
      <c r="T35" s="2823" t="s">
        <v>2334</v>
      </c>
      <c r="U35" s="2823"/>
      <c r="V35" s="2831"/>
    </row>
    <row r="36" spans="1:23" s="2835" customFormat="1" ht="13.15" customHeight="1" thickBot="1">
      <c r="A36" s="2913">
        <v>7</v>
      </c>
      <c r="B36" s="2968" t="s">
        <v>2430</v>
      </c>
      <c r="C36" s="2969"/>
      <c r="D36" s="2970"/>
      <c r="E36" s="2971"/>
      <c r="F36" s="2972">
        <f>C36+D36+E36</f>
        <v>0</v>
      </c>
      <c r="G36" s="2912"/>
      <c r="H36" s="2830"/>
      <c r="I36" s="2831"/>
      <c r="J36" s="3781">
        <v>1</v>
      </c>
      <c r="K36" s="3782" t="s">
        <v>2431</v>
      </c>
      <c r="L36" s="2856"/>
      <c r="M36" s="2857"/>
      <c r="N36" s="2857"/>
      <c r="O36" s="2857"/>
      <c r="P36" s="2857"/>
      <c r="Q36" s="2857"/>
      <c r="R36" s="2840" t="s">
        <v>2343</v>
      </c>
      <c r="S36" s="2904"/>
      <c r="T36" s="2823" t="s">
        <v>2344</v>
      </c>
      <c r="U36" s="2823"/>
      <c r="V36" s="2831"/>
    </row>
    <row r="37" spans="1:23" s="2835" customFormat="1" ht="13.15" customHeight="1">
      <c r="A37" s="2913"/>
      <c r="B37" s="2914"/>
      <c r="C37" s="2914"/>
      <c r="D37" s="2914"/>
      <c r="E37" s="2914"/>
      <c r="F37" s="2918"/>
      <c r="G37" s="2912"/>
      <c r="H37" s="2830"/>
      <c r="I37" s="2831"/>
      <c r="J37" s="3781"/>
      <c r="K37" s="3783"/>
      <c r="L37" s="2865"/>
      <c r="M37" s="2866"/>
      <c r="N37" s="2842"/>
      <c r="O37" s="2867"/>
      <c r="P37" s="2867"/>
      <c r="Q37" s="2868"/>
      <c r="R37" s="2869"/>
      <c r="S37" s="2904"/>
      <c r="T37" s="2823" t="s">
        <v>2347</v>
      </c>
      <c r="U37" s="2823"/>
      <c r="V37" s="2831"/>
    </row>
    <row r="38" spans="1:23" s="2835" customFormat="1" ht="13.15" customHeight="1">
      <c r="A38" s="2913">
        <v>8</v>
      </c>
      <c r="B38" s="2914"/>
      <c r="C38" s="2871" t="e">
        <f>ROUND(C32*(1-((1+C35)/(1+C34))^C36)/(C34-C35),0)</f>
        <v>#DIV/0!</v>
      </c>
      <c r="D38" s="2871">
        <f>IF(D23=0,0,ROUND(D32*(1-((1+D35)/(1+D34))^D36)/(D34-D35),0))</f>
        <v>0</v>
      </c>
      <c r="E38" s="2871">
        <f>IF(E23=0,0,ROUND(E32*(1-((1+E35)/(1+E34))^E36)/(E34-E35),0))</f>
        <v>0</v>
      </c>
      <c r="F38" s="2918"/>
      <c r="G38" s="2912"/>
      <c r="H38" s="2830"/>
      <c r="I38" s="2831"/>
      <c r="J38" s="3781"/>
      <c r="K38" s="3783"/>
      <c r="L38" s="2865"/>
      <c r="M38" s="2866"/>
      <c r="N38" s="2842"/>
      <c r="O38" s="2867"/>
      <c r="P38" s="2867"/>
      <c r="Q38" s="2868"/>
      <c r="R38" s="2869"/>
      <c r="S38" s="2904"/>
      <c r="T38" s="2823" t="s">
        <v>2354</v>
      </c>
      <c r="U38" s="2823"/>
      <c r="V38" s="2831"/>
    </row>
    <row r="39" spans="1:23" s="2835" customFormat="1" ht="13.15" customHeight="1">
      <c r="A39" s="2913">
        <v>9</v>
      </c>
      <c r="B39" s="2914" t="s">
        <v>2432</v>
      </c>
      <c r="C39" s="2879" t="e">
        <f>C38</f>
        <v>#DIV/0!</v>
      </c>
      <c r="D39" s="2914">
        <f>D38/(1+D34)^C36</f>
        <v>0</v>
      </c>
      <c r="E39" s="2914">
        <f>E38/(1+E34)^(C36+D36)</f>
        <v>0</v>
      </c>
      <c r="F39" s="2918"/>
      <c r="G39" s="2973"/>
      <c r="H39" s="2830"/>
      <c r="I39" s="2831"/>
      <c r="J39" s="3781"/>
      <c r="K39" s="3783"/>
      <c r="L39" s="2865"/>
      <c r="M39" s="2866"/>
      <c r="N39" s="2842"/>
      <c r="O39" s="2867"/>
      <c r="P39" s="2867"/>
      <c r="Q39" s="2868"/>
      <c r="R39" s="2869"/>
      <c r="S39" s="2904"/>
      <c r="T39" s="2823"/>
      <c r="U39" s="2823"/>
      <c r="V39" s="2831"/>
    </row>
    <row r="40" spans="1:23" s="2835" customFormat="1" ht="13.15" customHeight="1">
      <c r="A40" s="2974">
        <v>10</v>
      </c>
      <c r="B40" s="2914" t="s">
        <v>2433</v>
      </c>
      <c r="C40" s="2975" t="e">
        <f>C39+D39+E39</f>
        <v>#DIV/0!</v>
      </c>
      <c r="D40" s="2976"/>
      <c r="E40" s="2976"/>
      <c r="F40" s="2977"/>
      <c r="G40" s="2912"/>
      <c r="H40" s="2830"/>
      <c r="I40" s="2831"/>
      <c r="J40" s="3781"/>
      <c r="K40" s="3784"/>
      <c r="L40" s="2885" t="s">
        <v>2372</v>
      </c>
      <c r="M40" s="2886"/>
      <c r="N40" s="2886"/>
      <c r="O40" s="2887"/>
      <c r="P40" s="2887"/>
      <c r="Q40" s="2888"/>
      <c r="R40" s="2834">
        <f>SUM(R37:R39)</f>
        <v>0</v>
      </c>
      <c r="S40" s="2904"/>
      <c r="T40" s="2823"/>
      <c r="U40" s="2823"/>
      <c r="V40" s="2831"/>
    </row>
    <row r="41" spans="1:23" s="2835" customFormat="1" ht="13.15" customHeight="1" thickBot="1">
      <c r="A41" s="2978">
        <v>11</v>
      </c>
      <c r="B41" s="2979" t="s">
        <v>2434</v>
      </c>
      <c r="C41" s="2979" t="e">
        <f>ROUND(C40*10000/B4,0)</f>
        <v>#DIV/0!</v>
      </c>
      <c r="D41" s="2980"/>
      <c r="E41" s="2980"/>
      <c r="F41" s="2981"/>
      <c r="G41" s="2982"/>
      <c r="H41" s="2830"/>
      <c r="I41" s="2831"/>
      <c r="J41" s="2926">
        <v>2</v>
      </c>
      <c r="K41" s="2927" t="s">
        <v>2412</v>
      </c>
      <c r="L41" s="2928"/>
      <c r="M41" s="2928"/>
      <c r="N41" s="2928"/>
      <c r="O41" s="2928"/>
      <c r="P41" s="2929"/>
      <c r="Q41" s="2930"/>
      <c r="R41" s="2901">
        <f>ROUND(R40*Q41,0)</f>
        <v>0</v>
      </c>
      <c r="S41" s="2904"/>
      <c r="T41" s="2823"/>
      <c r="U41" s="2938"/>
      <c r="V41" s="2831"/>
    </row>
    <row r="42" spans="1:23" s="2835" customFormat="1" ht="13.15" customHeight="1">
      <c r="G42" s="2982"/>
      <c r="H42" s="2830"/>
      <c r="I42" s="2831"/>
      <c r="J42" s="3791">
        <v>3</v>
      </c>
      <c r="K42" s="2933" t="s">
        <v>2414</v>
      </c>
      <c r="L42" s="2934"/>
      <c r="M42" s="2935"/>
      <c r="N42" s="2936" t="s">
        <v>2415</v>
      </c>
      <c r="O42" s="2936" t="s">
        <v>2416</v>
      </c>
      <c r="P42" s="2937" t="s">
        <v>2417</v>
      </c>
      <c r="Q42" s="2937" t="s">
        <v>2418</v>
      </c>
      <c r="R42" s="2840" t="s">
        <v>2343</v>
      </c>
      <c r="S42" s="2938"/>
      <c r="T42" s="2938"/>
      <c r="U42" s="2823"/>
      <c r="V42" s="2831"/>
    </row>
    <row r="43" spans="1:23" ht="13.15" customHeight="1">
      <c r="A43" s="2835"/>
      <c r="B43" s="2835"/>
      <c r="C43" s="2835"/>
      <c r="D43" s="2835"/>
      <c r="E43" s="2835"/>
      <c r="F43" s="2835"/>
      <c r="I43" s="2818"/>
      <c r="J43" s="3792"/>
      <c r="K43" s="2941"/>
      <c r="L43" s="2942"/>
      <c r="M43" s="2943"/>
      <c r="N43" s="2866"/>
      <c r="O43" s="2866"/>
      <c r="P43" s="2866"/>
      <c r="Q43" s="2930"/>
      <c r="R43" s="2901">
        <f>ROUND(O43*N43*P43*(1-Q43)/10000,0)</f>
        <v>0</v>
      </c>
      <c r="S43" s="2904"/>
      <c r="T43" s="2823"/>
      <c r="V43" s="2984"/>
      <c r="W43" s="2985"/>
    </row>
    <row r="44" spans="1:23" ht="13.15" customHeight="1" thickBot="1">
      <c r="J44" s="2946">
        <v>6</v>
      </c>
      <c r="K44" s="2947" t="s">
        <v>2421</v>
      </c>
      <c r="L44" s="2986" t="s">
        <v>2422</v>
      </c>
      <c r="M44" s="2949"/>
      <c r="N44" s="2986" t="s">
        <v>2423</v>
      </c>
      <c r="O44" s="2949"/>
      <c r="P44" s="2986" t="s">
        <v>2424</v>
      </c>
      <c r="Q44" s="2951">
        <v>1.4999999999999999E-2</v>
      </c>
      <c r="R44" s="295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689"/>
      <c r="G1" s="1489"/>
      <c r="H1" s="1489"/>
      <c r="I1" s="1489"/>
      <c r="J1" s="1489"/>
      <c r="K1" s="1489"/>
      <c r="L1" s="1489"/>
      <c r="M1" s="1489"/>
      <c r="N1" s="1489"/>
      <c r="O1" s="1489"/>
      <c r="P1" s="1489"/>
      <c r="Q1" s="1489"/>
      <c r="R1" s="1489"/>
      <c r="S1" s="1489"/>
    </row>
    <row r="2" spans="1:22" ht="15.75">
      <c r="A2" s="1870" t="s">
        <v>1461</v>
      </c>
      <c r="B2" s="1871">
        <f ca="1">SUMIF(B6:B13,"&lt;&gt;#ref!",B6:B13)</f>
        <v>134957</v>
      </c>
      <c r="C2" s="1872" t="s">
        <v>1650</v>
      </c>
      <c r="D2" s="1873" t="s">
        <v>1651</v>
      </c>
      <c r="E2" s="2589">
        <f>SUM(E6:E13)</f>
        <v>27298.22</v>
      </c>
      <c r="F2" s="2689"/>
      <c r="G2" s="1489"/>
      <c r="H2" s="1489"/>
      <c r="I2" s="1489"/>
      <c r="J2" s="1489"/>
      <c r="K2" s="1489"/>
      <c r="L2" s="1489"/>
      <c r="M2" s="1489"/>
      <c r="N2" s="1489"/>
      <c r="O2" s="1489"/>
      <c r="P2" s="1489"/>
      <c r="Q2" s="1489"/>
      <c r="R2" s="1489"/>
      <c r="S2" s="1489"/>
    </row>
    <row r="3" spans="1:22" ht="15.75">
      <c r="A3" s="1870" t="s">
        <v>686</v>
      </c>
      <c r="B3" s="2583">
        <f ca="1">ROUND(B2*10000/E2,0)</f>
        <v>49438</v>
      </c>
      <c r="C3" s="1872" t="s">
        <v>1658</v>
      </c>
      <c r="D3" s="2691"/>
      <c r="E3" s="2693"/>
      <c r="F3" s="2689"/>
      <c r="G3" s="1489"/>
      <c r="H3" s="1489"/>
      <c r="I3" s="1489"/>
      <c r="J3" s="1489"/>
      <c r="K3" s="1489"/>
      <c r="L3" s="1489"/>
      <c r="M3" s="1489"/>
      <c r="N3" s="1489"/>
      <c r="O3" s="1489"/>
      <c r="P3" s="1489"/>
      <c r="Q3" s="1489"/>
      <c r="R3" s="1489"/>
      <c r="S3" s="1489"/>
    </row>
    <row r="4" spans="1:22" ht="15.75">
      <c r="A4" s="2694"/>
      <c r="B4" s="2691"/>
      <c r="C4" s="2691"/>
      <c r="D4" s="2691"/>
      <c r="E4" s="2693"/>
      <c r="F4" s="2689"/>
      <c r="G4" s="1489"/>
      <c r="H4" s="1489"/>
      <c r="I4" s="1489"/>
      <c r="J4" s="1489"/>
      <c r="K4" s="1489"/>
      <c r="L4" s="1489"/>
      <c r="M4" s="1489"/>
      <c r="N4" s="1489"/>
      <c r="O4" s="1489"/>
      <c r="P4" s="1489"/>
      <c r="Q4" s="1489"/>
      <c r="R4" s="1489"/>
      <c r="S4" s="1489"/>
    </row>
    <row r="5" spans="1:22" ht="15">
      <c r="A5" s="2585" t="s">
        <v>1652</v>
      </c>
      <c r="B5" s="3793" t="s">
        <v>1653</v>
      </c>
      <c r="C5" s="3794"/>
      <c r="D5" s="2690"/>
      <c r="E5" s="1874" t="s">
        <v>1654</v>
      </c>
      <c r="F5" s="1875" t="s">
        <v>1655</v>
      </c>
      <c r="G5" s="1489"/>
      <c r="H5" s="1489"/>
      <c r="I5" s="1489"/>
      <c r="J5" s="1489"/>
      <c r="K5" s="1489"/>
      <c r="L5" s="1489"/>
      <c r="M5" s="1489"/>
      <c r="N5" s="1489"/>
      <c r="O5" s="1489"/>
      <c r="P5" s="1489"/>
      <c r="Q5" s="1489"/>
      <c r="R5" s="1489"/>
      <c r="S5" s="1489"/>
    </row>
    <row r="6" spans="1:22">
      <c r="A6" s="2586" t="str">
        <f>'数据-取费表'!AN6</f>
        <v>收益法</v>
      </c>
      <c r="B6" s="2584">
        <f ca="1">IF(F6="是",'数据-取费表'!AO6,0)</f>
        <v>134957</v>
      </c>
      <c r="C6" s="1872" t="s">
        <v>1650</v>
      </c>
      <c r="D6" s="2691"/>
      <c r="E6" s="2588">
        <f>IF(OR(A6=0,F6="否"),0,'数据-取费表'!K6+'数据-取费表'!S6)</f>
        <v>27298.22</v>
      </c>
      <c r="F6" s="1876" t="s">
        <v>1656</v>
      </c>
      <c r="G6" s="1489"/>
      <c r="H6" s="1489"/>
      <c r="I6" s="1489"/>
      <c r="J6" s="1489"/>
      <c r="K6" s="1489"/>
      <c r="L6" s="1489"/>
      <c r="M6" s="1489"/>
      <c r="N6" s="1489"/>
      <c r="O6" s="1489"/>
      <c r="P6" s="1489"/>
      <c r="Q6" s="1489"/>
      <c r="R6" s="1489"/>
      <c r="S6" s="1489"/>
    </row>
    <row r="7" spans="1:22">
      <c r="A7" s="2586">
        <f>'数据-取费表'!AN7</f>
        <v>0</v>
      </c>
      <c r="B7" s="2584" t="e">
        <f ca="1">IF(F7="是",'数据-取费表'!AO7,0)</f>
        <v>#REF!</v>
      </c>
      <c r="C7" s="1872" t="s">
        <v>1650</v>
      </c>
      <c r="D7" s="2691"/>
      <c r="E7" s="2588">
        <f>IF(OR(A7=0,F7="否"),0,'数据-取费表'!K7+'数据-取费表'!S7)</f>
        <v>0</v>
      </c>
      <c r="F7" s="1876" t="s">
        <v>1656</v>
      </c>
      <c r="G7" s="1489"/>
      <c r="H7" s="1489"/>
      <c r="I7" s="1489"/>
      <c r="J7" s="1489"/>
      <c r="K7" s="1489"/>
      <c r="L7" s="1489"/>
      <c r="M7" s="1489"/>
      <c r="N7" s="1489"/>
      <c r="O7" s="1489"/>
      <c r="P7" s="1489"/>
      <c r="Q7" s="1489"/>
      <c r="R7" s="1489"/>
      <c r="S7" s="1489"/>
    </row>
    <row r="8" spans="1:22">
      <c r="A8" s="2586">
        <f>'数据-取费表'!AN8</f>
        <v>0</v>
      </c>
      <c r="B8" s="2584" t="e">
        <f ca="1">IF(F8="是",'数据-取费表'!AO8,0)</f>
        <v>#REF!</v>
      </c>
      <c r="C8" s="1872" t="s">
        <v>1650</v>
      </c>
      <c r="D8" s="2691"/>
      <c r="E8" s="2588">
        <f>IF(OR(A8=0,F8="否"),0,'数据-取费表'!K8+'数据-取费表'!S8)</f>
        <v>0</v>
      </c>
      <c r="F8" s="1876" t="s">
        <v>1656</v>
      </c>
      <c r="G8" s="1489"/>
      <c r="H8" s="1489"/>
      <c r="I8" s="1489"/>
      <c r="J8" s="1489"/>
      <c r="K8" s="1489"/>
      <c r="L8" s="1489"/>
      <c r="M8" s="1489"/>
      <c r="N8" s="1489"/>
      <c r="O8" s="1489"/>
      <c r="P8" s="1489"/>
      <c r="Q8" s="1489"/>
      <c r="R8" s="1489"/>
      <c r="S8" s="1489"/>
    </row>
    <row r="9" spans="1:22">
      <c r="A9" s="2586">
        <f>'数据-取费表'!AN9</f>
        <v>0</v>
      </c>
      <c r="B9" s="2584" t="e">
        <f ca="1">IF(F9="是",'数据-取费表'!AO9,0)</f>
        <v>#REF!</v>
      </c>
      <c r="C9" s="1872" t="s">
        <v>1650</v>
      </c>
      <c r="D9" s="2691"/>
      <c r="E9" s="2588">
        <f>IF(OR(A9=0,F9="否"),0,'数据-取费表'!K9+'数据-取费表'!S9)</f>
        <v>0</v>
      </c>
      <c r="F9" s="1876" t="s">
        <v>1656</v>
      </c>
      <c r="G9" s="1489"/>
      <c r="H9" s="1489"/>
      <c r="I9" s="1489"/>
      <c r="J9" s="1489"/>
      <c r="K9" s="1489"/>
      <c r="L9" s="1489"/>
      <c r="M9" s="1489"/>
      <c r="N9" s="1489"/>
      <c r="O9" s="1489"/>
      <c r="P9" s="1489"/>
      <c r="Q9" s="1489"/>
      <c r="R9" s="1489"/>
      <c r="S9" s="1489"/>
    </row>
    <row r="10" spans="1:22">
      <c r="A10" s="2586">
        <f>'数据-取费表'!AN10</f>
        <v>0</v>
      </c>
      <c r="B10" s="2584" t="e">
        <f ca="1">IF(F10="是",'数据-取费表'!AO10,0)</f>
        <v>#REF!</v>
      </c>
      <c r="C10" s="1872" t="s">
        <v>1650</v>
      </c>
      <c r="D10" s="2691"/>
      <c r="E10" s="2588">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86">
        <f>'数据-取费表'!AN11</f>
        <v>0</v>
      </c>
      <c r="B11" s="2584" t="e">
        <f ca="1">IF(F11="是",'数据-取费表'!AO11,0)</f>
        <v>#REF!</v>
      </c>
      <c r="C11" s="1872" t="s">
        <v>1650</v>
      </c>
      <c r="D11" s="2691"/>
      <c r="E11" s="2588">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86">
        <f>'数据-取费表'!AN12</f>
        <v>0</v>
      </c>
      <c r="B12" s="2584" t="e">
        <f ca="1">IF(F12="是",'数据-取费表'!AO12,0)</f>
        <v>#REF!</v>
      </c>
      <c r="C12" s="1872" t="s">
        <v>1650</v>
      </c>
      <c r="D12" s="2691"/>
      <c r="E12" s="2588">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87">
        <f>'数据-取费表'!AN13</f>
        <v>0</v>
      </c>
      <c r="B13" s="2584" t="e">
        <f ca="1">IF(F13="是",'数据-取费表'!AO13,0)</f>
        <v>#REF!</v>
      </c>
      <c r="C13" s="1877" t="s">
        <v>1650</v>
      </c>
      <c r="D13" s="2692"/>
      <c r="E13" s="2588">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08"/>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695"/>
      <c r="M2" s="2696"/>
      <c r="N2" s="2696"/>
      <c r="O2" s="2696"/>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27298.22</v>
      </c>
      <c r="E3" s="907"/>
      <c r="F3" s="1888"/>
      <c r="G3" s="907"/>
      <c r="H3" s="907"/>
      <c r="I3" s="907"/>
      <c r="J3" s="907"/>
      <c r="K3" s="1884"/>
      <c r="L3" s="2695"/>
      <c r="M3" s="2696"/>
      <c r="N3" s="2696"/>
      <c r="O3" s="2696"/>
      <c r="P3" s="1885"/>
      <c r="Q3" s="1886"/>
      <c r="R3" s="1886"/>
      <c r="S3" s="1886"/>
      <c r="T3" s="1886"/>
      <c r="U3" s="1886"/>
      <c r="V3" s="1886"/>
      <c r="W3" s="1886"/>
      <c r="X3" s="1886"/>
      <c r="Y3" s="1886"/>
      <c r="Z3" s="1886"/>
      <c r="AA3" s="1886"/>
      <c r="AB3" s="1886"/>
      <c r="AC3" s="1061"/>
    </row>
    <row r="4" spans="1:29" ht="15">
      <c r="A4" s="355" t="s">
        <v>1665</v>
      </c>
      <c r="B4" s="356"/>
      <c r="C4" s="3742" t="s">
        <v>1666</v>
      </c>
      <c r="D4" s="3743"/>
      <c r="E4" s="3744" t="s">
        <v>1667</v>
      </c>
      <c r="F4" s="3745"/>
      <c r="G4" s="3742" t="s">
        <v>1668</v>
      </c>
      <c r="H4" s="3743"/>
      <c r="I4" s="3742" t="s">
        <v>1669</v>
      </c>
      <c r="J4" s="3743"/>
      <c r="K4" s="1889" t="s">
        <v>1670</v>
      </c>
      <c r="L4" s="2697"/>
      <c r="M4" s="2698"/>
      <c r="N4" s="2698"/>
      <c r="O4" s="2698"/>
      <c r="P4" s="3746" t="s">
        <v>1671</v>
      </c>
      <c r="Q4" s="3747"/>
      <c r="R4" s="3729" t="s">
        <v>1667</v>
      </c>
      <c r="S4" s="3730"/>
      <c r="T4" s="3729" t="s">
        <v>1668</v>
      </c>
      <c r="U4" s="3730"/>
      <c r="V4" s="3726" t="s">
        <v>1669</v>
      </c>
      <c r="W4" s="3726"/>
      <c r="X4" s="1355"/>
      <c r="Y4" s="3729" t="s">
        <v>1671</v>
      </c>
      <c r="Z4" s="3730"/>
      <c r="AA4" s="3723" t="s">
        <v>1667</v>
      </c>
      <c r="AB4" s="3723" t="s">
        <v>1668</v>
      </c>
      <c r="AC4" s="3723" t="s">
        <v>1669</v>
      </c>
    </row>
    <row r="5" spans="1:29" ht="15">
      <c r="A5" s="358"/>
      <c r="B5" s="359"/>
      <c r="C5" s="3735" t="s">
        <v>1672</v>
      </c>
      <c r="D5" s="3736"/>
      <c r="E5" s="3733" t="s">
        <v>1673</v>
      </c>
      <c r="F5" s="3734"/>
      <c r="G5" s="3735" t="s">
        <v>1674</v>
      </c>
      <c r="H5" s="3736"/>
      <c r="I5" s="3735" t="s">
        <v>1675</v>
      </c>
      <c r="J5" s="3736"/>
      <c r="K5" s="1890"/>
      <c r="L5" s="2697"/>
      <c r="M5" s="2698"/>
      <c r="N5" s="2698"/>
      <c r="O5" s="2698"/>
      <c r="P5" s="3748"/>
      <c r="Q5" s="3749"/>
      <c r="R5" s="3731"/>
      <c r="S5" s="3732"/>
      <c r="T5" s="3731"/>
      <c r="U5" s="3732"/>
      <c r="V5" s="3726"/>
      <c r="W5" s="3726"/>
      <c r="X5" s="1355"/>
      <c r="Y5" s="3731"/>
      <c r="Z5" s="3732"/>
      <c r="AA5" s="3724"/>
      <c r="AB5" s="3724"/>
      <c r="AC5" s="3724"/>
    </row>
    <row r="6" spans="1:29" ht="15.75" thickBot="1">
      <c r="A6" s="360"/>
      <c r="B6" s="361"/>
      <c r="C6" s="3737" t="s">
        <v>1676</v>
      </c>
      <c r="D6" s="3738"/>
      <c r="E6" s="3739" t="s">
        <v>1676</v>
      </c>
      <c r="F6" s="3740"/>
      <c r="G6" s="3737" t="s">
        <v>1676</v>
      </c>
      <c r="H6" s="3738"/>
      <c r="I6" s="3737" t="s">
        <v>1676</v>
      </c>
      <c r="J6" s="3738"/>
      <c r="K6" s="1890" t="s">
        <v>1677</v>
      </c>
      <c r="L6" s="2697"/>
      <c r="M6" s="2698"/>
      <c r="N6" s="2698"/>
      <c r="O6" s="2698"/>
      <c r="P6" s="3750"/>
      <c r="Q6" s="3751"/>
      <c r="R6" s="3731"/>
      <c r="S6" s="3732"/>
      <c r="T6" s="3752"/>
      <c r="U6" s="3753"/>
      <c r="V6" s="3726"/>
      <c r="W6" s="3726"/>
      <c r="X6" s="1355"/>
      <c r="Y6" s="3752"/>
      <c r="Z6" s="3753"/>
      <c r="AA6" s="3725"/>
      <c r="AB6" s="3725"/>
      <c r="AC6" s="3725"/>
    </row>
    <row r="7" spans="1:29" s="108" customFormat="1" ht="15.75" thickBot="1">
      <c r="A7" s="362" t="s">
        <v>1678</v>
      </c>
      <c r="B7" s="363"/>
      <c r="C7" s="364">
        <f>'数据-取费表'!B2</f>
        <v>45009</v>
      </c>
      <c r="D7" s="365">
        <v>100</v>
      </c>
      <c r="E7" s="366"/>
      <c r="F7" s="367">
        <f>SUMIF(58:58,YEAR(E7)&amp;"-"&amp;MONTH(E7),59:59)</f>
        <v>0</v>
      </c>
      <c r="G7" s="366"/>
      <c r="H7" s="365">
        <f>SUMIF(58:58,YEAR(G7)&amp;"-"&amp;MONTH(G7),59:59)</f>
        <v>0</v>
      </c>
      <c r="I7" s="366"/>
      <c r="J7" s="365">
        <f>SUMIF(58:58,YEAR(I7)&amp;"-"&amp;MONTH(I7),59:59)</f>
        <v>0</v>
      </c>
      <c r="K7" s="1891"/>
      <c r="L7" s="2699"/>
      <c r="M7" s="2700"/>
      <c r="N7" s="2700"/>
      <c r="O7" s="2700"/>
      <c r="P7" s="3727" t="s">
        <v>1679</v>
      </c>
      <c r="Q7" s="3754"/>
      <c r="R7" s="701" t="s">
        <v>20</v>
      </c>
      <c r="S7" s="702">
        <f t="shared" ref="S7:S15" si="0">F7</f>
        <v>0</v>
      </c>
      <c r="T7" s="701" t="s">
        <v>20</v>
      </c>
      <c r="U7" s="702">
        <f t="shared" ref="U7:U15" si="1">H7</f>
        <v>0</v>
      </c>
      <c r="V7" s="701" t="s">
        <v>20</v>
      </c>
      <c r="W7" s="702">
        <f t="shared" ref="W7:W15" si="2">J7</f>
        <v>0</v>
      </c>
      <c r="X7" s="703"/>
      <c r="Y7" s="3727" t="s">
        <v>1679</v>
      </c>
      <c r="Z7" s="3728"/>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699"/>
      <c r="M8" s="2700"/>
      <c r="N8" s="2700"/>
      <c r="O8" s="2700"/>
      <c r="P8" s="3727" t="s">
        <v>1682</v>
      </c>
      <c r="Q8" s="3728"/>
      <c r="R8" s="701" t="s">
        <v>20</v>
      </c>
      <c r="S8" s="702">
        <f t="shared" si="0"/>
        <v>100</v>
      </c>
      <c r="T8" s="701" t="s">
        <v>20</v>
      </c>
      <c r="U8" s="702">
        <f t="shared" si="1"/>
        <v>100</v>
      </c>
      <c r="V8" s="701" t="s">
        <v>20</v>
      </c>
      <c r="W8" s="702">
        <f t="shared" si="2"/>
        <v>100</v>
      </c>
      <c r="X8" s="703"/>
      <c r="Y8" s="3727" t="s">
        <v>1682</v>
      </c>
      <c r="Z8" s="3728"/>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699"/>
      <c r="M9" s="2700"/>
      <c r="N9" s="2700"/>
      <c r="O9" s="2700"/>
      <c r="P9" s="3741" t="s">
        <v>1685</v>
      </c>
      <c r="Q9" s="1343" t="str">
        <f t="shared" ref="Q9:Q15" si="6">B9</f>
        <v>用途</v>
      </c>
      <c r="R9" s="701" t="s">
        <v>14</v>
      </c>
      <c r="S9" s="702">
        <f t="shared" si="0"/>
        <v>100</v>
      </c>
      <c r="T9" s="701" t="s">
        <v>14</v>
      </c>
      <c r="U9" s="702">
        <f t="shared" si="1"/>
        <v>100</v>
      </c>
      <c r="V9" s="701" t="s">
        <v>14</v>
      </c>
      <c r="W9" s="702">
        <f t="shared" si="2"/>
        <v>100</v>
      </c>
      <c r="X9" s="703"/>
      <c r="Y9" s="3696" t="s">
        <v>1686</v>
      </c>
      <c r="Z9" s="52" t="str">
        <f t="shared" ref="Z9:Z15" si="7">Q9</f>
        <v>用途</v>
      </c>
      <c r="AA9" s="704">
        <f t="shared" si="3"/>
        <v>1</v>
      </c>
      <c r="AB9" s="704">
        <f t="shared" si="4"/>
        <v>1</v>
      </c>
      <c r="AC9" s="704">
        <f t="shared" si="5"/>
        <v>1</v>
      </c>
    </row>
    <row r="10" spans="1:29" s="378" customFormat="1" ht="27">
      <c r="A10" s="374"/>
      <c r="B10" s="375" t="s">
        <v>1687</v>
      </c>
      <c r="C10" s="3416"/>
      <c r="D10" s="127">
        <v>100</v>
      </c>
      <c r="E10" s="3417"/>
      <c r="F10" s="376">
        <f>SUMIF(65:65,E10,66:66)-SUMIF(65:65,C10,66:66)+100</f>
        <v>100</v>
      </c>
      <c r="G10" s="3416"/>
      <c r="H10" s="127">
        <f>SUMIF(65:65,G10,66:66)-SUMIF(65:65,C10,66:66)+100</f>
        <v>100</v>
      </c>
      <c r="I10" s="3416"/>
      <c r="J10" s="127">
        <f>SUMIF(65:65,I10,66:66)-SUMIF(65:65,C10,66:66)+100</f>
        <v>100</v>
      </c>
      <c r="K10" s="1891"/>
      <c r="L10" s="2701"/>
      <c r="M10" s="2702"/>
      <c r="N10" s="2702"/>
      <c r="O10" s="2702"/>
      <c r="P10" s="3741"/>
      <c r="Q10" s="1343" t="str">
        <f t="shared" si="6"/>
        <v>土地使用年限（年）</v>
      </c>
      <c r="R10" s="701" t="s">
        <v>14</v>
      </c>
      <c r="S10" s="702">
        <f t="shared" si="0"/>
        <v>100</v>
      </c>
      <c r="T10" s="701" t="s">
        <v>14</v>
      </c>
      <c r="U10" s="702">
        <f t="shared" si="1"/>
        <v>100</v>
      </c>
      <c r="V10" s="701" t="s">
        <v>14</v>
      </c>
      <c r="W10" s="702">
        <f t="shared" si="2"/>
        <v>100</v>
      </c>
      <c r="X10" s="703"/>
      <c r="Y10" s="3696"/>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3"/>
      <c r="M11" s="2698"/>
      <c r="N11" s="2698"/>
      <c r="O11" s="2698"/>
      <c r="P11" s="3741"/>
      <c r="Q11" s="1343" t="str">
        <f t="shared" si="6"/>
        <v>容积率</v>
      </c>
      <c r="R11" s="701" t="s">
        <v>18</v>
      </c>
      <c r="S11" s="702" t="e">
        <f t="shared" si="0"/>
        <v>#N/A</v>
      </c>
      <c r="T11" s="701" t="s">
        <v>18</v>
      </c>
      <c r="U11" s="702" t="e">
        <f t="shared" si="1"/>
        <v>#N/A</v>
      </c>
      <c r="V11" s="701" t="s">
        <v>18</v>
      </c>
      <c r="W11" s="702" t="e">
        <f t="shared" si="2"/>
        <v>#N/A</v>
      </c>
      <c r="X11" s="703"/>
      <c r="Y11" s="369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9"/>
      <c r="M12" s="2700"/>
      <c r="N12" s="2700"/>
      <c r="O12" s="2700"/>
      <c r="P12" s="3741"/>
      <c r="Q12" s="1343">
        <f t="shared" si="6"/>
        <v>111</v>
      </c>
      <c r="R12" s="701" t="s">
        <v>18</v>
      </c>
      <c r="S12" s="702">
        <f t="shared" si="0"/>
        <v>100</v>
      </c>
      <c r="T12" s="701" t="s">
        <v>18</v>
      </c>
      <c r="U12" s="702">
        <f t="shared" si="1"/>
        <v>100</v>
      </c>
      <c r="V12" s="701" t="s">
        <v>18</v>
      </c>
      <c r="W12" s="702">
        <f t="shared" si="2"/>
        <v>100</v>
      </c>
      <c r="X12" s="703"/>
      <c r="Y12" s="369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04"/>
      <c r="M13" s="2698"/>
      <c r="N13" s="2698"/>
      <c r="O13" s="2698"/>
      <c r="P13" s="3741"/>
      <c r="Q13" s="1343">
        <f t="shared" si="6"/>
        <v>111</v>
      </c>
      <c r="R13" s="701" t="s">
        <v>18</v>
      </c>
      <c r="S13" s="702">
        <f t="shared" si="0"/>
        <v>100</v>
      </c>
      <c r="T13" s="701" t="s">
        <v>18</v>
      </c>
      <c r="U13" s="702">
        <f t="shared" si="1"/>
        <v>100</v>
      </c>
      <c r="V13" s="701" t="s">
        <v>18</v>
      </c>
      <c r="W13" s="702">
        <f t="shared" si="2"/>
        <v>100</v>
      </c>
      <c r="X13" s="703"/>
      <c r="Y13" s="369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04"/>
      <c r="M14" s="2698"/>
      <c r="N14" s="2698"/>
      <c r="O14" s="2698"/>
      <c r="P14" s="3741"/>
      <c r="Q14" s="1343">
        <f t="shared" si="6"/>
        <v>111</v>
      </c>
      <c r="R14" s="701" t="s">
        <v>18</v>
      </c>
      <c r="S14" s="702">
        <f t="shared" si="0"/>
        <v>100</v>
      </c>
      <c r="T14" s="701" t="s">
        <v>18</v>
      </c>
      <c r="U14" s="702">
        <f t="shared" si="1"/>
        <v>100</v>
      </c>
      <c r="V14" s="701" t="s">
        <v>18</v>
      </c>
      <c r="W14" s="702">
        <f t="shared" si="2"/>
        <v>100</v>
      </c>
      <c r="X14" s="703"/>
      <c r="Y14" s="3696"/>
      <c r="Z14" s="52">
        <f t="shared" si="7"/>
        <v>111</v>
      </c>
      <c r="AA14" s="704">
        <f t="shared" si="3"/>
        <v>1</v>
      </c>
      <c r="AB14" s="704">
        <f t="shared" si="4"/>
        <v>1</v>
      </c>
      <c r="AC14" s="704">
        <f t="shared" si="5"/>
        <v>1</v>
      </c>
    </row>
    <row r="15" spans="1:29" ht="85.5">
      <c r="A15" s="391" t="s">
        <v>1689</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4"/>
      <c r="M15" s="2698"/>
      <c r="N15" s="2698"/>
      <c r="O15" s="2698"/>
      <c r="P15" s="3755" t="s">
        <v>1690</v>
      </c>
      <c r="Q15" s="1352" t="str">
        <f t="shared" si="6"/>
        <v>居住社区成熟度</v>
      </c>
      <c r="R15" s="705" t="s">
        <v>18</v>
      </c>
      <c r="S15" s="706">
        <f t="shared" si="0"/>
        <v>100</v>
      </c>
      <c r="T15" s="705" t="s">
        <v>18</v>
      </c>
      <c r="U15" s="706">
        <f t="shared" si="1"/>
        <v>100</v>
      </c>
      <c r="V15" s="705" t="s">
        <v>18</v>
      </c>
      <c r="W15" s="706">
        <f t="shared" si="2"/>
        <v>100</v>
      </c>
      <c r="X15" s="1355"/>
      <c r="Y15" s="3757"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04"/>
      <c r="M16" s="2698"/>
      <c r="N16" s="2698"/>
      <c r="O16" s="2698"/>
      <c r="P16" s="3756"/>
      <c r="Q16" s="1352"/>
      <c r="R16" s="705"/>
      <c r="S16" s="706"/>
      <c r="T16" s="705"/>
      <c r="U16" s="706"/>
      <c r="V16" s="705"/>
      <c r="W16" s="706"/>
      <c r="X16" s="1355"/>
      <c r="Y16" s="375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4"/>
      <c r="M17" s="2698"/>
      <c r="N17" s="2698"/>
      <c r="O17" s="2698"/>
      <c r="P17" s="3756"/>
      <c r="Q17" s="1352" t="str">
        <f>B17</f>
        <v>交通便捷度</v>
      </c>
      <c r="R17" s="705" t="s">
        <v>18</v>
      </c>
      <c r="S17" s="706">
        <f>F17</f>
        <v>100</v>
      </c>
      <c r="T17" s="705" t="s">
        <v>18</v>
      </c>
      <c r="U17" s="706">
        <f>H17</f>
        <v>100</v>
      </c>
      <c r="V17" s="705" t="s">
        <v>18</v>
      </c>
      <c r="W17" s="706">
        <f>J17</f>
        <v>100</v>
      </c>
      <c r="X17" s="1355"/>
      <c r="Y17" s="375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04"/>
      <c r="M18" s="2698"/>
      <c r="N18" s="2698"/>
      <c r="O18" s="2698"/>
      <c r="P18" s="3756"/>
      <c r="Q18" s="1352"/>
      <c r="R18" s="705"/>
      <c r="S18" s="706"/>
      <c r="T18" s="705"/>
      <c r="U18" s="706"/>
      <c r="V18" s="705"/>
      <c r="W18" s="706"/>
      <c r="X18" s="1355"/>
      <c r="Y18" s="375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4"/>
      <c r="M19" s="2698"/>
      <c r="N19" s="2698"/>
      <c r="O19" s="2698"/>
      <c r="P19" s="3756"/>
      <c r="Q19" s="1352" t="str">
        <f>B19</f>
        <v>公共配套设施</v>
      </c>
      <c r="R19" s="705" t="s">
        <v>18</v>
      </c>
      <c r="S19" s="706">
        <f>F19</f>
        <v>100</v>
      </c>
      <c r="T19" s="705" t="s">
        <v>18</v>
      </c>
      <c r="U19" s="706">
        <f>H19</f>
        <v>100</v>
      </c>
      <c r="V19" s="705" t="s">
        <v>18</v>
      </c>
      <c r="W19" s="706">
        <f>J19</f>
        <v>100</v>
      </c>
      <c r="X19" s="1355"/>
      <c r="Y19" s="375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04"/>
      <c r="M20" s="2698"/>
      <c r="N20" s="2698"/>
      <c r="O20" s="2698"/>
      <c r="P20" s="3756"/>
      <c r="Q20" s="1352"/>
      <c r="R20" s="705"/>
      <c r="S20" s="706"/>
      <c r="T20" s="705"/>
      <c r="U20" s="706"/>
      <c r="V20" s="705"/>
      <c r="W20" s="706"/>
      <c r="X20" s="1355"/>
      <c r="Y20" s="375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4"/>
      <c r="M21" s="2698"/>
      <c r="N21" s="2698"/>
      <c r="O21" s="2698"/>
      <c r="P21" s="3756"/>
      <c r="Q21" s="1352" t="str">
        <f>B21</f>
        <v>基础设施水平</v>
      </c>
      <c r="R21" s="705" t="s">
        <v>14</v>
      </c>
      <c r="S21" s="706">
        <f>F21</f>
        <v>100</v>
      </c>
      <c r="T21" s="705" t="s">
        <v>14</v>
      </c>
      <c r="U21" s="706">
        <f>H21</f>
        <v>100</v>
      </c>
      <c r="V21" s="705" t="s">
        <v>14</v>
      </c>
      <c r="W21" s="706">
        <f>J21</f>
        <v>100</v>
      </c>
      <c r="X21" s="1355"/>
      <c r="Y21" s="37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04"/>
      <c r="M22" s="2698"/>
      <c r="N22" s="2698"/>
      <c r="O22" s="2698"/>
      <c r="P22" s="3756"/>
      <c r="Q22" s="1352"/>
      <c r="R22" s="705"/>
      <c r="S22" s="706"/>
      <c r="T22" s="705"/>
      <c r="U22" s="706"/>
      <c r="V22" s="705"/>
      <c r="W22" s="706"/>
      <c r="X22" s="1355"/>
      <c r="Y22" s="375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4"/>
      <c r="M23" s="2698"/>
      <c r="N23" s="2698"/>
      <c r="O23" s="2698"/>
      <c r="P23" s="3756"/>
      <c r="Q23" s="1352" t="str">
        <f>B23</f>
        <v>自然及人文环境</v>
      </c>
      <c r="R23" s="705" t="s">
        <v>18</v>
      </c>
      <c r="S23" s="706">
        <f>F23</f>
        <v>100</v>
      </c>
      <c r="T23" s="705" t="s">
        <v>18</v>
      </c>
      <c r="U23" s="706">
        <f>H23</f>
        <v>100</v>
      </c>
      <c r="V23" s="705" t="s">
        <v>18</v>
      </c>
      <c r="W23" s="706">
        <f>J23</f>
        <v>100</v>
      </c>
      <c r="X23" s="1355"/>
      <c r="Y23" s="375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04"/>
      <c r="M24" s="2698"/>
      <c r="N24" s="2698"/>
      <c r="O24" s="2698"/>
      <c r="P24" s="3756"/>
      <c r="Q24" s="1352"/>
      <c r="R24" s="705"/>
      <c r="S24" s="706"/>
      <c r="T24" s="705"/>
      <c r="U24" s="706"/>
      <c r="V24" s="705"/>
      <c r="W24" s="706"/>
      <c r="X24" s="1355"/>
      <c r="Y24" s="3758"/>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04"/>
      <c r="M25" s="2698"/>
      <c r="N25" s="2698"/>
      <c r="O25" s="2698"/>
      <c r="P25" s="375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8"/>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04"/>
      <c r="M26" s="2698"/>
      <c r="N26" s="2698"/>
      <c r="O26" s="2698"/>
      <c r="P26" s="3756"/>
      <c r="Q26" s="1352" t="str">
        <f t="shared" si="11"/>
        <v>朝向</v>
      </c>
      <c r="R26" s="705" t="s">
        <v>18</v>
      </c>
      <c r="S26" s="706">
        <f t="shared" si="12"/>
        <v>100</v>
      </c>
      <c r="T26" s="705" t="s">
        <v>18</v>
      </c>
      <c r="U26" s="706">
        <f t="shared" si="13"/>
        <v>100</v>
      </c>
      <c r="V26" s="705" t="s">
        <v>18</v>
      </c>
      <c r="W26" s="706">
        <f t="shared" si="14"/>
        <v>100</v>
      </c>
      <c r="X26" s="1355"/>
      <c r="Y26" s="375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9"/>
      <c r="M27" s="2700"/>
      <c r="N27" s="2700"/>
      <c r="O27" s="2700"/>
      <c r="P27" s="3756"/>
      <c r="Q27" s="1343">
        <f t="shared" si="11"/>
        <v>111</v>
      </c>
      <c r="R27" s="701" t="s">
        <v>18</v>
      </c>
      <c r="S27" s="702">
        <f t="shared" si="12"/>
        <v>100</v>
      </c>
      <c r="T27" s="701" t="s">
        <v>18</v>
      </c>
      <c r="U27" s="702">
        <f t="shared" si="13"/>
        <v>100</v>
      </c>
      <c r="V27" s="701" t="s">
        <v>18</v>
      </c>
      <c r="W27" s="702">
        <f t="shared" si="14"/>
        <v>100</v>
      </c>
      <c r="X27" s="703"/>
      <c r="Y27" s="375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04"/>
      <c r="M28" s="2698"/>
      <c r="N28" s="2698"/>
      <c r="O28" s="2698"/>
      <c r="P28" s="3756"/>
      <c r="Q28" s="1352">
        <f t="shared" si="11"/>
        <v>111</v>
      </c>
      <c r="R28" s="705" t="s">
        <v>18</v>
      </c>
      <c r="S28" s="706">
        <f t="shared" si="12"/>
        <v>100</v>
      </c>
      <c r="T28" s="705" t="s">
        <v>18</v>
      </c>
      <c r="U28" s="706">
        <f t="shared" si="13"/>
        <v>100</v>
      </c>
      <c r="V28" s="705" t="s">
        <v>18</v>
      </c>
      <c r="W28" s="706">
        <f t="shared" si="14"/>
        <v>100</v>
      </c>
      <c r="X28" s="1355"/>
      <c r="Y28" s="375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04"/>
      <c r="M29" s="2698"/>
      <c r="N29" s="2698"/>
      <c r="O29" s="2698"/>
      <c r="P29" s="3756"/>
      <c r="Q29" s="1352">
        <f t="shared" si="11"/>
        <v>111</v>
      </c>
      <c r="R29" s="705" t="s">
        <v>18</v>
      </c>
      <c r="S29" s="706">
        <f t="shared" si="12"/>
        <v>100</v>
      </c>
      <c r="T29" s="705" t="s">
        <v>18</v>
      </c>
      <c r="U29" s="706">
        <f t="shared" si="13"/>
        <v>100</v>
      </c>
      <c r="V29" s="705" t="s">
        <v>18</v>
      </c>
      <c r="W29" s="706">
        <f t="shared" si="14"/>
        <v>100</v>
      </c>
      <c r="X29" s="1355"/>
      <c r="Y29" s="375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04"/>
      <c r="M30" s="2698"/>
      <c r="N30" s="2698"/>
      <c r="O30" s="2698"/>
      <c r="P30" s="3756"/>
      <c r="Q30" s="1352">
        <f t="shared" si="11"/>
        <v>111</v>
      </c>
      <c r="R30" s="705" t="s">
        <v>18</v>
      </c>
      <c r="S30" s="706">
        <f t="shared" si="12"/>
        <v>100</v>
      </c>
      <c r="T30" s="705" t="s">
        <v>18</v>
      </c>
      <c r="U30" s="706">
        <f t="shared" si="13"/>
        <v>100</v>
      </c>
      <c r="V30" s="705" t="s">
        <v>18</v>
      </c>
      <c r="W30" s="706">
        <f t="shared" si="14"/>
        <v>100</v>
      </c>
      <c r="X30" s="1355"/>
      <c r="Y30" s="375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04"/>
      <c r="M31" s="2698"/>
      <c r="N31" s="2698"/>
      <c r="O31" s="2698"/>
      <c r="P31" s="3756"/>
      <c r="Q31" s="1352">
        <f t="shared" si="11"/>
        <v>111</v>
      </c>
      <c r="R31" s="705" t="s">
        <v>18</v>
      </c>
      <c r="S31" s="706">
        <f t="shared" si="12"/>
        <v>100</v>
      </c>
      <c r="T31" s="705" t="s">
        <v>18</v>
      </c>
      <c r="U31" s="706">
        <f t="shared" si="13"/>
        <v>100</v>
      </c>
      <c r="V31" s="705" t="s">
        <v>18</v>
      </c>
      <c r="W31" s="706">
        <f t="shared" si="14"/>
        <v>100</v>
      </c>
      <c r="X31" s="1355"/>
      <c r="Y31" s="3758"/>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04"/>
      <c r="M32" s="2698"/>
      <c r="N32" s="2698"/>
      <c r="O32" s="2698"/>
      <c r="P32" s="3759" t="s">
        <v>1695</v>
      </c>
      <c r="Q32" s="1352" t="str">
        <f t="shared" si="11"/>
        <v>建筑类型</v>
      </c>
      <c r="R32" s="705" t="s">
        <v>18</v>
      </c>
      <c r="S32" s="706">
        <f t="shared" si="12"/>
        <v>100</v>
      </c>
      <c r="T32" s="705" t="s">
        <v>18</v>
      </c>
      <c r="U32" s="706">
        <f t="shared" si="13"/>
        <v>100</v>
      </c>
      <c r="V32" s="705" t="s">
        <v>18</v>
      </c>
      <c r="W32" s="706">
        <f t="shared" si="14"/>
        <v>100</v>
      </c>
      <c r="X32" s="1355"/>
      <c r="Y32" s="3762"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03"/>
      <c r="M33" s="2705"/>
      <c r="N33" s="2705"/>
      <c r="O33" s="2705"/>
      <c r="P33" s="3760"/>
      <c r="Q33" s="707" t="str">
        <f t="shared" si="11"/>
        <v>项目建筑规模</v>
      </c>
      <c r="R33" s="708" t="s">
        <v>18</v>
      </c>
      <c r="S33" s="709" t="e">
        <f t="shared" si="12"/>
        <v>#N/A</v>
      </c>
      <c r="T33" s="708" t="s">
        <v>18</v>
      </c>
      <c r="U33" s="709" t="e">
        <f t="shared" si="13"/>
        <v>#N/A</v>
      </c>
      <c r="V33" s="708" t="s">
        <v>18</v>
      </c>
      <c r="W33" s="709" t="e">
        <f t="shared" si="14"/>
        <v>#N/A</v>
      </c>
      <c r="X33" s="710"/>
      <c r="Y33" s="3762"/>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04"/>
      <c r="M34" s="2698"/>
      <c r="N34" s="2698"/>
      <c r="O34" s="2698"/>
      <c r="P34" s="3760"/>
      <c r="Q34" s="1352" t="str">
        <f t="shared" si="11"/>
        <v>建筑结构</v>
      </c>
      <c r="R34" s="705" t="s">
        <v>18</v>
      </c>
      <c r="S34" s="706">
        <f t="shared" si="12"/>
        <v>100</v>
      </c>
      <c r="T34" s="705" t="s">
        <v>18</v>
      </c>
      <c r="U34" s="706">
        <f t="shared" si="13"/>
        <v>100</v>
      </c>
      <c r="V34" s="705" t="s">
        <v>18</v>
      </c>
      <c r="W34" s="706">
        <f t="shared" si="14"/>
        <v>100</v>
      </c>
      <c r="X34" s="1355"/>
      <c r="Y34" s="3762"/>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04"/>
      <c r="M35" s="2698"/>
      <c r="N35" s="2698"/>
      <c r="O35" s="2698"/>
      <c r="P35" s="3760"/>
      <c r="Q35" s="1352" t="str">
        <f t="shared" si="11"/>
        <v>建筑品质</v>
      </c>
      <c r="R35" s="705" t="s">
        <v>18</v>
      </c>
      <c r="S35" s="706">
        <f t="shared" si="12"/>
        <v>100</v>
      </c>
      <c r="T35" s="705" t="s">
        <v>18</v>
      </c>
      <c r="U35" s="706">
        <f t="shared" si="13"/>
        <v>100</v>
      </c>
      <c r="V35" s="705" t="s">
        <v>18</v>
      </c>
      <c r="W35" s="706">
        <f t="shared" si="14"/>
        <v>100</v>
      </c>
      <c r="X35" s="1355"/>
      <c r="Y35" s="3762"/>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04"/>
      <c r="M36" s="2698"/>
      <c r="N36" s="2698"/>
      <c r="O36" s="2698"/>
      <c r="P36" s="3760"/>
      <c r="Q36" s="1352" t="str">
        <f t="shared" si="11"/>
        <v>公共部分装修</v>
      </c>
      <c r="R36" s="705" t="s">
        <v>18</v>
      </c>
      <c r="S36" s="706">
        <f t="shared" si="12"/>
        <v>100</v>
      </c>
      <c r="T36" s="705" t="s">
        <v>18</v>
      </c>
      <c r="U36" s="706">
        <f t="shared" si="13"/>
        <v>100</v>
      </c>
      <c r="V36" s="705" t="s">
        <v>18</v>
      </c>
      <c r="W36" s="706">
        <f t="shared" si="14"/>
        <v>100</v>
      </c>
      <c r="X36" s="1355"/>
      <c r="Y36" s="3762"/>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9"/>
      <c r="M37" s="2700"/>
      <c r="N37" s="2700"/>
      <c r="O37" s="2700"/>
      <c r="P37" s="3760"/>
      <c r="Q37" s="1343" t="str">
        <f t="shared" si="11"/>
        <v>成新度</v>
      </c>
      <c r="R37" s="701" t="s">
        <v>18</v>
      </c>
      <c r="S37" s="702" t="e">
        <f t="shared" si="12"/>
        <v>#N/A</v>
      </c>
      <c r="T37" s="701" t="s">
        <v>18</v>
      </c>
      <c r="U37" s="702" t="e">
        <f t="shared" si="13"/>
        <v>#N/A</v>
      </c>
      <c r="V37" s="701" t="s">
        <v>18</v>
      </c>
      <c r="W37" s="702" t="e">
        <f t="shared" si="14"/>
        <v>#N/A</v>
      </c>
      <c r="X37" s="703"/>
      <c r="Y37" s="3762"/>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04"/>
      <c r="M38" s="2698"/>
      <c r="N38" s="2698"/>
      <c r="O38" s="2698"/>
      <c r="P38" s="3760" t="s">
        <v>1695</v>
      </c>
      <c r="Q38" s="1352" t="str">
        <f t="shared" si="11"/>
        <v>物业管理</v>
      </c>
      <c r="R38" s="705" t="s">
        <v>18</v>
      </c>
      <c r="S38" s="706">
        <f t="shared" si="12"/>
        <v>100</v>
      </c>
      <c r="T38" s="705" t="s">
        <v>18</v>
      </c>
      <c r="U38" s="706">
        <f t="shared" si="13"/>
        <v>100</v>
      </c>
      <c r="V38" s="705" t="s">
        <v>18</v>
      </c>
      <c r="W38" s="706">
        <f t="shared" si="14"/>
        <v>100</v>
      </c>
      <c r="X38" s="1355"/>
      <c r="Y38" s="3762"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04"/>
      <c r="M39" s="2698"/>
      <c r="N39" s="2698"/>
      <c r="O39" s="2698"/>
      <c r="P39" s="3760"/>
      <c r="Q39" s="1352" t="str">
        <f t="shared" si="11"/>
        <v>市政基础设施</v>
      </c>
      <c r="R39" s="705" t="s">
        <v>18</v>
      </c>
      <c r="S39" s="706">
        <f t="shared" si="12"/>
        <v>100</v>
      </c>
      <c r="T39" s="705" t="s">
        <v>18</v>
      </c>
      <c r="U39" s="706">
        <f t="shared" si="13"/>
        <v>100</v>
      </c>
      <c r="V39" s="705" t="s">
        <v>18</v>
      </c>
      <c r="W39" s="706">
        <f t="shared" si="14"/>
        <v>100</v>
      </c>
      <c r="X39" s="1355"/>
      <c r="Y39" s="3762"/>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04"/>
      <c r="M40" s="2698"/>
      <c r="N40" s="2698"/>
      <c r="O40" s="2698"/>
      <c r="P40" s="3760"/>
      <c r="Q40" s="1352" t="str">
        <f t="shared" si="11"/>
        <v>房型</v>
      </c>
      <c r="R40" s="705" t="s">
        <v>18</v>
      </c>
      <c r="S40" s="706">
        <f t="shared" si="12"/>
        <v>100</v>
      </c>
      <c r="T40" s="705" t="s">
        <v>18</v>
      </c>
      <c r="U40" s="706">
        <f t="shared" si="13"/>
        <v>100</v>
      </c>
      <c r="V40" s="705" t="s">
        <v>18</v>
      </c>
      <c r="W40" s="706">
        <f t="shared" si="14"/>
        <v>100</v>
      </c>
      <c r="X40" s="1355"/>
      <c r="Y40" s="3762"/>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03"/>
      <c r="M41" s="2705"/>
      <c r="N41" s="2705"/>
      <c r="O41" s="2705"/>
      <c r="P41" s="3760"/>
      <c r="Q41" s="707" t="str">
        <f t="shared" si="11"/>
        <v>单套/主力户型建筑面积</v>
      </c>
      <c r="R41" s="708" t="s">
        <v>18</v>
      </c>
      <c r="S41" s="709">
        <f t="shared" si="12"/>
        <v>100</v>
      </c>
      <c r="T41" s="708" t="s">
        <v>18</v>
      </c>
      <c r="U41" s="709">
        <f t="shared" si="13"/>
        <v>100</v>
      </c>
      <c r="V41" s="708" t="s">
        <v>18</v>
      </c>
      <c r="W41" s="709">
        <f t="shared" si="14"/>
        <v>100</v>
      </c>
      <c r="X41" s="710"/>
      <c r="Y41" s="3762"/>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04"/>
      <c r="M42" s="2698"/>
      <c r="N42" s="2698"/>
      <c r="O42" s="2698"/>
      <c r="P42" s="3760"/>
      <c r="Q42" s="1352" t="str">
        <f t="shared" si="11"/>
        <v>内部装修</v>
      </c>
      <c r="R42" s="705" t="s">
        <v>18</v>
      </c>
      <c r="S42" s="706">
        <f t="shared" si="12"/>
        <v>100</v>
      </c>
      <c r="T42" s="705" t="s">
        <v>18</v>
      </c>
      <c r="U42" s="706">
        <f t="shared" si="13"/>
        <v>100</v>
      </c>
      <c r="V42" s="705" t="s">
        <v>18</v>
      </c>
      <c r="W42" s="706">
        <f t="shared" si="14"/>
        <v>100</v>
      </c>
      <c r="X42" s="1355"/>
      <c r="Y42" s="3762"/>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04"/>
      <c r="M43" s="2698"/>
      <c r="N43" s="2698"/>
      <c r="O43" s="2698"/>
      <c r="P43" s="3760"/>
      <c r="Q43" s="1352" t="str">
        <f t="shared" si="11"/>
        <v>内部装修维护情况</v>
      </c>
      <c r="R43" s="705" t="s">
        <v>18</v>
      </c>
      <c r="S43" s="706">
        <f t="shared" si="12"/>
        <v>100</v>
      </c>
      <c r="T43" s="705" t="s">
        <v>18</v>
      </c>
      <c r="U43" s="706">
        <f t="shared" si="13"/>
        <v>100</v>
      </c>
      <c r="V43" s="705" t="s">
        <v>18</v>
      </c>
      <c r="W43" s="706">
        <f t="shared" si="14"/>
        <v>100</v>
      </c>
      <c r="X43" s="1355"/>
      <c r="Y43" s="376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9"/>
      <c r="M44" s="2700"/>
      <c r="N44" s="2700"/>
      <c r="O44" s="2700"/>
      <c r="P44" s="3760"/>
      <c r="Q44" s="1343">
        <f t="shared" si="11"/>
        <v>111</v>
      </c>
      <c r="R44" s="701" t="s">
        <v>18</v>
      </c>
      <c r="S44" s="702">
        <f t="shared" si="12"/>
        <v>100</v>
      </c>
      <c r="T44" s="701" t="s">
        <v>18</v>
      </c>
      <c r="U44" s="702">
        <f t="shared" si="13"/>
        <v>100</v>
      </c>
      <c r="V44" s="701" t="s">
        <v>18</v>
      </c>
      <c r="W44" s="702">
        <f t="shared" si="14"/>
        <v>100</v>
      </c>
      <c r="X44" s="703"/>
      <c r="Y44" s="376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04"/>
      <c r="M45" s="2698"/>
      <c r="N45" s="2698"/>
      <c r="O45" s="2698"/>
      <c r="P45" s="3760"/>
      <c r="Q45" s="1352">
        <f t="shared" si="11"/>
        <v>111</v>
      </c>
      <c r="R45" s="705" t="s">
        <v>18</v>
      </c>
      <c r="S45" s="706">
        <f t="shared" si="12"/>
        <v>100</v>
      </c>
      <c r="T45" s="705" t="s">
        <v>18</v>
      </c>
      <c r="U45" s="706">
        <f t="shared" si="13"/>
        <v>100</v>
      </c>
      <c r="V45" s="705" t="s">
        <v>18</v>
      </c>
      <c r="W45" s="706">
        <f t="shared" si="14"/>
        <v>100</v>
      </c>
      <c r="X45" s="1355"/>
      <c r="Y45" s="376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04"/>
      <c r="M46" s="2698"/>
      <c r="N46" s="2698"/>
      <c r="O46" s="2698"/>
      <c r="P46" s="3761"/>
      <c r="Q46" s="1352">
        <f t="shared" si="11"/>
        <v>111</v>
      </c>
      <c r="R46" s="705" t="s">
        <v>17</v>
      </c>
      <c r="S46" s="706">
        <f t="shared" si="12"/>
        <v>100</v>
      </c>
      <c r="T46" s="705" t="s">
        <v>17</v>
      </c>
      <c r="U46" s="706">
        <f t="shared" si="13"/>
        <v>100</v>
      </c>
      <c r="V46" s="705" t="s">
        <v>17</v>
      </c>
      <c r="W46" s="706">
        <f t="shared" si="14"/>
        <v>100</v>
      </c>
      <c r="X46" s="1355"/>
      <c r="Y46" s="3763"/>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06"/>
      <c r="M47" s="2707"/>
      <c r="N47" s="2698"/>
      <c r="O47" s="2707"/>
      <c r="P47" s="3764" t="str">
        <f>A47</f>
        <v>成交单价（元/平方米）</v>
      </c>
      <c r="Q47" s="3764"/>
      <c r="R47" s="3765">
        <f>E47</f>
        <v>0</v>
      </c>
      <c r="S47" s="3765"/>
      <c r="T47" s="3765">
        <f>G47</f>
        <v>0</v>
      </c>
      <c r="U47" s="3765"/>
      <c r="V47" s="3765">
        <f>I47</f>
        <v>0</v>
      </c>
      <c r="W47" s="3765"/>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06"/>
      <c r="M48" s="2707"/>
      <c r="N48" s="2707"/>
      <c r="O48" s="2707"/>
      <c r="P48" s="3764" t="str">
        <f>A48</f>
        <v>比较价值（元/平方米）</v>
      </c>
      <c r="Q48" s="3764"/>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06"/>
      <c r="M49" s="2707"/>
      <c r="N49" s="2707"/>
      <c r="O49" s="2707"/>
      <c r="P49" s="3766" t="str">
        <f>A49</f>
        <v>估价对象XX用房的比较价值（楼面单价，元/平方米）</v>
      </c>
      <c r="Q49" s="3767"/>
      <c r="R49" s="3768" t="e">
        <f>IF(F1="售价",ROUND(IF(D48="简单平均",AVERAGE(R48:V48),R48*F48+T48*H48+V48*J48),0),ROUND(IF(D48="简单平均",AVERAGE(R48:V48),R48*F48+T48*H48+V48*J48),1))</f>
        <v>#DIV/0!</v>
      </c>
      <c r="S49" s="3768"/>
      <c r="T49" s="3768"/>
      <c r="U49" s="3768"/>
      <c r="V49" s="3768"/>
      <c r="W49" s="3768"/>
      <c r="X49" s="690"/>
      <c r="Y49" s="690"/>
      <c r="Z49" s="690"/>
      <c r="AA49" s="690"/>
      <c r="AB49" s="690"/>
      <c r="AC49" s="690"/>
    </row>
    <row r="50" spans="1:29">
      <c r="A50" s="2707"/>
      <c r="B50" s="2707"/>
      <c r="C50" s="2707"/>
      <c r="D50" s="2707"/>
      <c r="E50" s="2707"/>
      <c r="F50" s="2707"/>
      <c r="G50" s="2711"/>
      <c r="H50" s="2707"/>
      <c r="I50" s="2707"/>
      <c r="J50" s="2707"/>
      <c r="K50" s="2712"/>
      <c r="L50" s="2708"/>
      <c r="M50" s="2707"/>
      <c r="N50" s="2707"/>
      <c r="O50" s="2707"/>
    </row>
    <row r="51" spans="1:29">
      <c r="A51" s="2707"/>
      <c r="B51" s="2707"/>
      <c r="C51" s="2707"/>
      <c r="D51" s="2707"/>
      <c r="E51" s="2707"/>
      <c r="F51" s="2707"/>
      <c r="G51" s="2707"/>
      <c r="H51" s="2707"/>
      <c r="I51" s="2707"/>
      <c r="J51" s="2707"/>
      <c r="K51" s="2712"/>
      <c r="L51" s="2708"/>
      <c r="M51" s="2707"/>
      <c r="N51" s="2707"/>
      <c r="O51" s="2707"/>
    </row>
    <row r="52" spans="1:29" ht="13.5" customHeight="1">
      <c r="A52" s="2707"/>
      <c r="B52" s="2707"/>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2"/>
      <c r="L52" s="2708"/>
      <c r="M52" s="2707"/>
      <c r="N52" s="2707"/>
      <c r="O52" s="2707"/>
    </row>
    <row r="53" spans="1:29" ht="13.5" customHeight="1">
      <c r="A53" s="2707"/>
      <c r="B53" s="2707"/>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2"/>
      <c r="L53" s="2708"/>
      <c r="M53" s="2707"/>
      <c r="N53" s="2707"/>
      <c r="O53" s="2707"/>
    </row>
    <row r="54" spans="1:29" s="451" customFormat="1" ht="13.5" customHeight="1">
      <c r="A54" s="2710"/>
      <c r="B54" s="2710"/>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5"/>
      <c r="L54" s="2709"/>
      <c r="M54" s="2710"/>
      <c r="N54" s="2710"/>
      <c r="O54" s="2710"/>
      <c r="P54" s="1917"/>
    </row>
    <row r="55" spans="1:29" s="451" customFormat="1">
      <c r="A55" s="2710"/>
      <c r="B55" s="2713"/>
      <c r="C55" s="2714"/>
      <c r="D55" s="2710"/>
      <c r="E55" s="2710"/>
      <c r="F55" s="2710"/>
      <c r="G55" s="2710"/>
      <c r="H55" s="2710"/>
      <c r="I55" s="2710"/>
      <c r="J55" s="2710"/>
      <c r="K55" s="2715"/>
      <c r="L55" s="2709"/>
      <c r="M55" s="2710"/>
      <c r="N55" s="2710"/>
      <c r="O55" s="2710"/>
      <c r="P55" s="1917"/>
    </row>
    <row r="56" spans="1:29">
      <c r="A56" s="2707"/>
      <c r="B56" s="2713"/>
      <c r="C56" s="2714"/>
      <c r="D56" s="2707"/>
      <c r="E56" s="2707"/>
      <c r="F56" s="2707"/>
      <c r="G56" s="2707"/>
      <c r="H56" s="2707"/>
      <c r="I56" s="2707"/>
      <c r="J56" s="2707"/>
      <c r="K56" s="2712"/>
      <c r="L56" s="2708"/>
      <c r="M56" s="2707"/>
      <c r="N56" s="2707"/>
      <c r="O56" s="2707"/>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507" priority="19" stopIfTrue="1" operator="containsText" text="超过">
      <formula>NOT(ISERROR(SEARCH("超过",F52)))</formula>
    </cfRule>
  </conditionalFormatting>
  <conditionalFormatting sqref="J54">
    <cfRule type="containsText" dxfId="506" priority="18" stopIfTrue="1" operator="containsText" text="超过">
      <formula>NOT(ISERROR(SEARCH("超过",J54)))</formula>
    </cfRule>
  </conditionalFormatting>
  <conditionalFormatting sqref="H54">
    <cfRule type="containsText" dxfId="505" priority="17" stopIfTrue="1" operator="containsText" text="超过">
      <formula>NOT(ISERROR(SEARCH("超过",H54)))</formula>
    </cfRule>
  </conditionalFormatting>
  <conditionalFormatting sqref="F54">
    <cfRule type="containsText" dxfId="504" priority="16" stopIfTrue="1" operator="containsText" text="超过">
      <formula>NOT(ISERROR(SEARCH("超过",F54)))</formula>
    </cfRule>
  </conditionalFormatting>
  <conditionalFormatting sqref="F53 H53 J53">
    <cfRule type="containsText" dxfId="503" priority="15" stopIfTrue="1" operator="containsText" text="超过">
      <formula>NOT(ISERROR(SEARCH("超过",F53)))</formula>
    </cfRule>
  </conditionalFormatting>
  <conditionalFormatting sqref="E52">
    <cfRule type="expression" dxfId="502" priority="14" stopIfTrue="1">
      <formula>$F$52="超过30%"</formula>
    </cfRule>
  </conditionalFormatting>
  <conditionalFormatting sqref="G54">
    <cfRule type="expression" dxfId="501" priority="12" stopIfTrue="1">
      <formula>$H$54="超过30%"</formula>
    </cfRule>
  </conditionalFormatting>
  <conditionalFormatting sqref="E53">
    <cfRule type="expression" dxfId="500" priority="11" stopIfTrue="1">
      <formula>$F$53="超过20%"</formula>
    </cfRule>
  </conditionalFormatting>
  <conditionalFormatting sqref="E54">
    <cfRule type="expression" dxfId="499" priority="10" stopIfTrue="1">
      <formula>$F$54="超过30%"</formula>
    </cfRule>
  </conditionalFormatting>
  <conditionalFormatting sqref="G52">
    <cfRule type="expression" dxfId="498" priority="9" stopIfTrue="1">
      <formula>$H$52="超过30%"</formula>
    </cfRule>
  </conditionalFormatting>
  <conditionalFormatting sqref="G53">
    <cfRule type="expression" dxfId="497" priority="8" stopIfTrue="1">
      <formula>$H$53="超过20%"</formula>
    </cfRule>
  </conditionalFormatting>
  <conditionalFormatting sqref="I52">
    <cfRule type="expression" dxfId="496" priority="7" stopIfTrue="1">
      <formula>$J$52="超过30%"</formula>
    </cfRule>
  </conditionalFormatting>
  <conditionalFormatting sqref="I53">
    <cfRule type="expression" dxfId="495" priority="6" stopIfTrue="1">
      <formula>$J$53="超过20%"</formula>
    </cfRule>
  </conditionalFormatting>
  <conditionalFormatting sqref="I54">
    <cfRule type="expression" dxfId="494" priority="5" stopIfTrue="1">
      <formula>$J$54="超过30%"</formula>
    </cfRule>
  </conditionalFormatting>
  <conditionalFormatting sqref="F48">
    <cfRule type="expression" dxfId="493" priority="4">
      <formula>$D$48="简单平均"</formula>
    </cfRule>
  </conditionalFormatting>
  <conditionalFormatting sqref="H48">
    <cfRule type="expression" dxfId="492" priority="3">
      <formula>$D$48="简单平均"</formula>
    </cfRule>
  </conditionalFormatting>
  <conditionalFormatting sqref="J48">
    <cfRule type="expression" dxfId="491" priority="2">
      <formula>$D$48="简单平均"</formula>
    </cfRule>
  </conditionalFormatting>
  <conditionalFormatting sqref="F7:F46 H7:H46 J7:J46">
    <cfRule type="cellIs" dxfId="49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15"/>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16"/>
      <c r="M2" s="2717"/>
      <c r="N2" s="2717"/>
      <c r="O2" s="2717"/>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27298.22</v>
      </c>
      <c r="E3" s="1954"/>
      <c r="F3" s="909"/>
      <c r="G3" s="908"/>
      <c r="H3" s="908"/>
      <c r="I3" s="908"/>
      <c r="J3" s="908"/>
      <c r="K3" s="910"/>
      <c r="L3" s="2716"/>
      <c r="M3" s="2717"/>
      <c r="N3" s="2717"/>
      <c r="O3" s="2717"/>
      <c r="P3" s="699"/>
      <c r="Q3" s="699"/>
      <c r="R3" s="699"/>
      <c r="S3" s="699"/>
      <c r="T3" s="699"/>
      <c r="U3" s="699"/>
      <c r="V3" s="699"/>
      <c r="W3" s="699"/>
      <c r="X3" s="699"/>
      <c r="Y3" s="699"/>
      <c r="Z3" s="699"/>
      <c r="AA3" s="699"/>
      <c r="AB3" s="699"/>
      <c r="AC3" s="700"/>
    </row>
    <row r="4" spans="1:29" ht="15">
      <c r="A4" s="355" t="s">
        <v>1768</v>
      </c>
      <c r="B4" s="356"/>
      <c r="C4" s="3742" t="s">
        <v>1769</v>
      </c>
      <c r="D4" s="3743"/>
      <c r="E4" s="3744" t="s">
        <v>1770</v>
      </c>
      <c r="F4" s="3745"/>
      <c r="G4" s="3742" t="s">
        <v>1771</v>
      </c>
      <c r="H4" s="3743"/>
      <c r="I4" s="3742" t="s">
        <v>1772</v>
      </c>
      <c r="J4" s="3743"/>
      <c r="K4" s="559" t="s">
        <v>1773</v>
      </c>
      <c r="L4" s="2697"/>
      <c r="M4" s="2698"/>
      <c r="N4" s="2698"/>
      <c r="O4" s="2698"/>
      <c r="P4" s="3801" t="s">
        <v>1774</v>
      </c>
      <c r="Q4" s="3802"/>
      <c r="R4" s="3796" t="s">
        <v>1770</v>
      </c>
      <c r="S4" s="3797"/>
      <c r="T4" s="3796" t="s">
        <v>1771</v>
      </c>
      <c r="U4" s="3797"/>
      <c r="V4" s="3805" t="s">
        <v>1772</v>
      </c>
      <c r="W4" s="3805"/>
      <c r="X4" s="1958"/>
      <c r="Y4" s="3796" t="s">
        <v>1774</v>
      </c>
      <c r="Z4" s="3797"/>
      <c r="AA4" s="3795" t="s">
        <v>1770</v>
      </c>
      <c r="AB4" s="3795" t="s">
        <v>1771</v>
      </c>
      <c r="AC4" s="3798" t="s">
        <v>1772</v>
      </c>
    </row>
    <row r="5" spans="1:29" ht="15">
      <c r="A5" s="358"/>
      <c r="B5" s="359"/>
      <c r="C5" s="3735" t="s">
        <v>1672</v>
      </c>
      <c r="D5" s="3736"/>
      <c r="E5" s="3733" t="s">
        <v>1673</v>
      </c>
      <c r="F5" s="3734"/>
      <c r="G5" s="3735" t="s">
        <v>1674</v>
      </c>
      <c r="H5" s="3736"/>
      <c r="I5" s="3735" t="s">
        <v>1675</v>
      </c>
      <c r="J5" s="3736"/>
      <c r="K5" s="559"/>
      <c r="L5" s="2697"/>
      <c r="M5" s="2698"/>
      <c r="N5" s="2698"/>
      <c r="O5" s="2698"/>
      <c r="P5" s="3803"/>
      <c r="Q5" s="3749"/>
      <c r="R5" s="3731"/>
      <c r="S5" s="3732"/>
      <c r="T5" s="3731"/>
      <c r="U5" s="3732"/>
      <c r="V5" s="3726"/>
      <c r="W5" s="3726"/>
      <c r="X5" s="1355"/>
      <c r="Y5" s="3731"/>
      <c r="Z5" s="3732"/>
      <c r="AA5" s="3724"/>
      <c r="AB5" s="3724"/>
      <c r="AC5" s="3799"/>
    </row>
    <row r="6" spans="1:29" ht="15.75" thickBot="1">
      <c r="A6" s="360"/>
      <c r="B6" s="361"/>
      <c r="C6" s="3737" t="s">
        <v>1676</v>
      </c>
      <c r="D6" s="3738"/>
      <c r="E6" s="3739" t="s">
        <v>1676</v>
      </c>
      <c r="F6" s="3740"/>
      <c r="G6" s="3737" t="s">
        <v>1676</v>
      </c>
      <c r="H6" s="3738"/>
      <c r="I6" s="3737" t="s">
        <v>1676</v>
      </c>
      <c r="J6" s="3738"/>
      <c r="K6" s="559" t="s">
        <v>1677</v>
      </c>
      <c r="L6" s="2697"/>
      <c r="M6" s="2698"/>
      <c r="N6" s="2698"/>
      <c r="O6" s="2698"/>
      <c r="P6" s="3804"/>
      <c r="Q6" s="3751"/>
      <c r="R6" s="3731"/>
      <c r="S6" s="3732"/>
      <c r="T6" s="3752"/>
      <c r="U6" s="3753"/>
      <c r="V6" s="3726"/>
      <c r="W6" s="3726"/>
      <c r="X6" s="1355"/>
      <c r="Y6" s="3752"/>
      <c r="Z6" s="3753"/>
      <c r="AA6" s="3725"/>
      <c r="AB6" s="3725"/>
      <c r="AC6" s="3800"/>
    </row>
    <row r="7" spans="1:29" s="108" customFormat="1" ht="15.75" thickBot="1">
      <c r="A7" s="362" t="s">
        <v>1678</v>
      </c>
      <c r="B7" s="363"/>
      <c r="C7" s="364">
        <f>'数据-取费表'!B2</f>
        <v>45009</v>
      </c>
      <c r="D7" s="365">
        <v>100</v>
      </c>
      <c r="E7" s="366"/>
      <c r="F7" s="367">
        <f>SUMIF(59:59,YEAR(E7)&amp;"-"&amp;MONTH(E7),60:60)</f>
        <v>0</v>
      </c>
      <c r="G7" s="366"/>
      <c r="H7" s="365">
        <f>SUMIF(59:59,YEAR(G7)&amp;"-"&amp;MONTH(G7),60:60)</f>
        <v>0</v>
      </c>
      <c r="I7" s="366"/>
      <c r="J7" s="365">
        <f>SUMIF(59:59,YEAR(I7)&amp;"-"&amp;MONTH(I7),60:60)</f>
        <v>0</v>
      </c>
      <c r="K7" s="560"/>
      <c r="L7" s="2699"/>
      <c r="M7" s="2700"/>
      <c r="N7" s="2700"/>
      <c r="O7" s="2700"/>
      <c r="P7" s="3806" t="s">
        <v>1679</v>
      </c>
      <c r="Q7" s="3754"/>
      <c r="R7" s="701" t="s">
        <v>14</v>
      </c>
      <c r="S7" s="702">
        <f t="shared" ref="S7:S15" si="0">F7</f>
        <v>0</v>
      </c>
      <c r="T7" s="701" t="s">
        <v>14</v>
      </c>
      <c r="U7" s="702">
        <f t="shared" ref="U7:U15" si="1">H7</f>
        <v>0</v>
      </c>
      <c r="V7" s="701" t="s">
        <v>14</v>
      </c>
      <c r="W7" s="702">
        <f t="shared" ref="W7:W15" si="2">J7</f>
        <v>0</v>
      </c>
      <c r="X7" s="703"/>
      <c r="Y7" s="3727" t="s">
        <v>1679</v>
      </c>
      <c r="Z7" s="3728"/>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699"/>
      <c r="M8" s="2700"/>
      <c r="N8" s="2700"/>
      <c r="O8" s="2700"/>
      <c r="P8" s="3806" t="s">
        <v>1682</v>
      </c>
      <c r="Q8" s="3728"/>
      <c r="R8" s="701" t="s">
        <v>14</v>
      </c>
      <c r="S8" s="702">
        <f t="shared" si="0"/>
        <v>100</v>
      </c>
      <c r="T8" s="701" t="s">
        <v>14</v>
      </c>
      <c r="U8" s="702">
        <f t="shared" si="1"/>
        <v>100</v>
      </c>
      <c r="V8" s="701" t="s">
        <v>14</v>
      </c>
      <c r="W8" s="702">
        <f t="shared" si="2"/>
        <v>100</v>
      </c>
      <c r="X8" s="703"/>
      <c r="Y8" s="3727" t="s">
        <v>1682</v>
      </c>
      <c r="Z8" s="3728"/>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699"/>
      <c r="M9" s="2700"/>
      <c r="N9" s="2700"/>
      <c r="O9" s="2700"/>
      <c r="P9" s="3741" t="s">
        <v>1685</v>
      </c>
      <c r="Q9" s="1343" t="str">
        <f t="shared" ref="Q9:Q15" si="6">B9</f>
        <v>用途</v>
      </c>
      <c r="R9" s="701" t="s">
        <v>14</v>
      </c>
      <c r="S9" s="702">
        <f t="shared" si="0"/>
        <v>100</v>
      </c>
      <c r="T9" s="701" t="s">
        <v>14</v>
      </c>
      <c r="U9" s="702">
        <f t="shared" si="1"/>
        <v>100</v>
      </c>
      <c r="V9" s="701" t="s">
        <v>14</v>
      </c>
      <c r="W9" s="702">
        <f t="shared" si="2"/>
        <v>100</v>
      </c>
      <c r="X9" s="703"/>
      <c r="Y9" s="3696" t="s">
        <v>1686</v>
      </c>
      <c r="Z9" s="52" t="str">
        <f t="shared" ref="Z9:Z15" si="7">Q9</f>
        <v>用途</v>
      </c>
      <c r="AA9" s="704">
        <f t="shared" si="3"/>
        <v>1</v>
      </c>
      <c r="AB9" s="704">
        <f t="shared" si="4"/>
        <v>1</v>
      </c>
      <c r="AC9" s="1959">
        <f t="shared" si="5"/>
        <v>1</v>
      </c>
    </row>
    <row r="10" spans="1:29" s="378" customFormat="1" ht="27">
      <c r="A10" s="374"/>
      <c r="B10" s="375" t="s">
        <v>1687</v>
      </c>
      <c r="C10" s="3416"/>
      <c r="D10" s="127">
        <v>100</v>
      </c>
      <c r="E10" s="3416"/>
      <c r="F10" s="127">
        <f>SUMIF(66:66,E10,67:67)-SUMIF(66:66,C10,67:67)+100</f>
        <v>100</v>
      </c>
      <c r="G10" s="3417"/>
      <c r="H10" s="127">
        <f>SUMIF(66:66,G10,67:67)-SUMIF(66:66,C10,67:67)+100</f>
        <v>100</v>
      </c>
      <c r="I10" s="3416"/>
      <c r="J10" s="127">
        <f>SUMIF(66:66,I10,67:67)-SUMIF(66:66,C10,67:67)+100</f>
        <v>100</v>
      </c>
      <c r="K10" s="560"/>
      <c r="L10" s="2701"/>
      <c r="M10" s="2702"/>
      <c r="N10" s="2702"/>
      <c r="O10" s="2702"/>
      <c r="P10" s="3741"/>
      <c r="Q10" s="1343" t="str">
        <f t="shared" si="6"/>
        <v>土地使用年限（年）</v>
      </c>
      <c r="R10" s="701" t="s">
        <v>14</v>
      </c>
      <c r="S10" s="702">
        <f t="shared" si="0"/>
        <v>100</v>
      </c>
      <c r="T10" s="701" t="s">
        <v>14</v>
      </c>
      <c r="U10" s="702">
        <f t="shared" si="1"/>
        <v>100</v>
      </c>
      <c r="V10" s="701" t="s">
        <v>14</v>
      </c>
      <c r="W10" s="702">
        <f t="shared" si="2"/>
        <v>100</v>
      </c>
      <c r="X10" s="703"/>
      <c r="Y10" s="3696"/>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03"/>
      <c r="M11" s="2698"/>
      <c r="N11" s="2698"/>
      <c r="O11" s="2698"/>
      <c r="P11" s="3741"/>
      <c r="Q11" s="1343" t="str">
        <f t="shared" si="6"/>
        <v>容积率</v>
      </c>
      <c r="R11" s="701" t="s">
        <v>14</v>
      </c>
      <c r="S11" s="702">
        <f t="shared" si="0"/>
        <v>100</v>
      </c>
      <c r="T11" s="701" t="s">
        <v>14</v>
      </c>
      <c r="U11" s="702">
        <f t="shared" si="1"/>
        <v>100</v>
      </c>
      <c r="V11" s="701" t="s">
        <v>14</v>
      </c>
      <c r="W11" s="702">
        <f t="shared" si="2"/>
        <v>100</v>
      </c>
      <c r="X11" s="703"/>
      <c r="Y11" s="369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9"/>
      <c r="M12" s="2700"/>
      <c r="N12" s="2700"/>
      <c r="O12" s="2700"/>
      <c r="P12" s="3741"/>
      <c r="Q12" s="1343">
        <f t="shared" si="6"/>
        <v>111</v>
      </c>
      <c r="R12" s="701" t="s">
        <v>14</v>
      </c>
      <c r="S12" s="702">
        <f t="shared" si="0"/>
        <v>100</v>
      </c>
      <c r="T12" s="701" t="s">
        <v>14</v>
      </c>
      <c r="U12" s="702">
        <f t="shared" si="1"/>
        <v>100</v>
      </c>
      <c r="V12" s="701" t="s">
        <v>14</v>
      </c>
      <c r="W12" s="702">
        <f t="shared" si="2"/>
        <v>100</v>
      </c>
      <c r="X12" s="703"/>
      <c r="Y12" s="369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04"/>
      <c r="M13" s="2698"/>
      <c r="N13" s="2698"/>
      <c r="O13" s="2698"/>
      <c r="P13" s="3741"/>
      <c r="Q13" s="1343">
        <f t="shared" si="6"/>
        <v>111</v>
      </c>
      <c r="R13" s="701" t="s">
        <v>14</v>
      </c>
      <c r="S13" s="702">
        <f t="shared" si="0"/>
        <v>100</v>
      </c>
      <c r="T13" s="701" t="s">
        <v>14</v>
      </c>
      <c r="U13" s="702">
        <f t="shared" si="1"/>
        <v>100</v>
      </c>
      <c r="V13" s="701" t="s">
        <v>14</v>
      </c>
      <c r="W13" s="702">
        <f t="shared" si="2"/>
        <v>100</v>
      </c>
      <c r="X13" s="703"/>
      <c r="Y13" s="369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04"/>
      <c r="M14" s="2698"/>
      <c r="N14" s="2698"/>
      <c r="O14" s="2698"/>
      <c r="P14" s="3741"/>
      <c r="Q14" s="1343">
        <f t="shared" si="6"/>
        <v>111</v>
      </c>
      <c r="R14" s="701" t="s">
        <v>14</v>
      </c>
      <c r="S14" s="702">
        <f t="shared" si="0"/>
        <v>100</v>
      </c>
      <c r="T14" s="701" t="s">
        <v>14</v>
      </c>
      <c r="U14" s="702">
        <f t="shared" si="1"/>
        <v>100</v>
      </c>
      <c r="V14" s="701" t="s">
        <v>14</v>
      </c>
      <c r="W14" s="702">
        <f t="shared" si="2"/>
        <v>100</v>
      </c>
      <c r="X14" s="703"/>
      <c r="Y14" s="3696"/>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4"/>
      <c r="M15" s="2698"/>
      <c r="N15" s="2698"/>
      <c r="O15" s="2698"/>
      <c r="P15" s="3755" t="s">
        <v>1690</v>
      </c>
      <c r="Q15" s="1352" t="str">
        <f t="shared" si="6"/>
        <v>办公集聚程度</v>
      </c>
      <c r="R15" s="705" t="s">
        <v>14</v>
      </c>
      <c r="S15" s="706">
        <f t="shared" si="0"/>
        <v>100</v>
      </c>
      <c r="T15" s="705" t="s">
        <v>14</v>
      </c>
      <c r="U15" s="706">
        <f t="shared" si="1"/>
        <v>100</v>
      </c>
      <c r="V15" s="705" t="s">
        <v>14</v>
      </c>
      <c r="W15" s="706">
        <f t="shared" si="2"/>
        <v>100</v>
      </c>
      <c r="X15" s="1355"/>
      <c r="Y15" s="3757"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04"/>
      <c r="M16" s="2698"/>
      <c r="N16" s="2698"/>
      <c r="O16" s="2698"/>
      <c r="P16" s="3756"/>
      <c r="Q16" s="1352"/>
      <c r="R16" s="705"/>
      <c r="S16" s="706"/>
      <c r="T16" s="705"/>
      <c r="U16" s="706"/>
      <c r="V16" s="705"/>
      <c r="W16" s="706"/>
      <c r="X16" s="1355"/>
      <c r="Y16" s="375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4"/>
      <c r="M17" s="2698"/>
      <c r="N17" s="2698"/>
      <c r="O17" s="2698"/>
      <c r="P17" s="3756"/>
      <c r="Q17" s="1352" t="str">
        <f>B17</f>
        <v>交通便捷度</v>
      </c>
      <c r="R17" s="705" t="s">
        <v>14</v>
      </c>
      <c r="S17" s="706">
        <f>F17</f>
        <v>100</v>
      </c>
      <c r="T17" s="705" t="s">
        <v>14</v>
      </c>
      <c r="U17" s="706">
        <f>H17</f>
        <v>100</v>
      </c>
      <c r="V17" s="705" t="s">
        <v>14</v>
      </c>
      <c r="W17" s="706">
        <f>J17</f>
        <v>100</v>
      </c>
      <c r="X17" s="1355"/>
      <c r="Y17" s="375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04"/>
      <c r="M18" s="2698"/>
      <c r="N18" s="2698"/>
      <c r="O18" s="2698"/>
      <c r="P18" s="3756"/>
      <c r="Q18" s="1352"/>
      <c r="R18" s="705"/>
      <c r="S18" s="706"/>
      <c r="T18" s="705"/>
      <c r="U18" s="706"/>
      <c r="V18" s="705"/>
      <c r="W18" s="706"/>
      <c r="X18" s="1355"/>
      <c r="Y18" s="3758"/>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04"/>
      <c r="M19" s="2698"/>
      <c r="N19" s="2698"/>
      <c r="O19" s="2698"/>
      <c r="P19" s="3756"/>
      <c r="Q19" s="1352" t="str">
        <f>B19</f>
        <v>公共配套设施</v>
      </c>
      <c r="R19" s="705" t="s">
        <v>14</v>
      </c>
      <c r="S19" s="706">
        <f>F19</f>
        <v>100</v>
      </c>
      <c r="T19" s="705" t="s">
        <v>14</v>
      </c>
      <c r="U19" s="706">
        <f>H19</f>
        <v>100</v>
      </c>
      <c r="V19" s="705" t="s">
        <v>14</v>
      </c>
      <c r="W19" s="706">
        <f>J19</f>
        <v>100</v>
      </c>
      <c r="X19" s="1355"/>
      <c r="Y19" s="375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04"/>
      <c r="M20" s="2698"/>
      <c r="N20" s="2698"/>
      <c r="O20" s="2698"/>
      <c r="P20" s="3756"/>
      <c r="Q20" s="1352"/>
      <c r="R20" s="705"/>
      <c r="S20" s="706"/>
      <c r="T20" s="705"/>
      <c r="U20" s="706"/>
      <c r="V20" s="705"/>
      <c r="W20" s="706"/>
      <c r="X20" s="1355"/>
      <c r="Y20" s="3758"/>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4"/>
      <c r="M21" s="2698"/>
      <c r="N21" s="2698"/>
      <c r="O21" s="2698"/>
      <c r="P21" s="3756"/>
      <c r="Q21" s="1352" t="str">
        <f>B21</f>
        <v>基础设施水平</v>
      </c>
      <c r="R21" s="705" t="s">
        <v>14</v>
      </c>
      <c r="S21" s="706">
        <f>F21</f>
        <v>100</v>
      </c>
      <c r="T21" s="705" t="s">
        <v>14</v>
      </c>
      <c r="U21" s="706">
        <f>H21</f>
        <v>100</v>
      </c>
      <c r="V21" s="705" t="s">
        <v>14</v>
      </c>
      <c r="W21" s="706">
        <f>J21</f>
        <v>100</v>
      </c>
      <c r="X21" s="1355"/>
      <c r="Y21" s="375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04"/>
      <c r="M22" s="2698"/>
      <c r="N22" s="2698"/>
      <c r="O22" s="2698"/>
      <c r="P22" s="3756"/>
      <c r="Q22" s="1352"/>
      <c r="R22" s="705"/>
      <c r="S22" s="706"/>
      <c r="T22" s="705"/>
      <c r="U22" s="706"/>
      <c r="V22" s="705"/>
      <c r="W22" s="706"/>
      <c r="X22" s="1355"/>
      <c r="Y22" s="3758"/>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04"/>
      <c r="M23" s="2698"/>
      <c r="N23" s="2698"/>
      <c r="O23" s="2698"/>
      <c r="P23" s="3756"/>
      <c r="Q23" s="1352" t="str">
        <f>B23</f>
        <v>环境质量</v>
      </c>
      <c r="R23" s="705" t="s">
        <v>14</v>
      </c>
      <c r="S23" s="706">
        <f>F23</f>
        <v>100</v>
      </c>
      <c r="T23" s="705" t="s">
        <v>14</v>
      </c>
      <c r="U23" s="706">
        <f>H23</f>
        <v>100</v>
      </c>
      <c r="V23" s="705" t="s">
        <v>14</v>
      </c>
      <c r="W23" s="706">
        <f>J23</f>
        <v>100</v>
      </c>
      <c r="X23" s="1355"/>
      <c r="Y23" s="375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04"/>
      <c r="M24" s="2698"/>
      <c r="N24" s="2698"/>
      <c r="O24" s="2698"/>
      <c r="P24" s="3756"/>
      <c r="Q24" s="1352"/>
      <c r="R24" s="705"/>
      <c r="S24" s="706"/>
      <c r="T24" s="705"/>
      <c r="U24" s="706"/>
      <c r="V24" s="705"/>
      <c r="W24" s="706"/>
      <c r="X24" s="1355"/>
      <c r="Y24" s="3758"/>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04"/>
      <c r="M25" s="2698"/>
      <c r="N25" s="2698"/>
      <c r="O25" s="2698"/>
      <c r="P25" s="3756"/>
      <c r="Q25" s="1352" t="str">
        <f>B25</f>
        <v>毗邻道路的类型与等级</v>
      </c>
      <c r="R25" s="705" t="s">
        <v>14</v>
      </c>
      <c r="S25" s="706">
        <f>F25</f>
        <v>100</v>
      </c>
      <c r="T25" s="705" t="s">
        <v>14</v>
      </c>
      <c r="U25" s="706">
        <f>H25</f>
        <v>100</v>
      </c>
      <c r="V25" s="705" t="s">
        <v>14</v>
      </c>
      <c r="W25" s="706">
        <f>J25</f>
        <v>100</v>
      </c>
      <c r="X25" s="1355"/>
      <c r="Y25" s="375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04"/>
      <c r="M26" s="2698"/>
      <c r="N26" s="2698"/>
      <c r="O26" s="2698"/>
      <c r="P26" s="3756"/>
      <c r="Q26" s="1352"/>
      <c r="R26" s="705"/>
      <c r="S26" s="706"/>
      <c r="T26" s="705"/>
      <c r="U26" s="706"/>
      <c r="V26" s="705"/>
      <c r="W26" s="706"/>
      <c r="X26" s="1355"/>
      <c r="Y26" s="3758"/>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04"/>
      <c r="M27" s="2698"/>
      <c r="N27" s="2698"/>
      <c r="O27" s="2698"/>
      <c r="P27" s="3756"/>
      <c r="Q27" s="1352" t="str">
        <f t="shared" ref="Q27:Q47" si="11">B27</f>
        <v>楼层</v>
      </c>
      <c r="R27" s="705" t="s">
        <v>14</v>
      </c>
      <c r="S27" s="706">
        <f>F27</f>
        <v>100</v>
      </c>
      <c r="T27" s="705" t="s">
        <v>14</v>
      </c>
      <c r="U27" s="706">
        <f>H27</f>
        <v>100</v>
      </c>
      <c r="V27" s="705" t="s">
        <v>14</v>
      </c>
      <c r="W27" s="706">
        <f>J27</f>
        <v>100</v>
      </c>
      <c r="X27" s="1355"/>
      <c r="Y27" s="3758"/>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699"/>
      <c r="M28" s="2700"/>
      <c r="N28" s="2700"/>
      <c r="O28" s="2700"/>
      <c r="P28" s="3756"/>
      <c r="Q28" s="1343" t="str">
        <f t="shared" si="11"/>
        <v>朝向</v>
      </c>
      <c r="R28" s="701" t="s">
        <v>14</v>
      </c>
      <c r="S28" s="702">
        <f>F28</f>
        <v>100</v>
      </c>
      <c r="T28" s="701" t="s">
        <v>14</v>
      </c>
      <c r="U28" s="702">
        <f>H28</f>
        <v>100</v>
      </c>
      <c r="V28" s="701" t="s">
        <v>14</v>
      </c>
      <c r="W28" s="702">
        <f>J28</f>
        <v>100</v>
      </c>
      <c r="X28" s="703"/>
      <c r="Y28" s="375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04"/>
      <c r="M29" s="2698"/>
      <c r="N29" s="2698"/>
      <c r="O29" s="2698"/>
      <c r="P29" s="3756"/>
      <c r="Q29" s="1352">
        <f t="shared" si="11"/>
        <v>111</v>
      </c>
      <c r="R29" s="705" t="s">
        <v>14</v>
      </c>
      <c r="S29" s="706">
        <f t="shared" ref="S29:S47" si="12">F29</f>
        <v>100</v>
      </c>
      <c r="T29" s="705" t="s">
        <v>14</v>
      </c>
      <c r="U29" s="706">
        <f t="shared" ref="U29:U47" si="13">H29</f>
        <v>100</v>
      </c>
      <c r="V29" s="705" t="s">
        <v>14</v>
      </c>
      <c r="W29" s="706">
        <f t="shared" ref="W29:W47" si="14">J29</f>
        <v>100</v>
      </c>
      <c r="X29" s="1355"/>
      <c r="Y29" s="375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04"/>
      <c r="M30" s="2698"/>
      <c r="N30" s="2698"/>
      <c r="O30" s="2698"/>
      <c r="P30" s="3756"/>
      <c r="Q30" s="1352">
        <f t="shared" si="11"/>
        <v>111</v>
      </c>
      <c r="R30" s="705" t="s">
        <v>14</v>
      </c>
      <c r="S30" s="706">
        <f t="shared" si="12"/>
        <v>100</v>
      </c>
      <c r="T30" s="705" t="s">
        <v>14</v>
      </c>
      <c r="U30" s="706">
        <f t="shared" si="13"/>
        <v>100</v>
      </c>
      <c r="V30" s="705" t="s">
        <v>14</v>
      </c>
      <c r="W30" s="706">
        <f t="shared" si="14"/>
        <v>100</v>
      </c>
      <c r="X30" s="1355"/>
      <c r="Y30" s="375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04"/>
      <c r="M31" s="2698"/>
      <c r="N31" s="2698"/>
      <c r="O31" s="2698"/>
      <c r="P31" s="3756"/>
      <c r="Q31" s="1352">
        <f t="shared" si="11"/>
        <v>111</v>
      </c>
      <c r="R31" s="705" t="s">
        <v>14</v>
      </c>
      <c r="S31" s="706">
        <f t="shared" si="12"/>
        <v>100</v>
      </c>
      <c r="T31" s="705" t="s">
        <v>14</v>
      </c>
      <c r="U31" s="706">
        <f t="shared" si="13"/>
        <v>100</v>
      </c>
      <c r="V31" s="705" t="s">
        <v>14</v>
      </c>
      <c r="W31" s="706">
        <f t="shared" si="14"/>
        <v>100</v>
      </c>
      <c r="X31" s="1355"/>
      <c r="Y31" s="375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04"/>
      <c r="M32" s="2698"/>
      <c r="N32" s="2698"/>
      <c r="O32" s="2698"/>
      <c r="P32" s="3756"/>
      <c r="Q32" s="1352">
        <f t="shared" si="11"/>
        <v>111</v>
      </c>
      <c r="R32" s="705" t="s">
        <v>14</v>
      </c>
      <c r="S32" s="706">
        <f t="shared" si="12"/>
        <v>100</v>
      </c>
      <c r="T32" s="705" t="s">
        <v>14</v>
      </c>
      <c r="U32" s="706">
        <f t="shared" si="13"/>
        <v>100</v>
      </c>
      <c r="V32" s="705" t="s">
        <v>14</v>
      </c>
      <c r="W32" s="706">
        <f t="shared" si="14"/>
        <v>100</v>
      </c>
      <c r="X32" s="1355"/>
      <c r="Y32" s="3758"/>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04"/>
      <c r="M33" s="2698"/>
      <c r="N33" s="2698"/>
      <c r="O33" s="2698"/>
      <c r="P33" s="3759" t="s">
        <v>1695</v>
      </c>
      <c r="Q33" s="1352" t="str">
        <f t="shared" si="11"/>
        <v>建筑类型</v>
      </c>
      <c r="R33" s="705" t="s">
        <v>14</v>
      </c>
      <c r="S33" s="706">
        <f t="shared" si="12"/>
        <v>100</v>
      </c>
      <c r="T33" s="705" t="s">
        <v>14</v>
      </c>
      <c r="U33" s="706">
        <f t="shared" si="13"/>
        <v>100</v>
      </c>
      <c r="V33" s="705" t="s">
        <v>14</v>
      </c>
      <c r="W33" s="706">
        <f t="shared" si="14"/>
        <v>100</v>
      </c>
      <c r="X33" s="1355"/>
      <c r="Y33" s="3762"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3"/>
      <c r="M34" s="2705"/>
      <c r="N34" s="2705"/>
      <c r="O34" s="2705"/>
      <c r="P34" s="3760"/>
      <c r="Q34" s="707" t="str">
        <f t="shared" si="11"/>
        <v>项目建筑规模</v>
      </c>
      <c r="R34" s="708" t="s">
        <v>14</v>
      </c>
      <c r="S34" s="709" t="e">
        <f t="shared" si="12"/>
        <v>#N/A</v>
      </c>
      <c r="T34" s="708" t="s">
        <v>14</v>
      </c>
      <c r="U34" s="709" t="e">
        <f t="shared" si="13"/>
        <v>#N/A</v>
      </c>
      <c r="V34" s="708" t="s">
        <v>14</v>
      </c>
      <c r="W34" s="709" t="e">
        <f t="shared" si="14"/>
        <v>#N/A</v>
      </c>
      <c r="X34" s="710"/>
      <c r="Y34" s="3762"/>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4"/>
      <c r="M35" s="2698"/>
      <c r="N35" s="2698"/>
      <c r="O35" s="2698"/>
      <c r="P35" s="3760"/>
      <c r="Q35" s="1352" t="str">
        <f t="shared" si="11"/>
        <v>建筑结构</v>
      </c>
      <c r="R35" s="705" t="s">
        <v>14</v>
      </c>
      <c r="S35" s="706">
        <f t="shared" si="12"/>
        <v>100</v>
      </c>
      <c r="T35" s="705" t="s">
        <v>14</v>
      </c>
      <c r="U35" s="706">
        <f t="shared" si="13"/>
        <v>100</v>
      </c>
      <c r="V35" s="705" t="s">
        <v>14</v>
      </c>
      <c r="W35" s="706">
        <f t="shared" si="14"/>
        <v>100</v>
      </c>
      <c r="X35" s="1355"/>
      <c r="Y35" s="3762"/>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4"/>
      <c r="M36" s="2698"/>
      <c r="N36" s="2698"/>
      <c r="O36" s="2698"/>
      <c r="P36" s="3760"/>
      <c r="Q36" s="1352" t="str">
        <f t="shared" si="11"/>
        <v>公共部分装修</v>
      </c>
      <c r="R36" s="705" t="s">
        <v>14</v>
      </c>
      <c r="S36" s="706">
        <f t="shared" si="12"/>
        <v>100</v>
      </c>
      <c r="T36" s="705" t="s">
        <v>14</v>
      </c>
      <c r="U36" s="706">
        <f t="shared" si="13"/>
        <v>100</v>
      </c>
      <c r="V36" s="705" t="s">
        <v>14</v>
      </c>
      <c r="W36" s="706">
        <f t="shared" si="14"/>
        <v>100</v>
      </c>
      <c r="X36" s="1355"/>
      <c r="Y36" s="3762"/>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4"/>
      <c r="M37" s="2698"/>
      <c r="N37" s="2698"/>
      <c r="O37" s="2698"/>
      <c r="P37" s="3760"/>
      <c r="Q37" s="1352" t="str">
        <f t="shared" si="11"/>
        <v>成新度</v>
      </c>
      <c r="R37" s="705" t="s">
        <v>14</v>
      </c>
      <c r="S37" s="706" t="e">
        <f t="shared" si="12"/>
        <v>#N/A</v>
      </c>
      <c r="T37" s="705" t="s">
        <v>14</v>
      </c>
      <c r="U37" s="706" t="e">
        <f t="shared" si="13"/>
        <v>#N/A</v>
      </c>
      <c r="V37" s="705" t="s">
        <v>14</v>
      </c>
      <c r="W37" s="706" t="e">
        <f t="shared" si="14"/>
        <v>#N/A</v>
      </c>
      <c r="X37" s="1355"/>
      <c r="Y37" s="3762"/>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9"/>
      <c r="M38" s="2700"/>
      <c r="N38" s="2700"/>
      <c r="O38" s="2700"/>
      <c r="P38" s="3760"/>
      <c r="Q38" s="1343" t="str">
        <f t="shared" si="11"/>
        <v>写字楼等级</v>
      </c>
      <c r="R38" s="701" t="s">
        <v>14</v>
      </c>
      <c r="S38" s="702">
        <f t="shared" si="12"/>
        <v>100</v>
      </c>
      <c r="T38" s="701" t="s">
        <v>14</v>
      </c>
      <c r="U38" s="702">
        <f t="shared" si="13"/>
        <v>100</v>
      </c>
      <c r="V38" s="701" t="s">
        <v>14</v>
      </c>
      <c r="W38" s="702">
        <f t="shared" si="14"/>
        <v>100</v>
      </c>
      <c r="X38" s="703"/>
      <c r="Y38" s="3762"/>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4"/>
      <c r="M39" s="2698"/>
      <c r="N39" s="2698"/>
      <c r="O39" s="2698"/>
      <c r="P39" s="3760" t="s">
        <v>1695</v>
      </c>
      <c r="Q39" s="1352" t="str">
        <f t="shared" si="11"/>
        <v>物业管理</v>
      </c>
      <c r="R39" s="705" t="s">
        <v>14</v>
      </c>
      <c r="S39" s="706">
        <f t="shared" si="12"/>
        <v>100</v>
      </c>
      <c r="T39" s="705" t="s">
        <v>14</v>
      </c>
      <c r="U39" s="706">
        <f t="shared" si="13"/>
        <v>100</v>
      </c>
      <c r="V39" s="705" t="s">
        <v>14</v>
      </c>
      <c r="W39" s="706">
        <f t="shared" si="14"/>
        <v>100</v>
      </c>
      <c r="X39" s="1355"/>
      <c r="Y39" s="3762"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4"/>
      <c r="M40" s="2698"/>
      <c r="N40" s="2698"/>
      <c r="O40" s="2698"/>
      <c r="P40" s="3760"/>
      <c r="Q40" s="1352" t="str">
        <f t="shared" si="11"/>
        <v>市政基础设施</v>
      </c>
      <c r="R40" s="705" t="s">
        <v>14</v>
      </c>
      <c r="S40" s="706">
        <f t="shared" si="12"/>
        <v>100</v>
      </c>
      <c r="T40" s="705" t="s">
        <v>14</v>
      </c>
      <c r="U40" s="706">
        <f t="shared" si="13"/>
        <v>100</v>
      </c>
      <c r="V40" s="705" t="s">
        <v>14</v>
      </c>
      <c r="W40" s="706">
        <f t="shared" si="14"/>
        <v>100</v>
      </c>
      <c r="X40" s="1355"/>
      <c r="Y40" s="3762"/>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4"/>
      <c r="M41" s="2698"/>
      <c r="N41" s="2698"/>
      <c r="O41" s="2698"/>
      <c r="P41" s="3760"/>
      <c r="Q41" s="1352" t="str">
        <f t="shared" si="11"/>
        <v>层高</v>
      </c>
      <c r="R41" s="705" t="s">
        <v>14</v>
      </c>
      <c r="S41" s="706">
        <f t="shared" si="12"/>
        <v>100</v>
      </c>
      <c r="T41" s="705" t="s">
        <v>14</v>
      </c>
      <c r="U41" s="706">
        <f t="shared" si="13"/>
        <v>100</v>
      </c>
      <c r="V41" s="705" t="s">
        <v>14</v>
      </c>
      <c r="W41" s="706">
        <f t="shared" si="14"/>
        <v>100</v>
      </c>
      <c r="X41" s="1355"/>
      <c r="Y41" s="3762"/>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3"/>
      <c r="M42" s="2705"/>
      <c r="N42" s="2705"/>
      <c r="O42" s="2705"/>
      <c r="P42" s="3760"/>
      <c r="Q42" s="707" t="str">
        <f t="shared" si="11"/>
        <v>单套建筑面积</v>
      </c>
      <c r="R42" s="708" t="s">
        <v>14</v>
      </c>
      <c r="S42" s="709">
        <f t="shared" si="12"/>
        <v>100</v>
      </c>
      <c r="T42" s="708" t="s">
        <v>14</v>
      </c>
      <c r="U42" s="709">
        <f t="shared" si="13"/>
        <v>100</v>
      </c>
      <c r="V42" s="708" t="s">
        <v>14</v>
      </c>
      <c r="W42" s="709">
        <f t="shared" si="14"/>
        <v>100</v>
      </c>
      <c r="X42" s="710"/>
      <c r="Y42" s="3762"/>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4"/>
      <c r="M43" s="2698"/>
      <c r="N43" s="2698"/>
      <c r="O43" s="2698"/>
      <c r="P43" s="3760"/>
      <c r="Q43" s="1352" t="str">
        <f t="shared" si="11"/>
        <v>内部装修</v>
      </c>
      <c r="R43" s="705" t="s">
        <v>14</v>
      </c>
      <c r="S43" s="706">
        <f t="shared" si="12"/>
        <v>100</v>
      </c>
      <c r="T43" s="705" t="s">
        <v>14</v>
      </c>
      <c r="U43" s="706">
        <f t="shared" si="13"/>
        <v>100</v>
      </c>
      <c r="V43" s="705" t="s">
        <v>14</v>
      </c>
      <c r="W43" s="706">
        <f t="shared" si="14"/>
        <v>100</v>
      </c>
      <c r="X43" s="1355"/>
      <c r="Y43" s="3762"/>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04"/>
      <c r="M44" s="2698"/>
      <c r="N44" s="2698"/>
      <c r="O44" s="2698"/>
      <c r="P44" s="3760"/>
      <c r="Q44" s="1352" t="str">
        <f t="shared" si="11"/>
        <v>内部装修维护情况</v>
      </c>
      <c r="R44" s="705" t="s">
        <v>14</v>
      </c>
      <c r="S44" s="706">
        <f t="shared" si="12"/>
        <v>100</v>
      </c>
      <c r="T44" s="705" t="s">
        <v>14</v>
      </c>
      <c r="U44" s="706">
        <f t="shared" si="13"/>
        <v>100</v>
      </c>
      <c r="V44" s="705" t="s">
        <v>14</v>
      </c>
      <c r="W44" s="706">
        <f t="shared" si="14"/>
        <v>100</v>
      </c>
      <c r="X44" s="1355"/>
      <c r="Y44" s="376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9"/>
      <c r="M45" s="2700"/>
      <c r="N45" s="2700"/>
      <c r="O45" s="2700"/>
      <c r="P45" s="3760"/>
      <c r="Q45" s="1343">
        <f t="shared" si="11"/>
        <v>111</v>
      </c>
      <c r="R45" s="701" t="s">
        <v>14</v>
      </c>
      <c r="S45" s="702">
        <f t="shared" si="12"/>
        <v>100</v>
      </c>
      <c r="T45" s="701" t="s">
        <v>14</v>
      </c>
      <c r="U45" s="702">
        <f t="shared" si="13"/>
        <v>100</v>
      </c>
      <c r="V45" s="701" t="s">
        <v>14</v>
      </c>
      <c r="W45" s="702">
        <f t="shared" si="14"/>
        <v>100</v>
      </c>
      <c r="X45" s="703"/>
      <c r="Y45" s="376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4"/>
      <c r="M46" s="2698"/>
      <c r="N46" s="2698"/>
      <c r="O46" s="2698"/>
      <c r="P46" s="3760"/>
      <c r="Q46" s="1352">
        <f t="shared" si="11"/>
        <v>111</v>
      </c>
      <c r="R46" s="705" t="s">
        <v>14</v>
      </c>
      <c r="S46" s="706">
        <f t="shared" si="12"/>
        <v>100</v>
      </c>
      <c r="T46" s="705" t="s">
        <v>14</v>
      </c>
      <c r="U46" s="706">
        <f t="shared" si="13"/>
        <v>100</v>
      </c>
      <c r="V46" s="705" t="s">
        <v>14</v>
      </c>
      <c r="W46" s="706">
        <f t="shared" si="14"/>
        <v>100</v>
      </c>
      <c r="X46" s="1355"/>
      <c r="Y46" s="376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4"/>
      <c r="M47" s="2698"/>
      <c r="N47" s="2698"/>
      <c r="O47" s="2698"/>
      <c r="P47" s="3761"/>
      <c r="Q47" s="1352">
        <f t="shared" si="11"/>
        <v>111</v>
      </c>
      <c r="R47" s="705" t="s">
        <v>14</v>
      </c>
      <c r="S47" s="706">
        <f t="shared" si="12"/>
        <v>100</v>
      </c>
      <c r="T47" s="705" t="s">
        <v>14</v>
      </c>
      <c r="U47" s="706">
        <f t="shared" si="13"/>
        <v>100</v>
      </c>
      <c r="V47" s="705" t="s">
        <v>14</v>
      </c>
      <c r="W47" s="706">
        <f t="shared" si="14"/>
        <v>100</v>
      </c>
      <c r="X47" s="1355"/>
      <c r="Y47" s="3763"/>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06"/>
      <c r="M48" s="2698"/>
      <c r="N48" s="2698"/>
      <c r="O48" s="2698"/>
      <c r="P48" s="3741" t="str">
        <f>A48</f>
        <v>成交单价（元/平方米）</v>
      </c>
      <c r="Q48" s="3764"/>
      <c r="R48" s="3765">
        <f>E48</f>
        <v>0</v>
      </c>
      <c r="S48" s="3765"/>
      <c r="T48" s="3765">
        <f>G48</f>
        <v>0</v>
      </c>
      <c r="U48" s="3765"/>
      <c r="V48" s="3765">
        <f>I48</f>
        <v>0</v>
      </c>
      <c r="W48" s="3765"/>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06"/>
      <c r="M49" s="2698"/>
      <c r="N49" s="2698"/>
      <c r="O49" s="2698"/>
      <c r="P49" s="3741" t="str">
        <f>A49</f>
        <v>比较价值（元/平方米）</v>
      </c>
      <c r="Q49" s="3764"/>
      <c r="R49" s="3765" t="e">
        <f>IF(F1="售价",ROUND(PRODUCT(R48,AA7:AA47),0),ROUND(PRODUCT(R48,AA7:AA47),1))</f>
        <v>#DIV/0!</v>
      </c>
      <c r="S49" s="3765"/>
      <c r="T49" s="3765" t="e">
        <f>IF(F1="售价",ROUND(PRODUCT(T48,AB7:AB47),0),ROUND(PRODUCT(T48,AB7:AB47),1))</f>
        <v>#DIV/0!</v>
      </c>
      <c r="U49" s="3765"/>
      <c r="V49" s="3765" t="e">
        <f>IF(F1="售价",ROUND(PRODUCT(V48,AC7:AC47),0),ROUND(PRODUCT(V48,AC7:AC47),1))</f>
        <v>#DIV/0!</v>
      </c>
      <c r="W49" s="3765"/>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06"/>
      <c r="M50" s="2698"/>
      <c r="N50" s="2698"/>
      <c r="O50" s="2698"/>
      <c r="P50" s="3807" t="str">
        <f>A50</f>
        <v>估价对象XX用房的比较价值（楼面单价，元/平方米）</v>
      </c>
      <c r="Q50" s="3808"/>
      <c r="R50" s="3809" t="e">
        <f>IF(F1="售价",ROUND(IF(D49="简单平均",AVERAGE(R49:V49),R49*F49+T49*H49+V49*J49),0),ROUND(IF(D49="简单平均",AVERAGE(R49:V49),R49*F49+T49*H49+V49*J49),1))</f>
        <v>#DIV/0!</v>
      </c>
      <c r="S50" s="3809"/>
      <c r="T50" s="3809"/>
      <c r="U50" s="3809"/>
      <c r="V50" s="3809"/>
      <c r="W50" s="3809"/>
      <c r="X50" s="1946"/>
      <c r="Y50" s="1946"/>
      <c r="Z50" s="1946"/>
      <c r="AA50" s="1946"/>
      <c r="AB50" s="1946"/>
      <c r="AC50" s="1947"/>
    </row>
    <row r="51" spans="1:29">
      <c r="A51" s="2707"/>
      <c r="B51" s="2707"/>
      <c r="C51" s="2707"/>
      <c r="D51" s="2707"/>
      <c r="E51" s="2707"/>
      <c r="F51" s="2707"/>
      <c r="G51" s="2711"/>
      <c r="H51" s="2707"/>
      <c r="I51" s="2707"/>
      <c r="J51" s="2707"/>
      <c r="K51" s="2712"/>
      <c r="L51" s="2708"/>
      <c r="M51" s="2707"/>
      <c r="N51" s="2707"/>
      <c r="O51" s="2707"/>
      <c r="P51" s="2738"/>
      <c r="Q51" s="2707"/>
      <c r="R51" s="2707"/>
      <c r="S51" s="2707"/>
      <c r="T51" s="2707"/>
      <c r="U51" s="2707"/>
      <c r="V51" s="2707"/>
      <c r="W51" s="2707"/>
      <c r="X51" s="2707"/>
      <c r="Y51" s="2707"/>
      <c r="Z51" s="2707"/>
      <c r="AA51" s="2707"/>
      <c r="AB51" s="2707"/>
      <c r="AC51" s="2707"/>
    </row>
    <row r="52" spans="1:29">
      <c r="A52" s="2707"/>
      <c r="B52" s="2707"/>
      <c r="C52" s="2707"/>
      <c r="D52" s="2707"/>
      <c r="E52" s="2707"/>
      <c r="F52" s="2707"/>
      <c r="G52" s="2707"/>
      <c r="H52" s="2707"/>
      <c r="I52" s="2707"/>
      <c r="J52" s="2707"/>
      <c r="K52" s="2712"/>
      <c r="L52" s="2708"/>
      <c r="M52" s="2707"/>
      <c r="N52" s="2707"/>
      <c r="O52" s="2707"/>
      <c r="P52" s="2738"/>
      <c r="Q52" s="2707"/>
      <c r="R52" s="2707"/>
      <c r="S52" s="2707"/>
      <c r="T52" s="2707"/>
      <c r="U52" s="2707"/>
      <c r="V52" s="2707"/>
      <c r="W52" s="2707"/>
      <c r="X52" s="2707"/>
      <c r="Y52" s="2707"/>
      <c r="Z52" s="2707"/>
      <c r="AA52" s="2707"/>
      <c r="AB52" s="2707"/>
      <c r="AC52" s="2707"/>
    </row>
    <row r="53" spans="1:29" ht="13.5" customHeight="1">
      <c r="A53" s="2707"/>
      <c r="B53" s="2707"/>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12"/>
      <c r="L53" s="2708"/>
      <c r="M53" s="2707"/>
      <c r="N53" s="2707"/>
      <c r="O53" s="2707"/>
      <c r="P53" s="2738"/>
      <c r="Q53" s="2707"/>
      <c r="R53" s="2707"/>
      <c r="S53" s="2707"/>
      <c r="T53" s="2707"/>
      <c r="U53" s="2707"/>
      <c r="V53" s="2707"/>
      <c r="W53" s="2707"/>
      <c r="X53" s="2707"/>
      <c r="Y53" s="2707"/>
      <c r="Z53" s="2707"/>
      <c r="AA53" s="2707"/>
      <c r="AB53" s="2707"/>
      <c r="AC53" s="2707"/>
    </row>
    <row r="54" spans="1:29" ht="13.5" customHeight="1">
      <c r="A54" s="2707"/>
      <c r="B54" s="2707"/>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12"/>
      <c r="L54" s="2708"/>
      <c r="M54" s="2707"/>
      <c r="N54" s="2707"/>
      <c r="O54" s="2707"/>
      <c r="P54" s="2738"/>
      <c r="Q54" s="2707"/>
      <c r="R54" s="2707"/>
      <c r="S54" s="2707"/>
      <c r="T54" s="2707"/>
      <c r="U54" s="2707"/>
      <c r="V54" s="2707"/>
      <c r="W54" s="2707"/>
      <c r="X54" s="2707"/>
      <c r="Y54" s="2707"/>
      <c r="Z54" s="2707"/>
      <c r="AA54" s="2707"/>
      <c r="AB54" s="2707"/>
      <c r="AC54" s="2707"/>
    </row>
    <row r="55" spans="1:29" s="451" customFormat="1" ht="13.5" customHeight="1">
      <c r="A55" s="2710"/>
      <c r="B55" s="2710"/>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5"/>
      <c r="L55" s="2709"/>
      <c r="M55" s="2710"/>
      <c r="N55" s="2710"/>
      <c r="O55" s="2710"/>
      <c r="P55" s="2739"/>
      <c r="Q55" s="2710"/>
      <c r="R55" s="2710"/>
      <c r="S55" s="2710"/>
      <c r="T55" s="2710"/>
      <c r="U55" s="2710"/>
      <c r="V55" s="2710"/>
      <c r="W55" s="2710"/>
      <c r="X55" s="2710"/>
      <c r="Y55" s="2710"/>
      <c r="Z55" s="2710"/>
      <c r="AA55" s="2710"/>
      <c r="AB55" s="2710"/>
      <c r="AC55" s="2710"/>
    </row>
    <row r="56" spans="1:29" s="451" customFormat="1">
      <c r="A56" s="2710"/>
      <c r="B56" s="2713"/>
      <c r="C56" s="2714"/>
      <c r="D56" s="2710"/>
      <c r="E56" s="2710"/>
      <c r="F56" s="2710"/>
      <c r="G56" s="2710"/>
      <c r="H56" s="2710"/>
      <c r="I56" s="2710"/>
      <c r="J56" s="2710"/>
      <c r="K56" s="2715"/>
      <c r="L56" s="2709"/>
      <c r="M56" s="2710"/>
      <c r="N56" s="2710"/>
      <c r="O56" s="2710"/>
      <c r="P56" s="2739"/>
      <c r="Q56" s="2710"/>
      <c r="R56" s="2710"/>
      <c r="S56" s="2710"/>
      <c r="T56" s="2710"/>
      <c r="U56" s="2710"/>
      <c r="V56" s="2710"/>
      <c r="W56" s="2710"/>
      <c r="X56" s="2710"/>
      <c r="Y56" s="2710"/>
      <c r="Z56" s="2710"/>
      <c r="AA56" s="2710"/>
      <c r="AB56" s="2710"/>
      <c r="AC56" s="2710"/>
    </row>
    <row r="57" spans="1:29">
      <c r="A57" s="2707"/>
      <c r="B57" s="2713"/>
      <c r="C57" s="2714"/>
      <c r="D57" s="2707"/>
      <c r="E57" s="2707"/>
      <c r="F57" s="2707"/>
      <c r="G57" s="2707"/>
      <c r="H57" s="2707"/>
      <c r="I57" s="2707"/>
      <c r="J57" s="2707"/>
      <c r="K57" s="2712"/>
      <c r="L57" s="2708"/>
      <c r="M57" s="2707"/>
      <c r="N57" s="2707"/>
      <c r="O57" s="2707"/>
      <c r="P57" s="2738"/>
      <c r="Q57" s="2707"/>
      <c r="R57" s="2707"/>
      <c r="S57" s="2707"/>
      <c r="T57" s="2707"/>
      <c r="U57" s="2707"/>
      <c r="V57" s="2707"/>
      <c r="W57" s="2707"/>
      <c r="X57" s="2707"/>
      <c r="Y57" s="2707"/>
      <c r="Z57" s="2707"/>
      <c r="AA57" s="2707"/>
      <c r="AB57" s="2707"/>
      <c r="AC57" s="2707"/>
    </row>
    <row r="58" spans="1:29" ht="21.75" thickBot="1">
      <c r="A58" s="694" t="s">
        <v>1797</v>
      </c>
      <c r="B58" s="690"/>
      <c r="C58" s="695"/>
      <c r="D58" s="695"/>
      <c r="E58" s="695"/>
      <c r="F58" s="696"/>
      <c r="G58" s="696"/>
      <c r="H58" s="695"/>
      <c r="I58" s="695"/>
      <c r="J58" s="695"/>
      <c r="K58" s="697"/>
      <c r="L58" s="942"/>
      <c r="M58" s="940"/>
      <c r="N58" s="2751"/>
      <c r="O58" s="2751"/>
      <c r="P58" s="2740"/>
      <c r="Q58" s="2721"/>
      <c r="R58" s="2707"/>
      <c r="S58" s="2707"/>
      <c r="T58" s="2707"/>
      <c r="U58" s="2707"/>
      <c r="V58" s="2707"/>
      <c r="W58" s="2707"/>
      <c r="X58" s="2707"/>
      <c r="Y58" s="2707"/>
      <c r="Z58" s="2707"/>
      <c r="AA58" s="2707"/>
      <c r="AB58" s="2707"/>
      <c r="AC58" s="2707"/>
    </row>
    <row r="59" spans="1:29" s="457" customFormat="1" ht="15">
      <c r="A59" s="454" t="s">
        <v>1678</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41"/>
      <c r="Q59" s="2723"/>
      <c r="R59" s="2723"/>
      <c r="S59" s="2723"/>
      <c r="T59" s="2723"/>
      <c r="U59" s="2723"/>
      <c r="V59" s="2723"/>
      <c r="W59" s="2723"/>
      <c r="X59" s="2723"/>
      <c r="Y59" s="2723"/>
      <c r="Z59" s="2723"/>
      <c r="AA59" s="2723"/>
      <c r="AB59" s="2723"/>
      <c r="AC59" s="2723"/>
    </row>
    <row r="60" spans="1:29" s="108" customFormat="1" ht="15">
      <c r="A60" s="458"/>
      <c r="B60" s="459"/>
      <c r="C60" s="1183">
        <v>100</v>
      </c>
      <c r="D60" s="461"/>
      <c r="E60" s="461"/>
      <c r="F60" s="461"/>
      <c r="G60" s="461"/>
      <c r="H60" s="461"/>
      <c r="I60" s="461"/>
      <c r="J60" s="461"/>
      <c r="K60" s="461"/>
      <c r="L60" s="461"/>
      <c r="M60" s="462"/>
      <c r="N60" s="461"/>
      <c r="O60" s="462"/>
      <c r="P60" s="2742"/>
      <c r="Q60" s="2643"/>
      <c r="R60" s="2643"/>
      <c r="S60" s="2643"/>
      <c r="T60" s="2643"/>
      <c r="U60" s="2643"/>
      <c r="V60" s="2643"/>
      <c r="W60" s="2643"/>
      <c r="X60" s="2643"/>
      <c r="Y60" s="2643"/>
      <c r="Z60" s="2643"/>
      <c r="AA60" s="2643"/>
      <c r="AB60" s="2643"/>
      <c r="AC60" s="2643"/>
    </row>
    <row r="61" spans="1:29" s="108" customFormat="1" ht="15.75" thickBot="1">
      <c r="A61" s="464" t="s">
        <v>1715</v>
      </c>
      <c r="B61" s="465"/>
      <c r="C61" s="466"/>
      <c r="D61" s="467"/>
      <c r="E61" s="467"/>
      <c r="F61" s="467"/>
      <c r="G61" s="467"/>
      <c r="H61" s="467"/>
      <c r="I61" s="467"/>
      <c r="J61" s="467"/>
      <c r="K61" s="467"/>
      <c r="L61" s="467"/>
      <c r="M61" s="468"/>
      <c r="N61" s="467"/>
      <c r="O61" s="468"/>
      <c r="P61" s="2742"/>
      <c r="Q61" s="2721"/>
      <c r="R61" s="2643"/>
      <c r="S61" s="2643"/>
      <c r="T61" s="2643"/>
      <c r="U61" s="2643"/>
      <c r="V61" s="2643"/>
      <c r="W61" s="2643"/>
      <c r="X61" s="2643"/>
      <c r="Y61" s="2643"/>
      <c r="Z61" s="2643"/>
      <c r="AA61" s="2643"/>
      <c r="AB61" s="2643"/>
      <c r="AC61" s="2643"/>
    </row>
    <row r="62" spans="1:29" s="108" customFormat="1" ht="15">
      <c r="A62" s="470" t="s">
        <v>1680</v>
      </c>
      <c r="B62" s="459"/>
      <c r="C62" s="471" t="s">
        <v>1775</v>
      </c>
      <c r="D62" s="472"/>
      <c r="E62" s="472"/>
      <c r="F62" s="472"/>
      <c r="G62" s="472"/>
      <c r="H62" s="472"/>
      <c r="I62" s="472"/>
      <c r="J62" s="472"/>
      <c r="K62" s="472"/>
      <c r="L62" s="473"/>
      <c r="M62" s="474"/>
      <c r="N62" s="2734"/>
      <c r="O62" s="2734"/>
      <c r="P62" s="2743"/>
      <c r="Q62" s="2721"/>
      <c r="R62" s="2643"/>
      <c r="S62" s="2643"/>
      <c r="T62" s="2643"/>
      <c r="U62" s="2643"/>
      <c r="V62" s="2643"/>
      <c r="W62" s="2643"/>
      <c r="X62" s="2643"/>
      <c r="Y62" s="2643"/>
      <c r="Z62" s="2643"/>
      <c r="AA62" s="2643"/>
      <c r="AB62" s="2643"/>
      <c r="AC62" s="2643"/>
    </row>
    <row r="63" spans="1:29" s="108" customFormat="1" ht="15.75" thickBot="1">
      <c r="A63" s="470"/>
      <c r="B63" s="459"/>
      <c r="C63" s="460">
        <v>100</v>
      </c>
      <c r="D63" s="461"/>
      <c r="E63" s="461"/>
      <c r="F63" s="461"/>
      <c r="G63" s="461"/>
      <c r="H63" s="461"/>
      <c r="I63" s="461"/>
      <c r="J63" s="461"/>
      <c r="K63" s="461"/>
      <c r="L63" s="461"/>
      <c r="M63" s="463"/>
      <c r="N63" s="2734"/>
      <c r="O63" s="2734"/>
      <c r="P63" s="2742"/>
      <c r="Q63" s="2721"/>
      <c r="R63" s="2643"/>
      <c r="S63" s="2643"/>
      <c r="T63" s="2643"/>
      <c r="U63" s="2643"/>
      <c r="V63" s="2643"/>
      <c r="W63" s="2643"/>
      <c r="X63" s="2643"/>
      <c r="Y63" s="2643"/>
      <c r="Z63" s="2643"/>
      <c r="AA63" s="2643"/>
      <c r="AB63" s="2643"/>
      <c r="AC63" s="2643"/>
    </row>
    <row r="64" spans="1:29">
      <c r="A64" s="476" t="s">
        <v>1718</v>
      </c>
      <c r="B64" s="477" t="s">
        <v>1684</v>
      </c>
      <c r="C64" s="478">
        <f>C9</f>
        <v>0</v>
      </c>
      <c r="D64" s="479"/>
      <c r="E64" s="479"/>
      <c r="F64" s="479"/>
      <c r="G64" s="479"/>
      <c r="H64" s="479"/>
      <c r="I64" s="479"/>
      <c r="J64" s="479"/>
      <c r="K64" s="480"/>
      <c r="L64" s="481"/>
      <c r="M64" s="482"/>
      <c r="N64" s="2735"/>
      <c r="O64" s="2735"/>
      <c r="P64" s="2744"/>
      <c r="Q64" s="2721"/>
      <c r="R64" s="2707"/>
      <c r="S64" s="2707"/>
      <c r="T64" s="2707"/>
      <c r="U64" s="2707"/>
      <c r="V64" s="2707"/>
      <c r="W64" s="2707"/>
      <c r="X64" s="2707"/>
      <c r="Y64" s="2707"/>
      <c r="Z64" s="2707"/>
      <c r="AA64" s="2707"/>
      <c r="AB64" s="2707"/>
      <c r="AC64" s="2707"/>
    </row>
    <row r="65" spans="1:29" ht="15.75" thickBot="1">
      <c r="A65" s="483"/>
      <c r="B65" s="484"/>
      <c r="C65" s="485">
        <v>100</v>
      </c>
      <c r="D65" s="485"/>
      <c r="E65" s="485"/>
      <c r="F65" s="485"/>
      <c r="G65" s="485"/>
      <c r="H65" s="485"/>
      <c r="I65" s="485"/>
      <c r="J65" s="485"/>
      <c r="K65" s="485"/>
      <c r="L65" s="485"/>
      <c r="M65" s="486"/>
      <c r="N65" s="2736"/>
      <c r="O65" s="2736"/>
      <c r="P65" s="2744"/>
      <c r="Q65" s="2721"/>
      <c r="R65" s="2707"/>
      <c r="S65" s="2707"/>
      <c r="T65" s="2707"/>
      <c r="U65" s="2707"/>
      <c r="V65" s="2707"/>
      <c r="W65" s="2707"/>
      <c r="X65" s="2707"/>
      <c r="Y65" s="2707"/>
      <c r="Z65" s="2707"/>
      <c r="AA65" s="2707"/>
      <c r="AB65" s="2707"/>
      <c r="AC65" s="2707"/>
    </row>
    <row r="66" spans="1:29" ht="27.75" thickTop="1">
      <c r="A66" s="483"/>
      <c r="B66" s="487" t="s">
        <v>1687</v>
      </c>
      <c r="C66" s="532"/>
      <c r="D66" s="532"/>
      <c r="E66" s="532"/>
      <c r="F66" s="532"/>
      <c r="G66" s="532"/>
      <c r="H66" s="532"/>
      <c r="I66" s="532"/>
      <c r="J66" s="532"/>
      <c r="K66" s="533"/>
      <c r="L66" s="534"/>
      <c r="M66" s="535"/>
      <c r="N66" s="2735"/>
      <c r="O66" s="2735"/>
      <c r="P66" s="2744"/>
      <c r="Q66" s="2721"/>
      <c r="R66" s="2707"/>
      <c r="S66" s="2707"/>
      <c r="T66" s="2707"/>
      <c r="U66" s="2707"/>
      <c r="V66" s="2707"/>
      <c r="W66" s="2707"/>
      <c r="X66" s="2707"/>
      <c r="Y66" s="2707"/>
      <c r="Z66" s="2707"/>
      <c r="AA66" s="2707"/>
      <c r="AB66" s="2707"/>
      <c r="AC66" s="2707"/>
    </row>
    <row r="67" spans="1:29" ht="15.75" thickBot="1">
      <c r="A67" s="483"/>
      <c r="B67" s="492"/>
      <c r="C67" s="485"/>
      <c r="D67" s="485"/>
      <c r="E67" s="485"/>
      <c r="F67" s="485"/>
      <c r="G67" s="485"/>
      <c r="H67" s="485"/>
      <c r="I67" s="485"/>
      <c r="J67" s="485"/>
      <c r="K67" s="485"/>
      <c r="L67" s="485"/>
      <c r="M67" s="486"/>
      <c r="N67" s="2736"/>
      <c r="O67" s="2736"/>
      <c r="P67" s="2744"/>
      <c r="Q67" s="2721"/>
      <c r="R67" s="2707"/>
      <c r="S67" s="2707"/>
      <c r="T67" s="2707"/>
      <c r="U67" s="2707"/>
      <c r="V67" s="2707"/>
      <c r="W67" s="2707"/>
      <c r="X67" s="2707"/>
      <c r="Y67" s="2707"/>
      <c r="Z67" s="2707"/>
      <c r="AA67" s="2707"/>
      <c r="AB67" s="2707"/>
      <c r="AC67" s="2707"/>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6"/>
      <c r="O68" s="2736"/>
      <c r="P68" s="2744"/>
      <c r="Q68" s="2721"/>
      <c r="R68" s="2707"/>
      <c r="S68" s="2707"/>
      <c r="T68" s="2707"/>
      <c r="U68" s="2707"/>
      <c r="V68" s="2707"/>
      <c r="W68" s="2707"/>
      <c r="X68" s="2707"/>
      <c r="Y68" s="2707"/>
      <c r="Z68" s="2707"/>
      <c r="AA68" s="2707"/>
      <c r="AB68" s="2707"/>
      <c r="AC68" s="2707"/>
    </row>
    <row r="69" spans="1:29" ht="15">
      <c r="A69" s="483"/>
      <c r="B69" s="497"/>
      <c r="C69" s="498">
        <v>0</v>
      </c>
      <c r="D69" s="498">
        <v>3</v>
      </c>
      <c r="E69" s="498"/>
      <c r="F69" s="498"/>
      <c r="G69" s="498"/>
      <c r="H69" s="498"/>
      <c r="I69" s="498"/>
      <c r="J69" s="498"/>
      <c r="K69" s="499"/>
      <c r="L69" s="500"/>
      <c r="M69" s="501"/>
      <c r="N69" s="2735"/>
      <c r="O69" s="2735"/>
      <c r="P69" s="2744"/>
      <c r="Q69" s="2721"/>
      <c r="R69" s="2707"/>
      <c r="S69" s="2707"/>
      <c r="T69" s="2707"/>
      <c r="U69" s="2707"/>
      <c r="V69" s="2707"/>
      <c r="W69" s="2707"/>
      <c r="X69" s="2707"/>
      <c r="Y69" s="2707"/>
      <c r="Z69" s="2707"/>
      <c r="AA69" s="2707"/>
      <c r="AB69" s="2707"/>
      <c r="AC69" s="270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6"/>
      <c r="O70" s="2736"/>
      <c r="P70" s="2744"/>
      <c r="Q70" s="2721"/>
      <c r="R70" s="2707"/>
      <c r="S70" s="2707"/>
      <c r="T70" s="2707"/>
      <c r="U70" s="2707"/>
      <c r="V70" s="2707"/>
      <c r="W70" s="2707"/>
      <c r="X70" s="2707"/>
      <c r="Y70" s="2707"/>
      <c r="Z70" s="2707"/>
      <c r="AA70" s="2707"/>
      <c r="AB70" s="2707"/>
      <c r="AC70" s="2707"/>
    </row>
    <row r="71" spans="1:29" s="422" customFormat="1" ht="15.75" thickTop="1">
      <c r="A71" s="502"/>
      <c r="B71" s="487">
        <f>B12</f>
        <v>111</v>
      </c>
      <c r="C71" s="503"/>
      <c r="D71" s="503"/>
      <c r="E71" s="503"/>
      <c r="F71" s="503"/>
      <c r="G71" s="503"/>
      <c r="H71" s="504"/>
      <c r="I71" s="504"/>
      <c r="J71" s="504"/>
      <c r="K71" s="504"/>
      <c r="L71" s="505"/>
      <c r="M71" s="506"/>
      <c r="N71" s="2737"/>
      <c r="O71" s="2737"/>
      <c r="P71" s="2745"/>
      <c r="Q71" s="2728"/>
      <c r="R71" s="2729"/>
      <c r="S71" s="2729"/>
      <c r="T71" s="2729"/>
      <c r="U71" s="2729"/>
      <c r="V71" s="2729"/>
      <c r="W71" s="2729"/>
      <c r="X71" s="2729"/>
      <c r="Y71" s="2729"/>
      <c r="Z71" s="2729"/>
      <c r="AA71" s="2729"/>
      <c r="AB71" s="2729"/>
      <c r="AC71" s="2729"/>
    </row>
    <row r="72" spans="1:29" s="422" customFormat="1" ht="15.75" thickBot="1">
      <c r="A72" s="502"/>
      <c r="B72" s="492"/>
      <c r="C72" s="509"/>
      <c r="D72" s="485"/>
      <c r="E72" s="485"/>
      <c r="F72" s="485"/>
      <c r="G72" s="485"/>
      <c r="H72" s="485"/>
      <c r="I72" s="485"/>
      <c r="J72" s="485"/>
      <c r="K72" s="485"/>
      <c r="L72" s="485"/>
      <c r="M72" s="486"/>
      <c r="N72" s="2736"/>
      <c r="O72" s="2736"/>
      <c r="P72" s="2745"/>
      <c r="Q72" s="2728"/>
      <c r="R72" s="2729"/>
      <c r="S72" s="2729"/>
      <c r="T72" s="2729"/>
      <c r="U72" s="2729"/>
      <c r="V72" s="2729"/>
      <c r="W72" s="2729"/>
      <c r="X72" s="2729"/>
      <c r="Y72" s="2729"/>
      <c r="Z72" s="2729"/>
      <c r="AA72" s="2729"/>
      <c r="AB72" s="2729"/>
      <c r="AC72" s="2729"/>
    </row>
    <row r="73" spans="1:29" s="422" customFormat="1" ht="15.75" thickTop="1">
      <c r="A73" s="502"/>
      <c r="B73" s="487">
        <f>B13</f>
        <v>111</v>
      </c>
      <c r="C73" s="503"/>
      <c r="D73" s="503"/>
      <c r="E73" s="503"/>
      <c r="F73" s="503"/>
      <c r="G73" s="503"/>
      <c r="H73" s="504"/>
      <c r="I73" s="504"/>
      <c r="J73" s="504"/>
      <c r="K73" s="504"/>
      <c r="L73" s="505"/>
      <c r="M73" s="506"/>
      <c r="N73" s="2737"/>
      <c r="O73" s="2737"/>
      <c r="P73" s="2746"/>
      <c r="Q73" s="2731"/>
      <c r="R73" s="2729"/>
      <c r="S73" s="2729"/>
      <c r="T73" s="2729"/>
      <c r="U73" s="2729"/>
      <c r="V73" s="2729"/>
      <c r="W73" s="2729"/>
      <c r="X73" s="2729"/>
      <c r="Y73" s="2729"/>
      <c r="Z73" s="2729"/>
      <c r="AA73" s="2729"/>
      <c r="AB73" s="2729"/>
      <c r="AC73" s="2729"/>
    </row>
    <row r="74" spans="1:29" s="422" customFormat="1" ht="15.75" thickBot="1">
      <c r="A74" s="502"/>
      <c r="B74" s="492"/>
      <c r="C74" s="509"/>
      <c r="D74" s="509"/>
      <c r="E74" s="509"/>
      <c r="F74" s="509"/>
      <c r="G74" s="509"/>
      <c r="H74" s="511"/>
      <c r="I74" s="511"/>
      <c r="J74" s="511"/>
      <c r="K74" s="511"/>
      <c r="L74" s="511"/>
      <c r="M74" s="512"/>
      <c r="N74" s="2737"/>
      <c r="O74" s="2737"/>
      <c r="P74" s="2745"/>
      <c r="Q74" s="2728"/>
      <c r="R74" s="2729"/>
      <c r="S74" s="2729"/>
      <c r="T74" s="2729"/>
      <c r="U74" s="2729"/>
      <c r="V74" s="2729"/>
      <c r="W74" s="2729"/>
      <c r="X74" s="2729"/>
      <c r="Y74" s="2729"/>
      <c r="Z74" s="2729"/>
      <c r="AA74" s="2729"/>
      <c r="AB74" s="2729"/>
      <c r="AC74" s="2729"/>
    </row>
    <row r="75" spans="1:29" s="422" customFormat="1" ht="15.75" thickTop="1">
      <c r="A75" s="502"/>
      <c r="B75" s="495">
        <f>B14</f>
        <v>111</v>
      </c>
      <c r="C75" s="472"/>
      <c r="D75" s="472"/>
      <c r="E75" s="472"/>
      <c r="F75" s="472"/>
      <c r="G75" s="472"/>
      <c r="H75" s="513"/>
      <c r="I75" s="513"/>
      <c r="J75" s="513"/>
      <c r="K75" s="513"/>
      <c r="L75" s="514"/>
      <c r="M75" s="515"/>
      <c r="N75" s="2737"/>
      <c r="O75" s="2737"/>
      <c r="P75" s="2747"/>
      <c r="Q75" s="2728"/>
      <c r="R75" s="2729"/>
      <c r="S75" s="2729"/>
      <c r="T75" s="2729"/>
      <c r="U75" s="2729"/>
      <c r="V75" s="2729"/>
      <c r="W75" s="2729"/>
      <c r="X75" s="2729"/>
      <c r="Y75" s="2729"/>
      <c r="Z75" s="2729"/>
      <c r="AA75" s="2729"/>
      <c r="AB75" s="2729"/>
      <c r="AC75" s="2729"/>
    </row>
    <row r="76" spans="1:29" s="422" customFormat="1" ht="15.75" thickBot="1">
      <c r="A76" s="517"/>
      <c r="B76" s="518"/>
      <c r="C76" s="519"/>
      <c r="D76" s="519"/>
      <c r="E76" s="519"/>
      <c r="F76" s="519"/>
      <c r="G76" s="519"/>
      <c r="H76" s="520"/>
      <c r="I76" s="520"/>
      <c r="J76" s="520"/>
      <c r="K76" s="520"/>
      <c r="L76" s="520"/>
      <c r="M76" s="521"/>
      <c r="N76" s="2737"/>
      <c r="O76" s="2737"/>
      <c r="P76" s="2745"/>
      <c r="Q76" s="2728"/>
      <c r="R76" s="2729"/>
      <c r="S76" s="2729"/>
      <c r="T76" s="2729"/>
      <c r="U76" s="2729"/>
      <c r="V76" s="2729"/>
      <c r="W76" s="2729"/>
      <c r="X76" s="2729"/>
      <c r="Y76" s="2729"/>
      <c r="Z76" s="2729"/>
      <c r="AA76" s="2729"/>
      <c r="AB76" s="2729"/>
      <c r="AC76" s="2729"/>
    </row>
    <row r="77" spans="1:29">
      <c r="A77" s="476" t="s">
        <v>1689</v>
      </c>
      <c r="B77" s="477" t="s">
        <v>1820</v>
      </c>
      <c r="C77" s="522" t="s">
        <v>1720</v>
      </c>
      <c r="D77" s="522" t="s">
        <v>1721</v>
      </c>
      <c r="E77" s="522" t="s">
        <v>1722</v>
      </c>
      <c r="F77" s="522" t="s">
        <v>1723</v>
      </c>
      <c r="G77" s="522" t="s">
        <v>1724</v>
      </c>
      <c r="H77" s="478"/>
      <c r="I77" s="478"/>
      <c r="J77" s="478"/>
      <c r="K77" s="523"/>
      <c r="L77" s="524"/>
      <c r="M77" s="525"/>
      <c r="N77" s="2735"/>
      <c r="O77" s="2735"/>
      <c r="P77" s="2748"/>
      <c r="Q77" s="2721"/>
      <c r="R77" s="2707"/>
      <c r="S77" s="2707"/>
      <c r="T77" s="2707"/>
      <c r="U77" s="2707"/>
      <c r="V77" s="2707"/>
      <c r="W77" s="2707"/>
      <c r="X77" s="2707"/>
      <c r="Y77" s="2707"/>
      <c r="Z77" s="2707"/>
      <c r="AA77" s="2707"/>
      <c r="AB77" s="2707"/>
      <c r="AC77" s="2707"/>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6"/>
      <c r="O78" s="2736"/>
      <c r="P78" s="2744"/>
      <c r="Q78" s="2721"/>
      <c r="R78" s="2707"/>
      <c r="S78" s="2707"/>
      <c r="T78" s="2707"/>
      <c r="U78" s="2707"/>
      <c r="V78" s="2707"/>
      <c r="W78" s="2707"/>
      <c r="X78" s="2707"/>
      <c r="Y78" s="2707"/>
      <c r="Z78" s="2707"/>
      <c r="AA78" s="2707"/>
      <c r="AB78" s="2707"/>
      <c r="AC78" s="2707"/>
    </row>
    <row r="79" spans="1:29" ht="15.75" thickTop="1">
      <c r="A79" s="483"/>
      <c r="B79" s="487" t="s">
        <v>1725</v>
      </c>
      <c r="C79" s="527" t="s">
        <v>1720</v>
      </c>
      <c r="D79" s="527" t="s">
        <v>1721</v>
      </c>
      <c r="E79" s="527" t="s">
        <v>1722</v>
      </c>
      <c r="F79" s="527" t="s">
        <v>1723</v>
      </c>
      <c r="G79" s="527" t="s">
        <v>1724</v>
      </c>
      <c r="H79" s="488"/>
      <c r="I79" s="488"/>
      <c r="J79" s="488"/>
      <c r="K79" s="489"/>
      <c r="L79" s="490"/>
      <c r="M79" s="491"/>
      <c r="N79" s="2735"/>
      <c r="O79" s="2735"/>
      <c r="P79" s="2744"/>
      <c r="Q79" s="2721"/>
      <c r="R79" s="2707"/>
      <c r="S79" s="2707"/>
      <c r="T79" s="2707"/>
      <c r="U79" s="2707"/>
      <c r="V79" s="2707"/>
      <c r="W79" s="2707"/>
      <c r="X79" s="2707"/>
      <c r="Y79" s="2707"/>
      <c r="Z79" s="2707"/>
      <c r="AA79" s="2707"/>
      <c r="AB79" s="2707"/>
      <c r="AC79" s="2707"/>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6"/>
      <c r="O80" s="2736"/>
      <c r="P80" s="2744"/>
      <c r="Q80" s="2721"/>
      <c r="R80" s="2707"/>
      <c r="S80" s="2707"/>
      <c r="T80" s="2707"/>
      <c r="U80" s="2707"/>
      <c r="V80" s="2707"/>
      <c r="W80" s="2707"/>
      <c r="X80" s="2707"/>
      <c r="Y80" s="2707"/>
      <c r="Z80" s="2707"/>
      <c r="AA80" s="2707"/>
      <c r="AB80" s="2707"/>
      <c r="AC80" s="2707"/>
    </row>
    <row r="81" spans="1:29" ht="15.75" thickTop="1">
      <c r="A81" s="483"/>
      <c r="B81" s="487" t="s">
        <v>1726</v>
      </c>
      <c r="C81" s="527" t="s">
        <v>1720</v>
      </c>
      <c r="D81" s="527" t="s">
        <v>1721</v>
      </c>
      <c r="E81" s="527" t="s">
        <v>1722</v>
      </c>
      <c r="F81" s="527" t="s">
        <v>1723</v>
      </c>
      <c r="G81" s="527" t="s">
        <v>1724</v>
      </c>
      <c r="H81" s="488"/>
      <c r="I81" s="488"/>
      <c r="J81" s="488"/>
      <c r="K81" s="489"/>
      <c r="L81" s="490"/>
      <c r="M81" s="491"/>
      <c r="N81" s="2735"/>
      <c r="O81" s="2735"/>
      <c r="P81" s="2744"/>
      <c r="Q81" s="2721"/>
      <c r="R81" s="2707"/>
      <c r="S81" s="2707"/>
      <c r="T81" s="2707"/>
      <c r="U81" s="2707"/>
      <c r="V81" s="2707"/>
      <c r="W81" s="2707"/>
      <c r="X81" s="2707"/>
      <c r="Y81" s="2707"/>
      <c r="Z81" s="2707"/>
      <c r="AA81" s="2707"/>
      <c r="AB81" s="2707"/>
      <c r="AC81" s="2707"/>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6"/>
      <c r="O82" s="2736"/>
      <c r="P82" s="2744"/>
      <c r="Q82" s="2721"/>
      <c r="R82" s="2707"/>
      <c r="S82" s="2707"/>
      <c r="T82" s="2707"/>
      <c r="U82" s="2707"/>
      <c r="V82" s="2707"/>
      <c r="W82" s="2707"/>
      <c r="X82" s="2707"/>
      <c r="Y82" s="2707"/>
      <c r="Z82" s="2707"/>
      <c r="AA82" s="2707"/>
      <c r="AB82" s="2707"/>
      <c r="AC82" s="2707"/>
    </row>
    <row r="83" spans="1:29" ht="15.75" thickTop="1">
      <c r="A83" s="483"/>
      <c r="B83" s="495" t="s">
        <v>1812</v>
      </c>
      <c r="C83" s="608" t="s">
        <v>1798</v>
      </c>
      <c r="D83" s="608" t="s">
        <v>1799</v>
      </c>
      <c r="E83" s="608" t="s">
        <v>1800</v>
      </c>
      <c r="F83" s="608" t="s">
        <v>1801</v>
      </c>
      <c r="G83" s="608" t="s">
        <v>1802</v>
      </c>
      <c r="H83" s="488"/>
      <c r="I83" s="488"/>
      <c r="J83" s="488"/>
      <c r="K83" s="488"/>
      <c r="L83" s="488"/>
      <c r="M83" s="1129"/>
      <c r="N83" s="2736"/>
      <c r="O83" s="2736"/>
      <c r="P83" s="2744"/>
      <c r="Q83" s="2721"/>
      <c r="R83" s="2707"/>
      <c r="S83" s="2707"/>
      <c r="T83" s="2707"/>
      <c r="U83" s="2707"/>
      <c r="V83" s="2707"/>
      <c r="W83" s="2707"/>
      <c r="X83" s="2707"/>
      <c r="Y83" s="2707"/>
      <c r="Z83" s="2707"/>
      <c r="AA83" s="2707"/>
      <c r="AB83" s="2707"/>
      <c r="AC83" s="2707"/>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6"/>
      <c r="O84" s="2736"/>
      <c r="P84" s="2744"/>
      <c r="Q84" s="2721"/>
      <c r="R84" s="2707"/>
      <c r="S84" s="2707"/>
      <c r="T84" s="2707"/>
      <c r="U84" s="2707"/>
      <c r="V84" s="2707"/>
      <c r="W84" s="2707"/>
      <c r="X84" s="2707"/>
      <c r="Y84" s="2707"/>
      <c r="Z84" s="2707"/>
      <c r="AA84" s="2707"/>
      <c r="AB84" s="2707"/>
      <c r="AC84" s="2707"/>
    </row>
    <row r="85" spans="1:29" ht="15.75" thickTop="1">
      <c r="A85" s="483"/>
      <c r="B85" s="487" t="s">
        <v>1821</v>
      </c>
      <c r="C85" s="527" t="s">
        <v>1720</v>
      </c>
      <c r="D85" s="527" t="s">
        <v>1721</v>
      </c>
      <c r="E85" s="527" t="s">
        <v>1722</v>
      </c>
      <c r="F85" s="527" t="s">
        <v>1723</v>
      </c>
      <c r="G85" s="527" t="s">
        <v>1724</v>
      </c>
      <c r="H85" s="488"/>
      <c r="I85" s="488"/>
      <c r="J85" s="488"/>
      <c r="K85" s="489"/>
      <c r="L85" s="490"/>
      <c r="M85" s="491"/>
      <c r="N85" s="2735"/>
      <c r="O85" s="2735"/>
      <c r="P85" s="2744"/>
      <c r="Q85" s="2721"/>
      <c r="R85" s="2707"/>
      <c r="S85" s="2707"/>
      <c r="T85" s="2707"/>
      <c r="U85" s="2707"/>
      <c r="V85" s="2707"/>
      <c r="W85" s="2707"/>
      <c r="X85" s="2707"/>
      <c r="Y85" s="2707"/>
      <c r="Z85" s="2707"/>
      <c r="AA85" s="2707"/>
      <c r="AB85" s="2707"/>
      <c r="AC85" s="2707"/>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6"/>
      <c r="O86" s="2736"/>
      <c r="P86" s="2744"/>
      <c r="Q86" s="2721"/>
      <c r="R86" s="2707"/>
      <c r="S86" s="2707"/>
      <c r="T86" s="2707"/>
      <c r="U86" s="2707"/>
      <c r="V86" s="2707"/>
      <c r="W86" s="2707"/>
      <c r="X86" s="2707"/>
      <c r="Y86" s="2707"/>
      <c r="Z86" s="2707"/>
      <c r="AA86" s="2707"/>
      <c r="AB86" s="2707"/>
      <c r="AC86" s="2707"/>
    </row>
    <row r="87" spans="1:29" s="108" customFormat="1" ht="27.75" thickTop="1">
      <c r="A87" s="528"/>
      <c r="B87" s="487" t="s">
        <v>1822</v>
      </c>
      <c r="C87" s="503"/>
      <c r="D87" s="503"/>
      <c r="E87" s="503"/>
      <c r="F87" s="503"/>
      <c r="G87" s="503"/>
      <c r="H87" s="503"/>
      <c r="I87" s="503"/>
      <c r="J87" s="503"/>
      <c r="K87" s="503"/>
      <c r="L87" s="529"/>
      <c r="M87" s="530"/>
      <c r="N87" s="2734"/>
      <c r="O87" s="2734"/>
      <c r="P87" s="2744"/>
      <c r="Q87" s="2721"/>
      <c r="R87" s="2643"/>
      <c r="S87" s="2643"/>
      <c r="T87" s="2643"/>
      <c r="U87" s="2643"/>
      <c r="V87" s="2643"/>
      <c r="W87" s="2643"/>
      <c r="X87" s="2643"/>
      <c r="Y87" s="2643"/>
      <c r="Z87" s="2643"/>
      <c r="AA87" s="2643"/>
      <c r="AB87" s="2643"/>
      <c r="AC87" s="2643"/>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6"/>
      <c r="O88" s="2736"/>
      <c r="P88" s="2744"/>
      <c r="Q88" s="2721"/>
      <c r="R88" s="2643"/>
      <c r="S88" s="2643"/>
      <c r="T88" s="2643"/>
      <c r="U88" s="2643"/>
      <c r="V88" s="2643"/>
      <c r="W88" s="2643"/>
      <c r="X88" s="2643"/>
      <c r="Y88" s="2643"/>
      <c r="Z88" s="2643"/>
      <c r="AA88" s="2643"/>
      <c r="AB88" s="2643"/>
      <c r="AC88" s="2643"/>
    </row>
    <row r="89" spans="1:29" s="108" customFormat="1" ht="15.75" thickTop="1">
      <c r="A89" s="528"/>
      <c r="B89" s="487" t="str">
        <f>B27</f>
        <v>楼层</v>
      </c>
      <c r="C89" s="503"/>
      <c r="D89" s="503"/>
      <c r="E89" s="503"/>
      <c r="F89" s="1927"/>
      <c r="G89" s="503"/>
      <c r="H89" s="503"/>
      <c r="I89" s="503"/>
      <c r="J89" s="503"/>
      <c r="K89" s="503"/>
      <c r="L89" s="503"/>
      <c r="M89" s="530"/>
      <c r="N89" s="2734"/>
      <c r="O89" s="2734"/>
      <c r="P89" s="2744"/>
      <c r="Q89" s="2721"/>
      <c r="R89" s="2643"/>
      <c r="S89" s="2643"/>
      <c r="T89" s="2643"/>
      <c r="U89" s="2643"/>
      <c r="V89" s="2643"/>
      <c r="W89" s="2643"/>
      <c r="X89" s="2643"/>
      <c r="Y89" s="2643"/>
      <c r="Z89" s="2643"/>
      <c r="AA89" s="2643"/>
      <c r="AB89" s="2643"/>
      <c r="AC89" s="2643"/>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6"/>
      <c r="O90" s="2736"/>
      <c r="P90" s="2744"/>
      <c r="Q90" s="2721"/>
      <c r="R90" s="2643"/>
      <c r="S90" s="2643"/>
      <c r="T90" s="2643"/>
      <c r="U90" s="2643"/>
      <c r="V90" s="2643"/>
      <c r="W90" s="2643"/>
      <c r="X90" s="2643"/>
      <c r="Y90" s="2643"/>
      <c r="Z90" s="2643"/>
      <c r="AA90" s="2643"/>
      <c r="AB90" s="2643"/>
      <c r="AC90" s="2643"/>
    </row>
    <row r="91" spans="1:29" s="422" customFormat="1" ht="15.75" thickTop="1">
      <c r="A91" s="502"/>
      <c r="B91" s="487" t="str">
        <f>B28</f>
        <v>朝向</v>
      </c>
      <c r="C91" s="503"/>
      <c r="D91" s="503"/>
      <c r="E91" s="503"/>
      <c r="F91" s="503"/>
      <c r="G91" s="503"/>
      <c r="H91" s="504"/>
      <c r="I91" s="504"/>
      <c r="J91" s="504"/>
      <c r="K91" s="504"/>
      <c r="L91" s="505"/>
      <c r="M91" s="506"/>
      <c r="N91" s="2737"/>
      <c r="O91" s="2737"/>
      <c r="P91" s="2745"/>
      <c r="Q91" s="2728"/>
      <c r="R91" s="2729"/>
      <c r="S91" s="2729"/>
      <c r="T91" s="2729"/>
      <c r="U91" s="2729"/>
      <c r="V91" s="2729"/>
      <c r="W91" s="2729"/>
      <c r="X91" s="2729"/>
      <c r="Y91" s="2729"/>
      <c r="Z91" s="2729"/>
      <c r="AA91" s="2729"/>
      <c r="AB91" s="2729"/>
      <c r="AC91" s="272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7"/>
      <c r="O92" s="2737"/>
      <c r="P92" s="2745"/>
      <c r="Q92" s="2728"/>
      <c r="R92" s="2729"/>
      <c r="S92" s="2729"/>
      <c r="T92" s="2729"/>
      <c r="U92" s="2729"/>
      <c r="V92" s="2729"/>
      <c r="W92" s="2729"/>
      <c r="X92" s="2729"/>
      <c r="Y92" s="2729"/>
      <c r="Z92" s="2729"/>
      <c r="AA92" s="2729"/>
      <c r="AB92" s="2729"/>
      <c r="AC92" s="2729"/>
    </row>
    <row r="93" spans="1:29" ht="15.75" thickTop="1">
      <c r="A93" s="483"/>
      <c r="B93" s="487">
        <f>B29</f>
        <v>111</v>
      </c>
      <c r="C93" s="503"/>
      <c r="D93" s="503"/>
      <c r="E93" s="503"/>
      <c r="F93" s="503"/>
      <c r="G93" s="503"/>
      <c r="H93" s="503"/>
      <c r="I93" s="503"/>
      <c r="J93" s="503"/>
      <c r="K93" s="503"/>
      <c r="L93" s="529"/>
      <c r="M93" s="530"/>
      <c r="N93" s="2735"/>
      <c r="O93" s="2735"/>
      <c r="P93" s="2744"/>
      <c r="Q93" s="2721"/>
      <c r="R93" s="2707"/>
      <c r="S93" s="2707"/>
      <c r="T93" s="2707"/>
      <c r="U93" s="2707"/>
      <c r="V93" s="2707"/>
      <c r="W93" s="2707"/>
      <c r="X93" s="2707"/>
      <c r="Y93" s="2707"/>
      <c r="Z93" s="2707"/>
      <c r="AA93" s="2707"/>
      <c r="AB93" s="2707"/>
      <c r="AC93" s="2707"/>
    </row>
    <row r="94" spans="1:29" ht="15.75" thickBot="1">
      <c r="A94" s="483"/>
      <c r="B94" s="492"/>
      <c r="C94" s="509"/>
      <c r="D94" s="485"/>
      <c r="E94" s="485"/>
      <c r="F94" s="485"/>
      <c r="G94" s="485"/>
      <c r="H94" s="485"/>
      <c r="I94" s="485"/>
      <c r="J94" s="485"/>
      <c r="K94" s="485"/>
      <c r="L94" s="485"/>
      <c r="M94" s="486"/>
      <c r="N94" s="2736"/>
      <c r="O94" s="2736"/>
      <c r="P94" s="2744"/>
      <c r="Q94" s="2721"/>
      <c r="R94" s="2707"/>
      <c r="S94" s="2707"/>
      <c r="T94" s="2707"/>
      <c r="U94" s="2707"/>
      <c r="V94" s="2707"/>
      <c r="W94" s="2707"/>
      <c r="X94" s="2707"/>
      <c r="Y94" s="2707"/>
      <c r="Z94" s="2707"/>
      <c r="AA94" s="2707"/>
      <c r="AB94" s="2707"/>
      <c r="AC94" s="2707"/>
    </row>
    <row r="95" spans="1:29" ht="15.75" thickTop="1">
      <c r="A95" s="483"/>
      <c r="B95" s="487">
        <f>B30</f>
        <v>111</v>
      </c>
      <c r="C95" s="503"/>
      <c r="D95" s="503"/>
      <c r="E95" s="503"/>
      <c r="F95" s="503"/>
      <c r="G95" s="532"/>
      <c r="H95" s="532"/>
      <c r="I95" s="532"/>
      <c r="J95" s="532"/>
      <c r="K95" s="533"/>
      <c r="L95" s="534"/>
      <c r="M95" s="535"/>
      <c r="N95" s="2735"/>
      <c r="O95" s="2735"/>
      <c r="P95" s="2744"/>
      <c r="Q95" s="2721"/>
      <c r="R95" s="2707"/>
      <c r="S95" s="2707"/>
      <c r="T95" s="2707"/>
      <c r="U95" s="2707"/>
      <c r="V95" s="2707"/>
      <c r="W95" s="2707"/>
      <c r="X95" s="2707"/>
      <c r="Y95" s="2707"/>
      <c r="Z95" s="2707"/>
      <c r="AA95" s="2707"/>
      <c r="AB95" s="2707"/>
      <c r="AC95" s="2707"/>
    </row>
    <row r="96" spans="1:29" ht="15.75" thickBot="1">
      <c r="A96" s="483"/>
      <c r="B96" s="492"/>
      <c r="C96" s="509"/>
      <c r="D96" s="509"/>
      <c r="E96" s="509"/>
      <c r="F96" s="509"/>
      <c r="G96" s="485"/>
      <c r="H96" s="485"/>
      <c r="I96" s="485"/>
      <c r="J96" s="485"/>
      <c r="K96" s="485"/>
      <c r="L96" s="485"/>
      <c r="M96" s="486"/>
      <c r="N96" s="2736"/>
      <c r="O96" s="2736"/>
      <c r="P96" s="2744"/>
      <c r="Q96" s="2721"/>
      <c r="R96" s="2707"/>
      <c r="S96" s="2707"/>
      <c r="T96" s="2707"/>
      <c r="U96" s="2707"/>
      <c r="V96" s="2707"/>
      <c r="W96" s="2707"/>
      <c r="X96" s="2707"/>
      <c r="Y96" s="2707"/>
      <c r="Z96" s="2707"/>
      <c r="AA96" s="2707"/>
      <c r="AB96" s="2707"/>
      <c r="AC96" s="2707"/>
    </row>
    <row r="97" spans="1:29" ht="15.75" thickTop="1">
      <c r="A97" s="483"/>
      <c r="B97" s="487">
        <f>B31</f>
        <v>111</v>
      </c>
      <c r="C97" s="503"/>
      <c r="D97" s="503"/>
      <c r="E97" s="503"/>
      <c r="F97" s="503"/>
      <c r="G97" s="532"/>
      <c r="H97" s="532"/>
      <c r="I97" s="532"/>
      <c r="J97" s="532"/>
      <c r="K97" s="533"/>
      <c r="L97" s="534"/>
      <c r="M97" s="535"/>
      <c r="N97" s="2735"/>
      <c r="O97" s="2735"/>
      <c r="P97" s="2744"/>
      <c r="Q97" s="2721"/>
      <c r="R97" s="2707"/>
      <c r="S97" s="2707"/>
      <c r="T97" s="2707"/>
      <c r="U97" s="2707"/>
      <c r="V97" s="2707"/>
      <c r="W97" s="2707"/>
      <c r="X97" s="2707"/>
      <c r="Y97" s="2707"/>
      <c r="Z97" s="2707"/>
      <c r="AA97" s="2707"/>
      <c r="AB97" s="2707"/>
      <c r="AC97" s="2707"/>
    </row>
    <row r="98" spans="1:29" ht="15.75" thickBot="1">
      <c r="A98" s="483"/>
      <c r="B98" s="492"/>
      <c r="C98" s="509"/>
      <c r="D98" s="485"/>
      <c r="E98" s="485"/>
      <c r="F98" s="485"/>
      <c r="G98" s="485"/>
      <c r="H98" s="485"/>
      <c r="I98" s="485"/>
      <c r="J98" s="485"/>
      <c r="K98" s="485"/>
      <c r="L98" s="485"/>
      <c r="M98" s="486"/>
      <c r="N98" s="2736"/>
      <c r="O98" s="2736"/>
      <c r="P98" s="2744"/>
      <c r="Q98" s="2721"/>
      <c r="R98" s="2707"/>
      <c r="S98" s="2707"/>
      <c r="T98" s="2707"/>
      <c r="U98" s="2707"/>
      <c r="V98" s="2707"/>
      <c r="W98" s="2707"/>
      <c r="X98" s="2707"/>
      <c r="Y98" s="2707"/>
      <c r="Z98" s="2707"/>
      <c r="AA98" s="2707"/>
      <c r="AB98" s="2707"/>
      <c r="AC98" s="2707"/>
    </row>
    <row r="99" spans="1:29" ht="15.75" thickTop="1">
      <c r="A99" s="483"/>
      <c r="B99" s="495">
        <f>B32</f>
        <v>111</v>
      </c>
      <c r="C99" s="472"/>
      <c r="D99" s="472"/>
      <c r="E99" s="472"/>
      <c r="F99" s="472"/>
      <c r="G99" s="536"/>
      <c r="H99" s="536"/>
      <c r="I99" s="536"/>
      <c r="J99" s="536"/>
      <c r="K99" s="537"/>
      <c r="L99" s="538"/>
      <c r="M99" s="539"/>
      <c r="N99" s="2735"/>
      <c r="O99" s="2735"/>
      <c r="P99" s="2744"/>
      <c r="Q99" s="2721"/>
      <c r="R99" s="2707"/>
      <c r="S99" s="2707"/>
      <c r="T99" s="2707"/>
      <c r="U99" s="2707"/>
      <c r="V99" s="2707"/>
      <c r="W99" s="2707"/>
      <c r="X99" s="2707"/>
      <c r="Y99" s="2707"/>
      <c r="Z99" s="2707"/>
      <c r="AA99" s="2707"/>
      <c r="AB99" s="2707"/>
      <c r="AC99" s="2707"/>
    </row>
    <row r="100" spans="1:29" ht="15.75" thickBot="1">
      <c r="A100" s="1928"/>
      <c r="B100" s="518"/>
      <c r="C100" s="519"/>
      <c r="D100" s="519"/>
      <c r="E100" s="519"/>
      <c r="F100" s="519"/>
      <c r="G100" s="540"/>
      <c r="H100" s="540"/>
      <c r="I100" s="540"/>
      <c r="J100" s="540"/>
      <c r="K100" s="540"/>
      <c r="L100" s="540"/>
      <c r="M100" s="541"/>
      <c r="N100" s="2736"/>
      <c r="O100" s="2736"/>
      <c r="P100" s="2744"/>
      <c r="Q100" s="2721"/>
      <c r="R100" s="2707"/>
      <c r="S100" s="2707"/>
      <c r="T100" s="2707"/>
      <c r="U100" s="2707"/>
      <c r="V100" s="2707"/>
      <c r="W100" s="2707"/>
      <c r="X100" s="2707"/>
      <c r="Y100" s="2707"/>
      <c r="Z100" s="2707"/>
      <c r="AA100" s="2707"/>
      <c r="AB100" s="2707"/>
      <c r="AC100" s="2707"/>
    </row>
    <row r="101" spans="1:29">
      <c r="A101" s="476" t="s">
        <v>1693</v>
      </c>
      <c r="B101" s="477" t="s">
        <v>1735</v>
      </c>
      <c r="C101" s="479"/>
      <c r="D101" s="479"/>
      <c r="E101" s="479"/>
      <c r="F101" s="479"/>
      <c r="G101" s="479"/>
      <c r="H101" s="479"/>
      <c r="I101" s="479"/>
      <c r="J101" s="479"/>
      <c r="K101" s="480"/>
      <c r="L101" s="481"/>
      <c r="M101" s="482"/>
      <c r="N101" s="2735"/>
      <c r="O101" s="2735"/>
      <c r="P101" s="2744"/>
      <c r="Q101" s="2721"/>
      <c r="R101" s="2707"/>
      <c r="S101" s="2707"/>
      <c r="T101" s="2707"/>
      <c r="U101" s="2707"/>
      <c r="V101" s="2707"/>
      <c r="W101" s="2707"/>
      <c r="X101" s="2707"/>
      <c r="Y101" s="2707"/>
      <c r="Z101" s="2707"/>
      <c r="AA101" s="2707"/>
      <c r="AB101" s="2707"/>
      <c r="AC101" s="2707"/>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6"/>
      <c r="O102" s="2736"/>
      <c r="P102" s="2744"/>
      <c r="Q102" s="2721"/>
      <c r="R102" s="2707"/>
      <c r="S102" s="2707"/>
      <c r="T102" s="2707"/>
      <c r="U102" s="2707"/>
      <c r="V102" s="2707"/>
      <c r="W102" s="2707"/>
      <c r="X102" s="2707"/>
      <c r="Y102" s="2707"/>
      <c r="Z102" s="2707"/>
      <c r="AA102" s="2707"/>
      <c r="AB102" s="2707"/>
      <c r="AC102" s="2707"/>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4"/>
      <c r="O103" s="2734"/>
      <c r="P103" s="2744"/>
      <c r="Q103" s="2721"/>
      <c r="R103" s="2707"/>
      <c r="S103" s="2707"/>
      <c r="T103" s="2707"/>
      <c r="U103" s="2707"/>
      <c r="V103" s="2707"/>
      <c r="W103" s="2707"/>
      <c r="X103" s="2707"/>
      <c r="Y103" s="2707"/>
      <c r="Z103" s="2707"/>
      <c r="AA103" s="2707"/>
      <c r="AB103" s="2707"/>
      <c r="AC103" s="2707"/>
    </row>
    <row r="104" spans="1:29" s="422" customFormat="1">
      <c r="A104" s="542"/>
      <c r="B104" s="543"/>
      <c r="C104" s="544"/>
      <c r="D104" s="544"/>
      <c r="E104" s="544"/>
      <c r="F104" s="544"/>
      <c r="G104" s="544"/>
      <c r="H104" s="544"/>
      <c r="I104" s="544"/>
      <c r="J104" s="545"/>
      <c r="K104" s="545"/>
      <c r="L104" s="546"/>
      <c r="M104" s="547"/>
      <c r="N104" s="2737"/>
      <c r="O104" s="2737"/>
      <c r="P104" s="2745"/>
      <c r="Q104" s="2728"/>
      <c r="R104" s="2729"/>
      <c r="S104" s="2729"/>
      <c r="T104" s="2729"/>
      <c r="U104" s="2729"/>
      <c r="V104" s="2729"/>
      <c r="W104" s="2729"/>
      <c r="X104" s="2729"/>
      <c r="Y104" s="2729"/>
      <c r="Z104" s="2729"/>
      <c r="AA104" s="2729"/>
      <c r="AB104" s="2729"/>
      <c r="AC104" s="2729"/>
    </row>
    <row r="105" spans="1:29" s="422" customFormat="1" ht="15.75" thickBot="1">
      <c r="A105" s="502"/>
      <c r="B105" s="492"/>
      <c r="C105" s="509"/>
      <c r="D105" s="485"/>
      <c r="E105" s="485"/>
      <c r="F105" s="485"/>
      <c r="G105" s="485"/>
      <c r="H105" s="485"/>
      <c r="I105" s="485"/>
      <c r="J105" s="485"/>
      <c r="K105" s="485"/>
      <c r="L105" s="485"/>
      <c r="M105" s="486"/>
      <c r="N105" s="2736"/>
      <c r="O105" s="2736"/>
      <c r="P105" s="2745"/>
      <c r="Q105" s="2728"/>
      <c r="R105" s="2729"/>
      <c r="S105" s="2729"/>
      <c r="T105" s="2729"/>
      <c r="U105" s="2729"/>
      <c r="V105" s="2729"/>
      <c r="W105" s="2729"/>
      <c r="X105" s="2729"/>
      <c r="Y105" s="2729"/>
      <c r="Z105" s="2729"/>
      <c r="AA105" s="2729"/>
      <c r="AB105" s="2729"/>
      <c r="AC105" s="2729"/>
    </row>
    <row r="106" spans="1:29" ht="15" thickTop="1">
      <c r="A106" s="548"/>
      <c r="B106" s="487" t="s">
        <v>1737</v>
      </c>
      <c r="C106" s="503"/>
      <c r="D106" s="503"/>
      <c r="E106" s="532"/>
      <c r="F106" s="532"/>
      <c r="G106" s="532"/>
      <c r="H106" s="532"/>
      <c r="I106" s="532"/>
      <c r="J106" s="532"/>
      <c r="K106" s="533"/>
      <c r="L106" s="534"/>
      <c r="M106" s="535"/>
      <c r="N106" s="2735"/>
      <c r="O106" s="2735"/>
      <c r="P106" s="2744"/>
      <c r="Q106" s="2721"/>
      <c r="R106" s="2707"/>
      <c r="S106" s="2707"/>
      <c r="T106" s="2707"/>
      <c r="U106" s="2707"/>
      <c r="V106" s="2707"/>
      <c r="W106" s="2707"/>
      <c r="X106" s="2707"/>
      <c r="Y106" s="2707"/>
      <c r="Z106" s="2707"/>
      <c r="AA106" s="2707"/>
      <c r="AB106" s="2707"/>
      <c r="AC106" s="2707"/>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6"/>
      <c r="O107" s="2736"/>
      <c r="P107" s="2744"/>
      <c r="Q107" s="2721"/>
      <c r="R107" s="2707"/>
      <c r="S107" s="2707"/>
      <c r="T107" s="2707"/>
      <c r="U107" s="2707"/>
      <c r="V107" s="2707"/>
      <c r="W107" s="2707"/>
      <c r="X107" s="2707"/>
      <c r="Y107" s="2707"/>
      <c r="Z107" s="2707"/>
      <c r="AA107" s="2707"/>
      <c r="AB107" s="2707"/>
      <c r="AC107" s="2707"/>
    </row>
    <row r="108" spans="1:29" ht="15" thickTop="1">
      <c r="A108" s="548"/>
      <c r="B108" s="487" t="s">
        <v>1739</v>
      </c>
      <c r="C108" s="503"/>
      <c r="D108" s="503"/>
      <c r="E108" s="503"/>
      <c r="F108" s="532"/>
      <c r="G108" s="532"/>
      <c r="H108" s="532"/>
      <c r="I108" s="532"/>
      <c r="J108" s="532"/>
      <c r="K108" s="533"/>
      <c r="L108" s="534"/>
      <c r="M108" s="535"/>
      <c r="N108" s="2735"/>
      <c r="O108" s="2735"/>
      <c r="P108" s="2744"/>
      <c r="Q108" s="2721"/>
      <c r="R108" s="2707"/>
      <c r="S108" s="2707"/>
      <c r="T108" s="2707"/>
      <c r="U108" s="2707"/>
      <c r="V108" s="2707"/>
      <c r="W108" s="2707"/>
      <c r="X108" s="2707"/>
      <c r="Y108" s="2707"/>
      <c r="Z108" s="2707"/>
      <c r="AA108" s="2707"/>
      <c r="AB108" s="2707"/>
      <c r="AC108" s="2707"/>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6"/>
      <c r="O109" s="2736"/>
      <c r="P109" s="2744"/>
      <c r="Q109" s="2721"/>
      <c r="R109" s="2707"/>
      <c r="S109" s="2707"/>
      <c r="T109" s="2707"/>
      <c r="U109" s="2707"/>
      <c r="V109" s="2707"/>
      <c r="W109" s="2707"/>
      <c r="X109" s="2707"/>
      <c r="Y109" s="2707"/>
      <c r="Z109" s="2707"/>
      <c r="AA109" s="2707"/>
      <c r="AB109" s="2707"/>
      <c r="AC109" s="2707"/>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5"/>
      <c r="O110" s="2735"/>
      <c r="P110" s="2744"/>
      <c r="Q110" s="2721"/>
      <c r="R110" s="2707"/>
      <c r="S110" s="2707"/>
      <c r="T110" s="2707"/>
      <c r="U110" s="2707"/>
      <c r="V110" s="2707"/>
      <c r="W110" s="2707"/>
      <c r="X110" s="2707"/>
      <c r="Y110" s="2707"/>
      <c r="Z110" s="2707"/>
      <c r="AA110" s="2707"/>
      <c r="AB110" s="2707"/>
      <c r="AC110" s="2707"/>
    </row>
    <row r="111" spans="1:29">
      <c r="A111" s="548"/>
      <c r="B111" s="495"/>
      <c r="C111" s="552">
        <v>0.5</v>
      </c>
      <c r="D111" s="552">
        <v>0.6</v>
      </c>
      <c r="E111" s="552">
        <v>0.7</v>
      </c>
      <c r="F111" s="552">
        <v>0.8</v>
      </c>
      <c r="G111" s="552">
        <v>0.9</v>
      </c>
      <c r="H111" s="552">
        <v>1.0001</v>
      </c>
      <c r="I111" s="571"/>
      <c r="J111" s="571"/>
      <c r="K111" s="572"/>
      <c r="L111" s="573"/>
      <c r="M111" s="574"/>
      <c r="N111" s="2735"/>
      <c r="O111" s="2735"/>
      <c r="P111" s="2744"/>
      <c r="Q111" s="2721"/>
      <c r="R111" s="2707"/>
      <c r="S111" s="2707"/>
      <c r="T111" s="2707"/>
      <c r="U111" s="2707"/>
      <c r="V111" s="2707"/>
      <c r="W111" s="2707"/>
      <c r="X111" s="2707"/>
      <c r="Y111" s="2707"/>
      <c r="Z111" s="2707"/>
      <c r="AA111" s="2707"/>
      <c r="AB111" s="2707"/>
      <c r="AC111" s="2707"/>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6"/>
      <c r="O112" s="2736"/>
      <c r="P112" s="2744"/>
      <c r="Q112" s="2721"/>
      <c r="R112" s="2707"/>
      <c r="S112" s="2707"/>
      <c r="T112" s="2707"/>
      <c r="U112" s="2707"/>
      <c r="V112" s="2707"/>
      <c r="W112" s="2707"/>
      <c r="X112" s="2707"/>
      <c r="Y112" s="2707"/>
      <c r="Z112" s="2707"/>
      <c r="AA112" s="2707"/>
      <c r="AB112" s="2707"/>
      <c r="AC112" s="2707"/>
    </row>
    <row r="113" spans="1:29" s="422" customFormat="1" ht="15" thickTop="1">
      <c r="A113" s="542"/>
      <c r="B113" s="487" t="s">
        <v>1823</v>
      </c>
      <c r="C113" s="503"/>
      <c r="D113" s="503"/>
      <c r="E113" s="503"/>
      <c r="F113" s="503"/>
      <c r="G113" s="503"/>
      <c r="H113" s="532"/>
      <c r="I113" s="532"/>
      <c r="J113" s="532"/>
      <c r="K113" s="533"/>
      <c r="L113" s="534"/>
      <c r="M113" s="535"/>
      <c r="N113" s="2737"/>
      <c r="O113" s="2737"/>
      <c r="P113" s="2745"/>
      <c r="Q113" s="2728"/>
      <c r="R113" s="2729"/>
      <c r="S113" s="2729"/>
      <c r="T113" s="2729"/>
      <c r="U113" s="2729"/>
      <c r="V113" s="2729"/>
      <c r="W113" s="2729"/>
      <c r="X113" s="2729"/>
      <c r="Y113" s="2729"/>
      <c r="Z113" s="2729"/>
      <c r="AA113" s="2729"/>
      <c r="AB113" s="2729"/>
      <c r="AC113" s="2729"/>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7"/>
      <c r="O114" s="2737"/>
      <c r="P114" s="2745"/>
      <c r="Q114" s="2728"/>
      <c r="R114" s="2729"/>
      <c r="S114" s="2729"/>
      <c r="T114" s="2729"/>
      <c r="U114" s="2729"/>
      <c r="V114" s="2729"/>
      <c r="W114" s="2729"/>
      <c r="X114" s="2729"/>
      <c r="Y114" s="2729"/>
      <c r="Z114" s="2729"/>
      <c r="AA114" s="2729"/>
      <c r="AB114" s="2729"/>
      <c r="AC114" s="2729"/>
    </row>
    <row r="115" spans="1:29" ht="15" thickTop="1">
      <c r="A115" s="548"/>
      <c r="B115" s="487" t="s">
        <v>1740</v>
      </c>
      <c r="C115" s="503"/>
      <c r="D115" s="503"/>
      <c r="E115" s="532"/>
      <c r="F115" s="532"/>
      <c r="G115" s="532"/>
      <c r="H115" s="532"/>
      <c r="I115" s="532"/>
      <c r="J115" s="532"/>
      <c r="K115" s="533"/>
      <c r="L115" s="534"/>
      <c r="M115" s="535"/>
      <c r="N115" s="2735"/>
      <c r="O115" s="2735"/>
      <c r="P115" s="2744"/>
      <c r="Q115" s="2721"/>
      <c r="R115" s="2707"/>
      <c r="S115" s="2707"/>
      <c r="T115" s="2707"/>
      <c r="U115" s="2707"/>
      <c r="V115" s="2707"/>
      <c r="W115" s="2707"/>
      <c r="X115" s="2707"/>
      <c r="Y115" s="2707"/>
      <c r="Z115" s="2707"/>
      <c r="AA115" s="2707"/>
      <c r="AB115" s="2707"/>
      <c r="AC115" s="2707"/>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6"/>
      <c r="O116" s="2736"/>
      <c r="P116" s="2744"/>
      <c r="Q116" s="2721"/>
      <c r="R116" s="2707"/>
      <c r="S116" s="2707"/>
      <c r="T116" s="2707"/>
      <c r="U116" s="2707"/>
      <c r="V116" s="2707"/>
      <c r="W116" s="2707"/>
      <c r="X116" s="2707"/>
      <c r="Y116" s="2707"/>
      <c r="Z116" s="2707"/>
      <c r="AA116" s="2707"/>
      <c r="AB116" s="2707"/>
      <c r="AC116" s="2707"/>
    </row>
    <row r="117" spans="1:29" ht="15" thickTop="1">
      <c r="A117" s="548"/>
      <c r="B117" s="487" t="s">
        <v>1741</v>
      </c>
      <c r="C117" s="503"/>
      <c r="D117" s="503"/>
      <c r="E117" s="503"/>
      <c r="F117" s="503"/>
      <c r="G117" s="503"/>
      <c r="H117" s="532"/>
      <c r="I117" s="532"/>
      <c r="J117" s="532"/>
      <c r="K117" s="533"/>
      <c r="L117" s="534"/>
      <c r="M117" s="535"/>
      <c r="N117" s="2735"/>
      <c r="O117" s="2735"/>
      <c r="P117" s="2744"/>
      <c r="Q117" s="2721"/>
      <c r="R117" s="2707"/>
      <c r="S117" s="2707"/>
      <c r="T117" s="2707"/>
      <c r="U117" s="2707"/>
      <c r="V117" s="2707"/>
      <c r="W117" s="2707"/>
      <c r="X117" s="2707"/>
      <c r="Y117" s="2707"/>
      <c r="Z117" s="2707"/>
      <c r="AA117" s="2707"/>
      <c r="AB117" s="2707"/>
      <c r="AC117" s="2707"/>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6"/>
      <c r="O118" s="2736"/>
      <c r="P118" s="2744"/>
      <c r="Q118" s="2721"/>
      <c r="R118" s="2707"/>
      <c r="S118" s="2707"/>
      <c r="T118" s="2707"/>
      <c r="U118" s="2707"/>
      <c r="V118" s="2707"/>
      <c r="W118" s="2707"/>
      <c r="X118" s="2707"/>
      <c r="Y118" s="2707"/>
      <c r="Z118" s="2707"/>
      <c r="AA118" s="2707"/>
      <c r="AB118" s="2707"/>
      <c r="AC118" s="2707"/>
    </row>
    <row r="119" spans="1:29" ht="15" thickTop="1">
      <c r="A119" s="548"/>
      <c r="B119" s="584" t="s">
        <v>1824</v>
      </c>
      <c r="C119" s="532"/>
      <c r="D119" s="532"/>
      <c r="E119" s="532"/>
      <c r="F119" s="532"/>
      <c r="G119" s="532"/>
      <c r="H119" s="532"/>
      <c r="I119" s="532"/>
      <c r="J119" s="532"/>
      <c r="K119" s="532"/>
      <c r="L119" s="1968"/>
      <c r="M119" s="1969"/>
      <c r="N119" s="2736"/>
      <c r="O119" s="2736"/>
      <c r="P119" s="2749"/>
      <c r="Q119" s="2750"/>
      <c r="R119" s="2707"/>
      <c r="S119" s="2707"/>
      <c r="T119" s="2707"/>
      <c r="U119" s="2707"/>
      <c r="V119" s="2707"/>
      <c r="W119" s="2707"/>
      <c r="X119" s="2707"/>
      <c r="Y119" s="2707"/>
      <c r="Z119" s="2707"/>
      <c r="AA119" s="2707"/>
      <c r="AB119" s="2707"/>
      <c r="AC119" s="2707"/>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6"/>
      <c r="O120" s="2736"/>
      <c r="P120" s="2744"/>
      <c r="Q120" s="2721"/>
      <c r="R120" s="2707"/>
      <c r="S120" s="2707"/>
      <c r="T120" s="2707"/>
      <c r="U120" s="2707"/>
      <c r="V120" s="2707"/>
      <c r="W120" s="2707"/>
      <c r="X120" s="2707"/>
      <c r="Y120" s="2707"/>
      <c r="Z120" s="2707"/>
      <c r="AA120" s="2707"/>
      <c r="AB120" s="2707"/>
      <c r="AC120" s="2707"/>
    </row>
    <row r="121" spans="1:29" s="422" customFormat="1" ht="15" thickTop="1">
      <c r="A121" s="542"/>
      <c r="B121" s="487" t="s">
        <v>1807</v>
      </c>
      <c r="C121" s="503"/>
      <c r="D121" s="503"/>
      <c r="E121" s="503"/>
      <c r="F121" s="532"/>
      <c r="G121" s="504"/>
      <c r="H121" s="504"/>
      <c r="I121" s="504"/>
      <c r="J121" s="504"/>
      <c r="K121" s="504"/>
      <c r="L121" s="505"/>
      <c r="M121" s="506"/>
      <c r="N121" s="2737"/>
      <c r="O121" s="2737"/>
      <c r="P121" s="2745"/>
      <c r="Q121" s="2728"/>
      <c r="R121" s="2729"/>
      <c r="S121" s="2729"/>
      <c r="T121" s="2729"/>
      <c r="U121" s="2729"/>
      <c r="V121" s="2729"/>
      <c r="W121" s="2729"/>
      <c r="X121" s="2729"/>
      <c r="Y121" s="2729"/>
      <c r="Z121" s="2729"/>
      <c r="AA121" s="2729"/>
      <c r="AB121" s="2729"/>
      <c r="AC121" s="2729"/>
    </row>
    <row r="122" spans="1:29" s="422" customFormat="1" ht="15.75" thickBot="1">
      <c r="A122" s="502"/>
      <c r="B122" s="484"/>
      <c r="C122" s="509"/>
      <c r="D122" s="509"/>
      <c r="E122" s="509"/>
      <c r="F122" s="509"/>
      <c r="G122" s="509"/>
      <c r="H122" s="509"/>
      <c r="I122" s="509"/>
      <c r="J122" s="509"/>
      <c r="K122" s="509"/>
      <c r="L122" s="509"/>
      <c r="M122" s="509"/>
      <c r="N122" s="2737"/>
      <c r="O122" s="2737"/>
      <c r="P122" s="2745"/>
      <c r="Q122" s="2728"/>
      <c r="R122" s="2729"/>
      <c r="S122" s="2729"/>
      <c r="T122" s="2729"/>
      <c r="U122" s="2729"/>
      <c r="V122" s="2729"/>
      <c r="W122" s="2729"/>
      <c r="X122" s="2729"/>
      <c r="Y122" s="2729"/>
      <c r="Z122" s="2729"/>
      <c r="AA122" s="2729"/>
      <c r="AB122" s="2729"/>
      <c r="AC122" s="2729"/>
    </row>
    <row r="123" spans="1:29" ht="15" thickTop="1">
      <c r="A123" s="548"/>
      <c r="B123" s="487" t="s">
        <v>1743</v>
      </c>
      <c r="C123" s="503"/>
      <c r="D123" s="503"/>
      <c r="E123" s="503"/>
      <c r="F123" s="532"/>
      <c r="G123" s="532"/>
      <c r="H123" s="532"/>
      <c r="I123" s="532"/>
      <c r="J123" s="532"/>
      <c r="K123" s="533"/>
      <c r="L123" s="534"/>
      <c r="M123" s="535"/>
      <c r="N123" s="2735"/>
      <c r="O123" s="2735"/>
      <c r="P123" s="2744"/>
      <c r="Q123" s="2721"/>
      <c r="R123" s="2707"/>
      <c r="S123" s="2707"/>
      <c r="T123" s="2707"/>
      <c r="U123" s="2707"/>
      <c r="V123" s="2707"/>
      <c r="W123" s="2707"/>
      <c r="X123" s="2707"/>
      <c r="Y123" s="2707"/>
      <c r="Z123" s="2707"/>
      <c r="AA123" s="2707"/>
      <c r="AB123" s="2707"/>
      <c r="AC123" s="2707"/>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6"/>
      <c r="O124" s="2736"/>
      <c r="P124" s="2744"/>
      <c r="Q124" s="2721"/>
      <c r="R124" s="2707"/>
      <c r="S124" s="2707"/>
      <c r="T124" s="2707"/>
      <c r="U124" s="2707"/>
      <c r="V124" s="2707"/>
      <c r="W124" s="2707"/>
      <c r="X124" s="2707"/>
      <c r="Y124" s="2707"/>
      <c r="Z124" s="2707"/>
      <c r="AA124" s="2707"/>
      <c r="AB124" s="2707"/>
      <c r="AC124" s="2707"/>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35"/>
      <c r="O125" s="2735"/>
      <c r="P125" s="2745"/>
      <c r="Q125" s="2721"/>
      <c r="R125" s="2707"/>
      <c r="S125" s="2707"/>
      <c r="T125" s="2707"/>
      <c r="U125" s="2707"/>
      <c r="V125" s="2707"/>
      <c r="W125" s="2707"/>
      <c r="X125" s="2707"/>
      <c r="Y125" s="2707"/>
      <c r="Z125" s="2707"/>
      <c r="AA125" s="2707"/>
      <c r="AB125" s="2707"/>
      <c r="AC125" s="2707"/>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6"/>
      <c r="O126" s="2736"/>
      <c r="P126" s="2744"/>
      <c r="Q126" s="2721"/>
      <c r="R126" s="2707"/>
      <c r="S126" s="2707"/>
      <c r="T126" s="2707"/>
      <c r="U126" s="2707"/>
      <c r="V126" s="2707"/>
      <c r="W126" s="2707"/>
      <c r="X126" s="2707"/>
      <c r="Y126" s="2707"/>
      <c r="Z126" s="2707"/>
      <c r="AA126" s="2707"/>
      <c r="AB126" s="2707"/>
      <c r="AC126" s="2707"/>
    </row>
    <row r="127" spans="1:29" s="422" customFormat="1" ht="15" thickTop="1">
      <c r="A127" s="542"/>
      <c r="B127" s="487">
        <f>B45</f>
        <v>111</v>
      </c>
      <c r="C127" s="503"/>
      <c r="D127" s="503"/>
      <c r="E127" s="503"/>
      <c r="F127" s="503"/>
      <c r="G127" s="503"/>
      <c r="H127" s="504"/>
      <c r="I127" s="504"/>
      <c r="J127" s="504"/>
      <c r="K127" s="504"/>
      <c r="L127" s="505"/>
      <c r="M127" s="506"/>
      <c r="N127" s="2737"/>
      <c r="O127" s="2737"/>
      <c r="P127" s="2745"/>
      <c r="Q127" s="2728"/>
      <c r="R127" s="2729"/>
      <c r="S127" s="2729"/>
      <c r="T127" s="2729"/>
      <c r="U127" s="2729"/>
      <c r="V127" s="2729"/>
      <c r="W127" s="2729"/>
      <c r="X127" s="2729"/>
      <c r="Y127" s="2729"/>
      <c r="Z127" s="2729"/>
      <c r="AA127" s="2729"/>
      <c r="AB127" s="2729"/>
      <c r="AC127" s="2729"/>
    </row>
    <row r="128" spans="1:29" s="422" customFormat="1" ht="15.75" thickBot="1">
      <c r="A128" s="502"/>
      <c r="B128" s="492"/>
      <c r="C128" s="509"/>
      <c r="D128" s="485"/>
      <c r="E128" s="485"/>
      <c r="F128" s="485"/>
      <c r="G128" s="509"/>
      <c r="H128" s="511"/>
      <c r="I128" s="511"/>
      <c r="J128" s="511"/>
      <c r="K128" s="511"/>
      <c r="L128" s="511"/>
      <c r="M128" s="512"/>
      <c r="N128" s="2737"/>
      <c r="O128" s="2737"/>
      <c r="P128" s="2745"/>
      <c r="Q128" s="2728"/>
      <c r="R128" s="2729"/>
      <c r="S128" s="2729"/>
      <c r="T128" s="2729"/>
      <c r="U128" s="2729"/>
      <c r="V128" s="2729"/>
      <c r="W128" s="2729"/>
      <c r="X128" s="2729"/>
      <c r="Y128" s="2729"/>
      <c r="Z128" s="2729"/>
      <c r="AA128" s="2729"/>
      <c r="AB128" s="2729"/>
      <c r="AC128" s="2729"/>
    </row>
    <row r="129" spans="1:29" ht="15" thickTop="1">
      <c r="A129" s="548"/>
      <c r="B129" s="487">
        <f>B46</f>
        <v>111</v>
      </c>
      <c r="C129" s="503"/>
      <c r="D129" s="503"/>
      <c r="E129" s="503"/>
      <c r="F129" s="503"/>
      <c r="G129" s="532"/>
      <c r="H129" s="532"/>
      <c r="I129" s="532"/>
      <c r="J129" s="532"/>
      <c r="K129" s="533"/>
      <c r="L129" s="534"/>
      <c r="M129" s="535"/>
      <c r="N129" s="2735"/>
      <c r="O129" s="2735"/>
      <c r="P129" s="2744"/>
      <c r="Q129" s="2721"/>
      <c r="R129" s="2707"/>
      <c r="S129" s="2707"/>
      <c r="T129" s="2707"/>
      <c r="U129" s="2707"/>
      <c r="V129" s="2707"/>
      <c r="W129" s="2707"/>
      <c r="X129" s="2707"/>
      <c r="Y129" s="2707"/>
      <c r="Z129" s="2707"/>
      <c r="AA129" s="2707"/>
      <c r="AB129" s="2707"/>
      <c r="AC129" s="2707"/>
    </row>
    <row r="130" spans="1:29" ht="15.75" thickBot="1">
      <c r="A130" s="483"/>
      <c r="B130" s="492"/>
      <c r="C130" s="509"/>
      <c r="D130" s="509"/>
      <c r="E130" s="509"/>
      <c r="F130" s="509"/>
      <c r="G130" s="485"/>
      <c r="H130" s="485"/>
      <c r="I130" s="485"/>
      <c r="J130" s="485"/>
      <c r="K130" s="485"/>
      <c r="L130" s="485"/>
      <c r="M130" s="486"/>
      <c r="N130" s="2736"/>
      <c r="O130" s="2736"/>
      <c r="P130" s="2744"/>
      <c r="Q130" s="2721"/>
      <c r="R130" s="2707"/>
      <c r="S130" s="2707"/>
      <c r="T130" s="2707"/>
      <c r="U130" s="2707"/>
      <c r="V130" s="2707"/>
      <c r="W130" s="2707"/>
      <c r="X130" s="2707"/>
      <c r="Y130" s="2707"/>
      <c r="Z130" s="2707"/>
      <c r="AA130" s="2707"/>
      <c r="AB130" s="2707"/>
      <c r="AC130" s="2707"/>
    </row>
    <row r="131" spans="1:29" ht="15" thickTop="1">
      <c r="A131" s="548"/>
      <c r="B131" s="495">
        <f>B47</f>
        <v>111</v>
      </c>
      <c r="C131" s="472"/>
      <c r="D131" s="472"/>
      <c r="E131" s="472"/>
      <c r="F131" s="472"/>
      <c r="G131" s="536"/>
      <c r="H131" s="536"/>
      <c r="I131" s="536"/>
      <c r="J131" s="536"/>
      <c r="K131" s="472"/>
      <c r="L131" s="473"/>
      <c r="M131" s="539"/>
      <c r="N131" s="2735"/>
      <c r="O131" s="2735"/>
      <c r="P131" s="2744"/>
      <c r="Q131" s="2721"/>
      <c r="R131" s="2707"/>
      <c r="S131" s="2707"/>
      <c r="T131" s="2707"/>
      <c r="U131" s="2707"/>
      <c r="V131" s="2707"/>
      <c r="W131" s="2707"/>
      <c r="X131" s="2707"/>
      <c r="Y131" s="2707"/>
      <c r="Z131" s="2707"/>
      <c r="AA131" s="2707"/>
      <c r="AB131" s="2707"/>
      <c r="AC131" s="2707"/>
    </row>
    <row r="132" spans="1:29" ht="15.75" thickBot="1">
      <c r="A132" s="1928"/>
      <c r="B132" s="518"/>
      <c r="C132" s="519"/>
      <c r="D132" s="519"/>
      <c r="E132" s="519"/>
      <c r="F132" s="519"/>
      <c r="G132" s="540"/>
      <c r="H132" s="540"/>
      <c r="I132" s="540"/>
      <c r="J132" s="540"/>
      <c r="K132" s="540"/>
      <c r="L132" s="540"/>
      <c r="M132" s="541"/>
      <c r="N132" s="2736"/>
      <c r="O132" s="2736"/>
      <c r="P132" s="2744"/>
      <c r="Q132" s="2721"/>
      <c r="R132" s="2707"/>
      <c r="S132" s="2707"/>
      <c r="T132" s="2707"/>
      <c r="U132" s="2707"/>
      <c r="V132" s="2707"/>
      <c r="W132" s="2707"/>
      <c r="X132" s="2707"/>
      <c r="Y132" s="2707"/>
      <c r="Z132" s="2707"/>
      <c r="AA132" s="2707"/>
      <c r="AB132" s="2707"/>
      <c r="AC132" s="270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489" priority="20" stopIfTrue="1" operator="containsText" text="超过">
      <formula>NOT(ISERROR(SEARCH("超过",F53)))</formula>
    </cfRule>
  </conditionalFormatting>
  <conditionalFormatting sqref="H55">
    <cfRule type="containsText" dxfId="488" priority="19" stopIfTrue="1" operator="containsText" text="超过">
      <formula>NOT(ISERROR(SEARCH("超过",H55)))</formula>
    </cfRule>
  </conditionalFormatting>
  <conditionalFormatting sqref="F55">
    <cfRule type="containsText" dxfId="487" priority="18" stopIfTrue="1" operator="containsText" text="超过">
      <formula>NOT(ISERROR(SEARCH("超过",F55)))</formula>
    </cfRule>
  </conditionalFormatting>
  <conditionalFormatting sqref="F54 H54">
    <cfRule type="containsText" dxfId="486" priority="17" stopIfTrue="1" operator="containsText" text="超过">
      <formula>NOT(ISERROR(SEARCH("超过",F54)))</formula>
    </cfRule>
  </conditionalFormatting>
  <conditionalFormatting sqref="E53">
    <cfRule type="expression" dxfId="485" priority="16" stopIfTrue="1">
      <formula>$F$53="超过30%"</formula>
    </cfRule>
  </conditionalFormatting>
  <conditionalFormatting sqref="E54">
    <cfRule type="expression" dxfId="484" priority="15" stopIfTrue="1">
      <formula>$F$54="超过20%"</formula>
    </cfRule>
  </conditionalFormatting>
  <conditionalFormatting sqref="E55">
    <cfRule type="expression" dxfId="483" priority="14" stopIfTrue="1">
      <formula>$F$55="超过30%"</formula>
    </cfRule>
  </conditionalFormatting>
  <conditionalFormatting sqref="G55">
    <cfRule type="expression" dxfId="482" priority="13" stopIfTrue="1">
      <formula>$H$55="超过30%"</formula>
    </cfRule>
  </conditionalFormatting>
  <conditionalFormatting sqref="G53">
    <cfRule type="expression" dxfId="481" priority="12" stopIfTrue="1">
      <formula>$H$53="超过30%"</formula>
    </cfRule>
  </conditionalFormatting>
  <conditionalFormatting sqref="G54">
    <cfRule type="expression" dxfId="480" priority="11" stopIfTrue="1">
      <formula>$H$54="超过20%"</formula>
    </cfRule>
  </conditionalFormatting>
  <conditionalFormatting sqref="J53">
    <cfRule type="containsText" dxfId="479" priority="10" stopIfTrue="1" operator="containsText" text="超过">
      <formula>NOT(ISERROR(SEARCH("超过",J53)))</formula>
    </cfRule>
  </conditionalFormatting>
  <conditionalFormatting sqref="J55">
    <cfRule type="containsText" dxfId="478" priority="9" stopIfTrue="1" operator="containsText" text="超过">
      <formula>NOT(ISERROR(SEARCH("超过",J55)))</formula>
    </cfRule>
  </conditionalFormatting>
  <conditionalFormatting sqref="J54">
    <cfRule type="containsText" dxfId="477" priority="8" stopIfTrue="1" operator="containsText" text="超过">
      <formula>NOT(ISERROR(SEARCH("超过",J54)))</formula>
    </cfRule>
  </conditionalFormatting>
  <conditionalFormatting sqref="I53">
    <cfRule type="expression" dxfId="476" priority="7" stopIfTrue="1">
      <formula>$J$53="超过30%"</formula>
    </cfRule>
  </conditionalFormatting>
  <conditionalFormatting sqref="I54">
    <cfRule type="expression" dxfId="475" priority="6" stopIfTrue="1">
      <formula>$J$53+$J$54="超过20%"</formula>
    </cfRule>
  </conditionalFormatting>
  <conditionalFormatting sqref="I55">
    <cfRule type="expression" dxfId="474" priority="5" stopIfTrue="1">
      <formula>$J$55="超过30%"</formula>
    </cfRule>
  </conditionalFormatting>
  <conditionalFormatting sqref="F49">
    <cfRule type="expression" dxfId="473" priority="4">
      <formula>$D$49="简单平均"</formula>
    </cfRule>
  </conditionalFormatting>
  <conditionalFormatting sqref="H49">
    <cfRule type="expression" dxfId="472" priority="3">
      <formula>$D$49="简单平均"</formula>
    </cfRule>
  </conditionalFormatting>
  <conditionalFormatting sqref="J49">
    <cfRule type="expression" dxfId="471" priority="2">
      <formula>$D$49="简单平均"</formula>
    </cfRule>
  </conditionalFormatting>
  <conditionalFormatting sqref="F7:F47 H7:H47 J7:J47">
    <cfRule type="cellIs" dxfId="47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估价对象为北京市房地产，为所有。根据《国有土地使用证》[]，估价对象（分摊）出让国有建设用地使用权面积为6123.19平方米，建筑面积为27298.22平方米。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估价对象为北京市房地产,属开发建设的，该项目尚在开发建设中。根据《国有土地使用证》[]，估价对象（分摊）出让国有建设用地使用权面积为6123.19平方米，规划建筑面积为27298.22平方米。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15"/>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27298.22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42" t="s">
        <v>1769</v>
      </c>
      <c r="D4" s="3743"/>
      <c r="E4" s="3744" t="s">
        <v>1770</v>
      </c>
      <c r="F4" s="3745"/>
      <c r="G4" s="3742" t="s">
        <v>1771</v>
      </c>
      <c r="H4" s="3743"/>
      <c r="I4" s="3742" t="s">
        <v>1772</v>
      </c>
      <c r="J4" s="3743"/>
      <c r="K4" s="559" t="s">
        <v>1773</v>
      </c>
      <c r="L4" s="913"/>
      <c r="M4" s="914"/>
      <c r="N4" s="914"/>
      <c r="O4" s="914"/>
      <c r="P4" s="3746" t="s">
        <v>1774</v>
      </c>
      <c r="Q4" s="3747"/>
      <c r="R4" s="3729" t="s">
        <v>1770</v>
      </c>
      <c r="S4" s="3730"/>
      <c r="T4" s="3729" t="s">
        <v>1771</v>
      </c>
      <c r="U4" s="3730"/>
      <c r="V4" s="3726" t="s">
        <v>1772</v>
      </c>
      <c r="W4" s="3726"/>
      <c r="X4" s="1355"/>
      <c r="Y4" s="3729" t="s">
        <v>1774</v>
      </c>
      <c r="Z4" s="3730"/>
      <c r="AA4" s="3723" t="s">
        <v>1770</v>
      </c>
      <c r="AB4" s="3724" t="s">
        <v>1771</v>
      </c>
      <c r="AC4" s="3723" t="s">
        <v>1772</v>
      </c>
    </row>
    <row r="5" spans="1:29" ht="15">
      <c r="A5" s="358"/>
      <c r="B5" s="359"/>
      <c r="C5" s="3735" t="s">
        <v>1672</v>
      </c>
      <c r="D5" s="3736"/>
      <c r="E5" s="3733" t="s">
        <v>1673</v>
      </c>
      <c r="F5" s="3734"/>
      <c r="G5" s="3735" t="s">
        <v>1674</v>
      </c>
      <c r="H5" s="3736"/>
      <c r="I5" s="3735" t="s">
        <v>1675</v>
      </c>
      <c r="J5" s="3736"/>
      <c r="K5" s="559"/>
      <c r="L5" s="913"/>
      <c r="M5" s="914"/>
      <c r="N5" s="914"/>
      <c r="O5" s="914"/>
      <c r="P5" s="3748"/>
      <c r="Q5" s="3749"/>
      <c r="R5" s="3731"/>
      <c r="S5" s="3732"/>
      <c r="T5" s="3731"/>
      <c r="U5" s="3732"/>
      <c r="V5" s="3726"/>
      <c r="W5" s="3726"/>
      <c r="X5" s="1355"/>
      <c r="Y5" s="3731"/>
      <c r="Z5" s="3732"/>
      <c r="AA5" s="3724"/>
      <c r="AB5" s="3724"/>
      <c r="AC5" s="3724"/>
    </row>
    <row r="6" spans="1:29" ht="15.75" thickBot="1">
      <c r="A6" s="360"/>
      <c r="B6" s="361"/>
      <c r="C6" s="3737" t="s">
        <v>1676</v>
      </c>
      <c r="D6" s="3738"/>
      <c r="E6" s="3739" t="s">
        <v>1676</v>
      </c>
      <c r="F6" s="3740"/>
      <c r="G6" s="3737" t="s">
        <v>1676</v>
      </c>
      <c r="H6" s="3738"/>
      <c r="I6" s="3737" t="s">
        <v>1676</v>
      </c>
      <c r="J6" s="3738"/>
      <c r="K6" s="559" t="s">
        <v>1677</v>
      </c>
      <c r="L6" s="913"/>
      <c r="M6" s="914"/>
      <c r="N6" s="914"/>
      <c r="O6" s="914"/>
      <c r="P6" s="3750"/>
      <c r="Q6" s="3751"/>
      <c r="R6" s="3731"/>
      <c r="S6" s="3732"/>
      <c r="T6" s="3752"/>
      <c r="U6" s="3753"/>
      <c r="V6" s="3726"/>
      <c r="W6" s="3726"/>
      <c r="X6" s="1355"/>
      <c r="Y6" s="3752"/>
      <c r="Z6" s="3753"/>
      <c r="AA6" s="3725"/>
      <c r="AB6" s="3725"/>
      <c r="AC6" s="3725"/>
    </row>
    <row r="7" spans="1:29" s="108" customFormat="1" ht="15.75" thickBot="1">
      <c r="A7" s="362" t="s">
        <v>1678</v>
      </c>
      <c r="B7" s="363"/>
      <c r="C7" s="364">
        <f>'数据-取费表'!B2</f>
        <v>45009</v>
      </c>
      <c r="D7" s="365">
        <v>100</v>
      </c>
      <c r="E7" s="366"/>
      <c r="F7" s="367">
        <f>SUMIF(52:52,YEAR(E7)&amp;"-"&amp;MONTH(E7),53:53)</f>
        <v>0</v>
      </c>
      <c r="G7" s="366"/>
      <c r="H7" s="365">
        <f>SUMIF(52:52,YEAR(G7)&amp;"-"&amp;MONTH(G7),53:53)</f>
        <v>0</v>
      </c>
      <c r="I7" s="366"/>
      <c r="J7" s="365">
        <f>SUMIF(52:52,YEAR(I7)&amp;"-"&amp;MONTH(I7),53:53)</f>
        <v>0</v>
      </c>
      <c r="K7" s="560"/>
      <c r="L7" s="915"/>
      <c r="M7" s="916"/>
      <c r="N7" s="916"/>
      <c r="O7" s="916"/>
      <c r="P7" s="3727" t="s">
        <v>1679</v>
      </c>
      <c r="Q7" s="3754"/>
      <c r="R7" s="701" t="s">
        <v>14</v>
      </c>
      <c r="S7" s="702">
        <f t="shared" ref="S7:S15" si="0">F7</f>
        <v>0</v>
      </c>
      <c r="T7" s="701" t="s">
        <v>14</v>
      </c>
      <c r="U7" s="702">
        <f t="shared" ref="U7:U15" si="1">H7</f>
        <v>0</v>
      </c>
      <c r="V7" s="701" t="s">
        <v>14</v>
      </c>
      <c r="W7" s="702">
        <f t="shared" ref="W7:W15" si="2">J7</f>
        <v>0</v>
      </c>
      <c r="X7" s="703"/>
      <c r="Y7" s="3727" t="s">
        <v>1679</v>
      </c>
      <c r="Z7" s="3728"/>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7" t="s">
        <v>1682</v>
      </c>
      <c r="Q8" s="3728"/>
      <c r="R8" s="701" t="s">
        <v>14</v>
      </c>
      <c r="S8" s="702">
        <f t="shared" si="0"/>
        <v>100</v>
      </c>
      <c r="T8" s="701" t="s">
        <v>14</v>
      </c>
      <c r="U8" s="702">
        <f t="shared" si="1"/>
        <v>100</v>
      </c>
      <c r="V8" s="701" t="s">
        <v>14</v>
      </c>
      <c r="W8" s="702">
        <f t="shared" si="2"/>
        <v>100</v>
      </c>
      <c r="X8" s="703"/>
      <c r="Y8" s="3727" t="s">
        <v>1682</v>
      </c>
      <c r="Z8" s="3728"/>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64" t="s">
        <v>1685</v>
      </c>
      <c r="Q9" s="1343" t="str">
        <f t="shared" ref="Q9:Q15" si="6">B9</f>
        <v>用途</v>
      </c>
      <c r="R9" s="701" t="s">
        <v>14</v>
      </c>
      <c r="S9" s="702">
        <f t="shared" si="0"/>
        <v>100</v>
      </c>
      <c r="T9" s="701" t="s">
        <v>14</v>
      </c>
      <c r="U9" s="702">
        <f t="shared" si="1"/>
        <v>100</v>
      </c>
      <c r="V9" s="701" t="s">
        <v>14</v>
      </c>
      <c r="W9" s="702">
        <f t="shared" si="2"/>
        <v>100</v>
      </c>
      <c r="X9" s="703"/>
      <c r="Y9" s="3696" t="s">
        <v>1686</v>
      </c>
      <c r="Z9" s="52" t="str">
        <f t="shared" ref="Z9:Z15" si="7">Q9</f>
        <v>用途</v>
      </c>
      <c r="AA9" s="704">
        <f t="shared" si="3"/>
        <v>1</v>
      </c>
      <c r="AB9" s="704">
        <f t="shared" si="4"/>
        <v>1</v>
      </c>
      <c r="AC9" s="704">
        <f t="shared" si="5"/>
        <v>1</v>
      </c>
    </row>
    <row r="10" spans="1:29" s="378" customFormat="1" ht="27">
      <c r="A10" s="374"/>
      <c r="B10" s="375" t="s">
        <v>1687</v>
      </c>
      <c r="C10" s="3416"/>
      <c r="D10" s="127">
        <v>100</v>
      </c>
      <c r="E10" s="3416"/>
      <c r="F10" s="127">
        <f>SUMIF(59:59,E10,60:60)-SUMIF(59:59,C10,60:60)+100</f>
        <v>100</v>
      </c>
      <c r="G10" s="3417"/>
      <c r="H10" s="127">
        <f>SUMIF(59:59,G10,60:60)-SUMIF(59:59,C10,60:60)+100</f>
        <v>100</v>
      </c>
      <c r="I10" s="3416"/>
      <c r="J10" s="127">
        <f>SUMIF(59:59,I10,60:60)-SUMIF(59:59,C10,60:60)+100</f>
        <v>100</v>
      </c>
      <c r="K10" s="560"/>
      <c r="L10" s="918"/>
      <c r="M10" s="919"/>
      <c r="N10" s="919"/>
      <c r="O10" s="920"/>
      <c r="P10" s="3764"/>
      <c r="Q10" s="1343" t="str">
        <f t="shared" si="6"/>
        <v>土地使用年限（年）</v>
      </c>
      <c r="R10" s="701" t="s">
        <v>14</v>
      </c>
      <c r="S10" s="702">
        <f t="shared" si="0"/>
        <v>100</v>
      </c>
      <c r="T10" s="701" t="s">
        <v>14</v>
      </c>
      <c r="U10" s="702">
        <f t="shared" si="1"/>
        <v>100</v>
      </c>
      <c r="V10" s="701" t="s">
        <v>14</v>
      </c>
      <c r="W10" s="702">
        <f t="shared" si="2"/>
        <v>100</v>
      </c>
      <c r="X10" s="703"/>
      <c r="Y10" s="3696"/>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4"/>
      <c r="Q11" s="1343" t="str">
        <f t="shared" si="6"/>
        <v>容积率</v>
      </c>
      <c r="R11" s="701" t="s">
        <v>14</v>
      </c>
      <c r="S11" s="702">
        <f t="shared" si="0"/>
        <v>100</v>
      </c>
      <c r="T11" s="701" t="s">
        <v>14</v>
      </c>
      <c r="U11" s="702">
        <f t="shared" si="1"/>
        <v>100</v>
      </c>
      <c r="V11" s="701" t="s">
        <v>14</v>
      </c>
      <c r="W11" s="702">
        <f t="shared" si="2"/>
        <v>100</v>
      </c>
      <c r="X11" s="703"/>
      <c r="Y11" s="369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64"/>
      <c r="Q12" s="1343">
        <f t="shared" si="6"/>
        <v>111</v>
      </c>
      <c r="R12" s="701" t="s">
        <v>14</v>
      </c>
      <c r="S12" s="702">
        <f t="shared" si="0"/>
        <v>100</v>
      </c>
      <c r="T12" s="701" t="s">
        <v>14</v>
      </c>
      <c r="U12" s="702">
        <f t="shared" si="1"/>
        <v>100</v>
      </c>
      <c r="V12" s="701" t="s">
        <v>14</v>
      </c>
      <c r="W12" s="702">
        <f t="shared" si="2"/>
        <v>100</v>
      </c>
      <c r="X12" s="703"/>
      <c r="Y12" s="369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64"/>
      <c r="Q13" s="1343">
        <f t="shared" si="6"/>
        <v>111</v>
      </c>
      <c r="R13" s="701" t="s">
        <v>14</v>
      </c>
      <c r="S13" s="702">
        <f t="shared" si="0"/>
        <v>100</v>
      </c>
      <c r="T13" s="701" t="s">
        <v>14</v>
      </c>
      <c r="U13" s="702">
        <f t="shared" si="1"/>
        <v>100</v>
      </c>
      <c r="V13" s="701" t="s">
        <v>14</v>
      </c>
      <c r="W13" s="702">
        <f t="shared" si="2"/>
        <v>100</v>
      </c>
      <c r="X13" s="703"/>
      <c r="Y13" s="369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64"/>
      <c r="Q14" s="1343">
        <f t="shared" si="6"/>
        <v>111</v>
      </c>
      <c r="R14" s="701" t="s">
        <v>14</v>
      </c>
      <c r="S14" s="702">
        <f t="shared" si="0"/>
        <v>100</v>
      </c>
      <c r="T14" s="701" t="s">
        <v>14</v>
      </c>
      <c r="U14" s="702">
        <f t="shared" si="1"/>
        <v>100</v>
      </c>
      <c r="V14" s="701" t="s">
        <v>14</v>
      </c>
      <c r="W14" s="702">
        <f t="shared" si="2"/>
        <v>100</v>
      </c>
      <c r="X14" s="703"/>
      <c r="Y14" s="3696"/>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7" t="s">
        <v>1690</v>
      </c>
      <c r="Q15" s="1352" t="str">
        <f t="shared" si="6"/>
        <v>产业集聚程度</v>
      </c>
      <c r="R15" s="705" t="s">
        <v>14</v>
      </c>
      <c r="S15" s="706">
        <f t="shared" si="0"/>
        <v>100</v>
      </c>
      <c r="T15" s="705" t="s">
        <v>14</v>
      </c>
      <c r="U15" s="706">
        <f t="shared" si="1"/>
        <v>100</v>
      </c>
      <c r="V15" s="705" t="s">
        <v>14</v>
      </c>
      <c r="W15" s="706">
        <f t="shared" si="2"/>
        <v>100</v>
      </c>
      <c r="X15" s="1355"/>
      <c r="Y15" s="3757"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8"/>
      <c r="Q16" s="1352"/>
      <c r="R16" s="705"/>
      <c r="S16" s="706"/>
      <c r="T16" s="705"/>
      <c r="U16" s="706"/>
      <c r="V16" s="705"/>
      <c r="W16" s="706"/>
      <c r="X16" s="1355"/>
      <c r="Y16" s="375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8"/>
      <c r="Q17" s="1352" t="str">
        <f>B17</f>
        <v>交通便捷度</v>
      </c>
      <c r="R17" s="705" t="s">
        <v>14</v>
      </c>
      <c r="S17" s="706">
        <f>F17</f>
        <v>100</v>
      </c>
      <c r="T17" s="705" t="s">
        <v>14</v>
      </c>
      <c r="U17" s="706">
        <f>H17</f>
        <v>100</v>
      </c>
      <c r="V17" s="705" t="s">
        <v>14</v>
      </c>
      <c r="W17" s="706">
        <f>J17</f>
        <v>100</v>
      </c>
      <c r="X17" s="1355"/>
      <c r="Y17" s="375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8"/>
      <c r="Q18" s="1352"/>
      <c r="R18" s="705"/>
      <c r="S18" s="706"/>
      <c r="T18" s="705"/>
      <c r="U18" s="706"/>
      <c r="V18" s="705"/>
      <c r="W18" s="706"/>
      <c r="X18" s="1355"/>
      <c r="Y18" s="3758"/>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8"/>
      <c r="Q19" s="1352" t="str">
        <f>B19</f>
        <v>公共配套设施</v>
      </c>
      <c r="R19" s="705" t="s">
        <v>14</v>
      </c>
      <c r="S19" s="706">
        <f>F19</f>
        <v>100</v>
      </c>
      <c r="T19" s="705" t="s">
        <v>14</v>
      </c>
      <c r="U19" s="706">
        <f>H19</f>
        <v>100</v>
      </c>
      <c r="V19" s="705" t="s">
        <v>14</v>
      </c>
      <c r="W19" s="706">
        <f>J19</f>
        <v>100</v>
      </c>
      <c r="X19" s="1355"/>
      <c r="Y19" s="375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8"/>
      <c r="Q20" s="1352"/>
      <c r="R20" s="705"/>
      <c r="S20" s="706"/>
      <c r="T20" s="705"/>
      <c r="U20" s="706"/>
      <c r="V20" s="705"/>
      <c r="W20" s="706"/>
      <c r="X20" s="1355"/>
      <c r="Y20" s="3758"/>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8"/>
      <c r="Q21" s="1352" t="str">
        <f>B21</f>
        <v>基础设施水平</v>
      </c>
      <c r="R21" s="705" t="s">
        <v>14</v>
      </c>
      <c r="S21" s="706">
        <f>F21</f>
        <v>100</v>
      </c>
      <c r="T21" s="705" t="s">
        <v>14</v>
      </c>
      <c r="U21" s="706">
        <f>H21</f>
        <v>100</v>
      </c>
      <c r="V21" s="705" t="s">
        <v>14</v>
      </c>
      <c r="W21" s="706">
        <f>J21</f>
        <v>100</v>
      </c>
      <c r="X21" s="1355"/>
      <c r="Y21" s="375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8"/>
      <c r="Q22" s="1352"/>
      <c r="R22" s="705"/>
      <c r="S22" s="706"/>
      <c r="T22" s="705"/>
      <c r="U22" s="706"/>
      <c r="V22" s="705"/>
      <c r="W22" s="706"/>
      <c r="X22" s="1355"/>
      <c r="Y22" s="3758"/>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8"/>
      <c r="Q23" s="1352" t="str">
        <f>B23</f>
        <v>环境质量</v>
      </c>
      <c r="R23" s="705" t="s">
        <v>14</v>
      </c>
      <c r="S23" s="706">
        <f>F23</f>
        <v>100</v>
      </c>
      <c r="T23" s="705" t="s">
        <v>14</v>
      </c>
      <c r="U23" s="706">
        <f>H23</f>
        <v>100</v>
      </c>
      <c r="V23" s="705" t="s">
        <v>14</v>
      </c>
      <c r="W23" s="706">
        <f>J23</f>
        <v>100</v>
      </c>
      <c r="X23" s="1355"/>
      <c r="Y23" s="375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8"/>
      <c r="Q24" s="1352"/>
      <c r="R24" s="705"/>
      <c r="S24" s="706"/>
      <c r="T24" s="705"/>
      <c r="U24" s="706"/>
      <c r="V24" s="705"/>
      <c r="W24" s="706"/>
      <c r="X24" s="1355"/>
      <c r="Y24" s="375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8"/>
      <c r="Q25" s="1352">
        <f>B25</f>
        <v>111</v>
      </c>
      <c r="R25" s="705" t="s">
        <v>14</v>
      </c>
      <c r="S25" s="706">
        <f>F25</f>
        <v>100</v>
      </c>
      <c r="T25" s="705" t="s">
        <v>14</v>
      </c>
      <c r="U25" s="706">
        <f>H25</f>
        <v>100</v>
      </c>
      <c r="V25" s="705" t="s">
        <v>14</v>
      </c>
      <c r="W25" s="706">
        <f>J25</f>
        <v>100</v>
      </c>
      <c r="X25" s="1355"/>
      <c r="Y25" s="375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8"/>
      <c r="Q26" s="1352">
        <f t="shared" ref="Q26:Q40" si="11">B26</f>
        <v>111</v>
      </c>
      <c r="R26" s="705" t="s">
        <v>14</v>
      </c>
      <c r="S26" s="706">
        <f>F26</f>
        <v>100</v>
      </c>
      <c r="T26" s="705" t="s">
        <v>14</v>
      </c>
      <c r="U26" s="706">
        <f>H26</f>
        <v>100</v>
      </c>
      <c r="V26" s="705" t="s">
        <v>14</v>
      </c>
      <c r="W26" s="706">
        <f>J26</f>
        <v>100</v>
      </c>
      <c r="X26" s="1355"/>
      <c r="Y26" s="375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8"/>
      <c r="Q27" s="1343">
        <f t="shared" si="11"/>
        <v>111</v>
      </c>
      <c r="R27" s="701" t="s">
        <v>14</v>
      </c>
      <c r="S27" s="702">
        <f>F27</f>
        <v>100</v>
      </c>
      <c r="T27" s="701" t="s">
        <v>14</v>
      </c>
      <c r="U27" s="702">
        <f>H27</f>
        <v>100</v>
      </c>
      <c r="V27" s="701" t="s">
        <v>14</v>
      </c>
      <c r="W27" s="702">
        <f>J27</f>
        <v>100</v>
      </c>
      <c r="X27" s="703"/>
      <c r="Y27" s="375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8"/>
      <c r="Q28" s="1352">
        <f t="shared" si="11"/>
        <v>111</v>
      </c>
      <c r="R28" s="705" t="s">
        <v>14</v>
      </c>
      <c r="S28" s="706">
        <f t="shared" ref="S28:S40" si="12">F28</f>
        <v>100</v>
      </c>
      <c r="T28" s="705" t="s">
        <v>14</v>
      </c>
      <c r="U28" s="706">
        <f t="shared" ref="U28:U40" si="13">H28</f>
        <v>100</v>
      </c>
      <c r="V28" s="705" t="s">
        <v>14</v>
      </c>
      <c r="W28" s="706">
        <f t="shared" ref="W28:W40" si="14">J28</f>
        <v>100</v>
      </c>
      <c r="X28" s="1355"/>
      <c r="Y28" s="3758"/>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10" t="s">
        <v>1695</v>
      </c>
      <c r="Q29" s="1352" t="str">
        <f t="shared" si="11"/>
        <v>建筑类型</v>
      </c>
      <c r="R29" s="705" t="s">
        <v>14</v>
      </c>
      <c r="S29" s="706">
        <f t="shared" si="12"/>
        <v>100</v>
      </c>
      <c r="T29" s="705" t="s">
        <v>14</v>
      </c>
      <c r="U29" s="706">
        <f t="shared" si="13"/>
        <v>100</v>
      </c>
      <c r="V29" s="705" t="s">
        <v>14</v>
      </c>
      <c r="W29" s="706">
        <f t="shared" si="14"/>
        <v>100</v>
      </c>
      <c r="X29" s="1355"/>
      <c r="Y29" s="3762"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2"/>
      <c r="Q30" s="707" t="str">
        <f t="shared" si="11"/>
        <v>项目建筑规模</v>
      </c>
      <c r="R30" s="708" t="s">
        <v>14</v>
      </c>
      <c r="S30" s="709" t="e">
        <f t="shared" si="12"/>
        <v>#N/A</v>
      </c>
      <c r="T30" s="708" t="s">
        <v>14</v>
      </c>
      <c r="U30" s="709" t="e">
        <f t="shared" si="13"/>
        <v>#N/A</v>
      </c>
      <c r="V30" s="708" t="s">
        <v>14</v>
      </c>
      <c r="W30" s="709" t="e">
        <f t="shared" si="14"/>
        <v>#N/A</v>
      </c>
      <c r="X30" s="710"/>
      <c r="Y30" s="3762"/>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2"/>
      <c r="Q31" s="1352" t="str">
        <f t="shared" si="11"/>
        <v>建筑结构</v>
      </c>
      <c r="R31" s="705" t="s">
        <v>14</v>
      </c>
      <c r="S31" s="706">
        <f t="shared" si="12"/>
        <v>100</v>
      </c>
      <c r="T31" s="705" t="s">
        <v>14</v>
      </c>
      <c r="U31" s="706">
        <f t="shared" si="13"/>
        <v>100</v>
      </c>
      <c r="V31" s="705" t="s">
        <v>14</v>
      </c>
      <c r="W31" s="706">
        <f t="shared" si="14"/>
        <v>100</v>
      </c>
      <c r="X31" s="1355"/>
      <c r="Y31" s="3762"/>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2"/>
      <c r="Q32" s="1352" t="str">
        <f t="shared" si="11"/>
        <v>公共部分装修</v>
      </c>
      <c r="R32" s="705" t="s">
        <v>14</v>
      </c>
      <c r="S32" s="706">
        <f t="shared" si="12"/>
        <v>100</v>
      </c>
      <c r="T32" s="705" t="s">
        <v>14</v>
      </c>
      <c r="U32" s="706">
        <f t="shared" si="13"/>
        <v>100</v>
      </c>
      <c r="V32" s="705" t="s">
        <v>14</v>
      </c>
      <c r="W32" s="706">
        <f t="shared" si="14"/>
        <v>100</v>
      </c>
      <c r="X32" s="1355"/>
      <c r="Y32" s="3762"/>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2"/>
      <c r="Q33" s="1352" t="str">
        <f t="shared" si="11"/>
        <v>成新度</v>
      </c>
      <c r="R33" s="705" t="s">
        <v>14</v>
      </c>
      <c r="S33" s="706" t="e">
        <f t="shared" si="12"/>
        <v>#N/A</v>
      </c>
      <c r="T33" s="705" t="s">
        <v>14</v>
      </c>
      <c r="U33" s="706" t="e">
        <f t="shared" si="13"/>
        <v>#N/A</v>
      </c>
      <c r="V33" s="705" t="s">
        <v>14</v>
      </c>
      <c r="W33" s="706" t="e">
        <f t="shared" si="14"/>
        <v>#N/A</v>
      </c>
      <c r="X33" s="1355"/>
      <c r="Y33" s="3762"/>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2"/>
      <c r="Q34" s="1343" t="str">
        <f t="shared" si="11"/>
        <v>物业管理</v>
      </c>
      <c r="R34" s="701" t="s">
        <v>14</v>
      </c>
      <c r="S34" s="702">
        <f t="shared" si="12"/>
        <v>100</v>
      </c>
      <c r="T34" s="701" t="s">
        <v>14</v>
      </c>
      <c r="U34" s="702">
        <f t="shared" si="13"/>
        <v>100</v>
      </c>
      <c r="V34" s="701" t="s">
        <v>14</v>
      </c>
      <c r="W34" s="702">
        <f t="shared" si="14"/>
        <v>100</v>
      </c>
      <c r="X34" s="703"/>
      <c r="Y34" s="376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2" t="s">
        <v>1695</v>
      </c>
      <c r="Q35" s="1352" t="str">
        <f t="shared" si="11"/>
        <v>市政基础设施</v>
      </c>
      <c r="R35" s="705" t="s">
        <v>14</v>
      </c>
      <c r="S35" s="706">
        <f t="shared" si="12"/>
        <v>100</v>
      </c>
      <c r="T35" s="705" t="s">
        <v>14</v>
      </c>
      <c r="U35" s="706">
        <f t="shared" si="13"/>
        <v>100</v>
      </c>
      <c r="V35" s="705" t="s">
        <v>14</v>
      </c>
      <c r="W35" s="706">
        <f t="shared" si="14"/>
        <v>100</v>
      </c>
      <c r="X35" s="1355"/>
      <c r="Y35" s="3762"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2"/>
      <c r="Q36" s="1352" t="str">
        <f t="shared" si="11"/>
        <v>内部装修</v>
      </c>
      <c r="R36" s="705" t="s">
        <v>14</v>
      </c>
      <c r="S36" s="706">
        <f t="shared" si="12"/>
        <v>100</v>
      </c>
      <c r="T36" s="705" t="s">
        <v>14</v>
      </c>
      <c r="U36" s="706">
        <f t="shared" si="13"/>
        <v>100</v>
      </c>
      <c r="V36" s="705" t="s">
        <v>14</v>
      </c>
      <c r="W36" s="706">
        <f t="shared" si="14"/>
        <v>100</v>
      </c>
      <c r="X36" s="1355"/>
      <c r="Y36" s="3762"/>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2"/>
      <c r="Q37" s="1352" t="str">
        <f t="shared" si="11"/>
        <v>内部装修状况</v>
      </c>
      <c r="R37" s="705" t="s">
        <v>14</v>
      </c>
      <c r="S37" s="706">
        <f t="shared" si="12"/>
        <v>100</v>
      </c>
      <c r="T37" s="705" t="s">
        <v>14</v>
      </c>
      <c r="U37" s="706">
        <f t="shared" si="13"/>
        <v>100</v>
      </c>
      <c r="V37" s="705" t="s">
        <v>14</v>
      </c>
      <c r="W37" s="706">
        <f t="shared" si="14"/>
        <v>100</v>
      </c>
      <c r="X37" s="1355"/>
      <c r="Y37" s="376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2"/>
      <c r="Q38" s="707">
        <f t="shared" si="11"/>
        <v>111</v>
      </c>
      <c r="R38" s="708" t="s">
        <v>14</v>
      </c>
      <c r="S38" s="709">
        <f t="shared" si="12"/>
        <v>100</v>
      </c>
      <c r="T38" s="708" t="s">
        <v>14</v>
      </c>
      <c r="U38" s="709">
        <f t="shared" si="13"/>
        <v>100</v>
      </c>
      <c r="V38" s="708" t="s">
        <v>14</v>
      </c>
      <c r="W38" s="709">
        <f t="shared" si="14"/>
        <v>100</v>
      </c>
      <c r="X38" s="710"/>
      <c r="Y38" s="376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2"/>
      <c r="Q39" s="1352">
        <f t="shared" si="11"/>
        <v>111</v>
      </c>
      <c r="R39" s="705" t="s">
        <v>14</v>
      </c>
      <c r="S39" s="706">
        <f t="shared" si="12"/>
        <v>100</v>
      </c>
      <c r="T39" s="705" t="s">
        <v>14</v>
      </c>
      <c r="U39" s="706">
        <f t="shared" si="13"/>
        <v>100</v>
      </c>
      <c r="V39" s="705" t="s">
        <v>14</v>
      </c>
      <c r="W39" s="706">
        <f t="shared" si="14"/>
        <v>100</v>
      </c>
      <c r="X39" s="1355"/>
      <c r="Y39" s="376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3"/>
      <c r="Q40" s="1352">
        <f t="shared" si="11"/>
        <v>111</v>
      </c>
      <c r="R40" s="705" t="s">
        <v>14</v>
      </c>
      <c r="S40" s="706">
        <f t="shared" si="12"/>
        <v>100</v>
      </c>
      <c r="T40" s="705" t="s">
        <v>14</v>
      </c>
      <c r="U40" s="706">
        <f t="shared" si="13"/>
        <v>100</v>
      </c>
      <c r="V40" s="705" t="s">
        <v>14</v>
      </c>
      <c r="W40" s="706">
        <f t="shared" si="14"/>
        <v>100</v>
      </c>
      <c r="X40" s="1355"/>
      <c r="Y40" s="3763"/>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64" t="str">
        <f>A41</f>
        <v>成交单价（元/平方米）</v>
      </c>
      <c r="Q41" s="3764"/>
      <c r="R41" s="3765">
        <f>E41</f>
        <v>0</v>
      </c>
      <c r="S41" s="3765"/>
      <c r="T41" s="3765">
        <f>G41</f>
        <v>0</v>
      </c>
      <c r="U41" s="3765"/>
      <c r="V41" s="3765">
        <f>I41</f>
        <v>0</v>
      </c>
      <c r="W41" s="3765"/>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64" t="str">
        <f>A42</f>
        <v>比较价值（元/平方米）</v>
      </c>
      <c r="Q42" s="3764"/>
      <c r="R42" s="3765" t="e">
        <f>IF(F1="售价",ROUND(PRODUCT(R41,AA7:AA40),0),ROUND(PRODUCT(R41,AA7:AA40),1))</f>
        <v>#DIV/0!</v>
      </c>
      <c r="S42" s="3765"/>
      <c r="T42" s="3765" t="e">
        <f>IF(F1="售价",ROUND(PRODUCT(T41,AB7:AB40),0),ROUND(PRODUCT(T41,AB7:AB40),1))</f>
        <v>#DIV/0!</v>
      </c>
      <c r="U42" s="3765"/>
      <c r="V42" s="3765" t="e">
        <f>IF(F1="售价",ROUND(PRODUCT(V41,AC7:AC40),0),ROUND(PRODUCT(V41,AC7:AC40),1))</f>
        <v>#DIV/0!</v>
      </c>
      <c r="W42" s="3765"/>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66" t="str">
        <f>A43</f>
        <v>估价对象XX用房的比较价值（楼面单价，元/平方米）</v>
      </c>
      <c r="Q43" s="3767"/>
      <c r="R43" s="3768" t="e">
        <f>IF(F1="售价",ROUND(IF(D42="简单平均",AVERAGE(R42:V42),R42*F42+T42*H42+V42*J42),0),ROUND(IF(D42="简单平均",AVERAGE(R42:V42),R42*F42+T42*H42+V42*J42),1))</f>
        <v>#DIV/0!</v>
      </c>
      <c r="S43" s="3768"/>
      <c r="T43" s="3768"/>
      <c r="U43" s="3768"/>
      <c r="V43" s="3768"/>
      <c r="W43" s="3768"/>
      <c r="X43" s="690"/>
      <c r="Y43" s="690"/>
      <c r="Z43" s="690"/>
      <c r="AA43" s="690"/>
      <c r="AB43" s="690"/>
      <c r="AC43" s="690"/>
    </row>
    <row r="44" spans="1:29">
      <c r="A44" s="2707"/>
      <c r="B44" s="2707"/>
      <c r="C44" s="2707"/>
      <c r="D44" s="2707"/>
      <c r="E44" s="2707"/>
      <c r="F44" s="2707"/>
      <c r="G44" s="2711"/>
      <c r="H44" s="2707"/>
      <c r="I44" s="2707"/>
      <c r="J44" s="2707"/>
      <c r="K44" s="2712"/>
      <c r="L44" s="889"/>
      <c r="M44" s="927"/>
      <c r="N44" s="927"/>
      <c r="O44" s="927"/>
    </row>
    <row r="45" spans="1:29">
      <c r="A45" s="2707"/>
      <c r="B45" s="2707"/>
      <c r="C45" s="2707"/>
      <c r="D45" s="2707"/>
      <c r="E45" s="2707"/>
      <c r="F45" s="2707"/>
      <c r="G45" s="2707"/>
      <c r="H45" s="2707"/>
      <c r="I45" s="2707"/>
      <c r="J45" s="2707"/>
      <c r="K45" s="2712"/>
      <c r="L45" s="889"/>
      <c r="M45" s="927"/>
      <c r="N45" s="927"/>
      <c r="O45" s="927"/>
    </row>
    <row r="46" spans="1:29" ht="13.5" customHeight="1">
      <c r="A46" s="2707"/>
      <c r="B46" s="2707"/>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2"/>
      <c r="L46" s="889"/>
      <c r="M46" s="927"/>
      <c r="N46" s="927"/>
      <c r="O46" s="927"/>
    </row>
    <row r="47" spans="1:29" ht="13.5" customHeight="1">
      <c r="A47" s="2707"/>
      <c r="B47" s="2707"/>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2"/>
      <c r="L47" s="889"/>
      <c r="M47" s="927"/>
      <c r="N47" s="927"/>
      <c r="O47" s="927"/>
    </row>
    <row r="48" spans="1:29" s="451" customFormat="1" ht="13.5" customHeight="1">
      <c r="A48" s="2710"/>
      <c r="B48" s="2710"/>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5"/>
      <c r="L48" s="930"/>
      <c r="M48" s="928"/>
      <c r="N48" s="928"/>
      <c r="O48" s="928"/>
    </row>
    <row r="49" spans="1:17" s="451" customFormat="1">
      <c r="A49" s="2710"/>
      <c r="B49" s="2713"/>
      <c r="C49" s="2714"/>
      <c r="D49" s="2710"/>
      <c r="E49" s="2710"/>
      <c r="F49" s="2710"/>
      <c r="G49" s="2710"/>
      <c r="H49" s="2710"/>
      <c r="I49" s="2710"/>
      <c r="J49" s="2710"/>
      <c r="K49" s="2715"/>
      <c r="L49" s="930"/>
      <c r="M49" s="928"/>
      <c r="N49" s="928"/>
      <c r="O49" s="928"/>
    </row>
    <row r="50" spans="1:17">
      <c r="A50" s="2707"/>
      <c r="B50" s="2713"/>
      <c r="C50" s="2714"/>
      <c r="D50" s="2707"/>
      <c r="E50" s="2707"/>
      <c r="F50" s="2707"/>
      <c r="G50" s="2707"/>
      <c r="H50" s="2707"/>
      <c r="I50" s="2707"/>
      <c r="J50" s="2707"/>
      <c r="K50" s="2712"/>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52"/>
      <c r="O54" s="2753"/>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469" priority="20" stopIfTrue="1" operator="containsText" text="超过">
      <formula>NOT(ISERROR(SEARCH("超过",F46)))</formula>
    </cfRule>
  </conditionalFormatting>
  <conditionalFormatting sqref="H48">
    <cfRule type="containsText" dxfId="468" priority="19" stopIfTrue="1" operator="containsText" text="超过">
      <formula>NOT(ISERROR(SEARCH("超过",H48)))</formula>
    </cfRule>
  </conditionalFormatting>
  <conditionalFormatting sqref="F48">
    <cfRule type="containsText" dxfId="467" priority="18" stopIfTrue="1" operator="containsText" text="超过">
      <formula>NOT(ISERROR(SEARCH("超过",F48)))</formula>
    </cfRule>
  </conditionalFormatting>
  <conditionalFormatting sqref="F47 H47">
    <cfRule type="containsText" dxfId="466" priority="17" stopIfTrue="1" operator="containsText" text="超过">
      <formula>NOT(ISERROR(SEARCH("超过",F47)))</formula>
    </cfRule>
  </conditionalFormatting>
  <conditionalFormatting sqref="E46">
    <cfRule type="expression" dxfId="465" priority="16" stopIfTrue="1">
      <formula>$F$46="超过30%"</formula>
    </cfRule>
  </conditionalFormatting>
  <conditionalFormatting sqref="E47">
    <cfRule type="expression" dxfId="464" priority="15" stopIfTrue="1">
      <formula>$F$47="超过20%"</formula>
    </cfRule>
  </conditionalFormatting>
  <conditionalFormatting sqref="E48">
    <cfRule type="expression" dxfId="463" priority="14" stopIfTrue="1">
      <formula>$F$48="超过30%"</formula>
    </cfRule>
  </conditionalFormatting>
  <conditionalFormatting sqref="G48">
    <cfRule type="expression" dxfId="462" priority="13" stopIfTrue="1">
      <formula>$H$48="超过30%"</formula>
    </cfRule>
  </conditionalFormatting>
  <conditionalFormatting sqref="G46">
    <cfRule type="expression" dxfId="461" priority="12" stopIfTrue="1">
      <formula>$H$46="超过30%"</formula>
    </cfRule>
  </conditionalFormatting>
  <conditionalFormatting sqref="G47">
    <cfRule type="expression" dxfId="460" priority="11" stopIfTrue="1">
      <formula>$H$47="超过20%"</formula>
    </cfRule>
  </conditionalFormatting>
  <conditionalFormatting sqref="J46">
    <cfRule type="containsText" dxfId="459" priority="10" stopIfTrue="1" operator="containsText" text="超过">
      <formula>NOT(ISERROR(SEARCH("超过",J46)))</formula>
    </cfRule>
  </conditionalFormatting>
  <conditionalFormatting sqref="J48">
    <cfRule type="containsText" dxfId="458" priority="9" stopIfTrue="1" operator="containsText" text="超过">
      <formula>NOT(ISERROR(SEARCH("超过",J48)))</formula>
    </cfRule>
  </conditionalFormatting>
  <conditionalFormatting sqref="J47">
    <cfRule type="containsText" dxfId="457" priority="8" stopIfTrue="1" operator="containsText" text="超过">
      <formula>NOT(ISERROR(SEARCH("超过",J47)))</formula>
    </cfRule>
  </conditionalFormatting>
  <conditionalFormatting sqref="I46">
    <cfRule type="expression" dxfId="456" priority="7" stopIfTrue="1">
      <formula>$J$46="超过30%"</formula>
    </cfRule>
  </conditionalFormatting>
  <conditionalFormatting sqref="I47">
    <cfRule type="expression" dxfId="455" priority="6" stopIfTrue="1">
      <formula>$J$47="超过20%"</formula>
    </cfRule>
  </conditionalFormatting>
  <conditionalFormatting sqref="I48">
    <cfRule type="expression" dxfId="454" priority="5" stopIfTrue="1">
      <formula>$J$48="超过30%"</formula>
    </cfRule>
  </conditionalFormatting>
  <conditionalFormatting sqref="F42">
    <cfRule type="expression" dxfId="453" priority="4">
      <formula>$D$42="简单平均"</formula>
    </cfRule>
  </conditionalFormatting>
  <conditionalFormatting sqref="H42">
    <cfRule type="expression" dxfId="452" priority="3">
      <formula>$D$42="简单平均"</formula>
    </cfRule>
  </conditionalFormatting>
  <conditionalFormatting sqref="J42">
    <cfRule type="expression" dxfId="451" priority="2">
      <formula>$D$42="简单平均"</formula>
    </cfRule>
  </conditionalFormatting>
  <conditionalFormatting sqref="F7:F40 H7:H40 J7:J40">
    <cfRule type="cellIs" dxfId="45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3339</v>
      </c>
      <c r="C1" s="1224" t="s">
        <v>1661</v>
      </c>
      <c r="D1" s="1225"/>
      <c r="E1" s="3415"/>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16"/>
      <c r="M2" s="2717"/>
      <c r="N2" s="2717"/>
      <c r="O2" s="2717"/>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16"/>
      <c r="M3" s="2717" t="e">
        <f ca="1">IF(C2="——",IF(B37="元/平方米",ROUND(C39*D3/10000,0),ROUND(F3*C39/10000,0)),IF(B37="元/平方米",ROUND(C39*D3/10000,0),ROUND(F3*C39/10000,0))-D2)</f>
        <v>#DIV/0!</v>
      </c>
      <c r="N3" s="2717"/>
      <c r="O3" s="2717"/>
      <c r="P3" s="1165"/>
      <c r="Q3" s="699"/>
      <c r="R3" s="699"/>
      <c r="S3" s="699"/>
      <c r="T3" s="699"/>
      <c r="U3" s="699"/>
      <c r="V3" s="699"/>
      <c r="W3" s="699"/>
      <c r="X3" s="699"/>
      <c r="Y3" s="699"/>
      <c r="Z3" s="699"/>
      <c r="AA3" s="699"/>
      <c r="AB3" s="716"/>
      <c r="AC3" s="713"/>
    </row>
    <row r="4" spans="1:29" ht="15">
      <c r="A4" s="355" t="s">
        <v>1768</v>
      </c>
      <c r="B4" s="356"/>
      <c r="C4" s="3742" t="s">
        <v>1769</v>
      </c>
      <c r="D4" s="3743"/>
      <c r="E4" s="3744" t="s">
        <v>1770</v>
      </c>
      <c r="F4" s="3745"/>
      <c r="G4" s="3742" t="s">
        <v>1771</v>
      </c>
      <c r="H4" s="3743"/>
      <c r="I4" s="3742" t="s">
        <v>1772</v>
      </c>
      <c r="J4" s="3743"/>
      <c r="K4" s="559" t="s">
        <v>1773</v>
      </c>
      <c r="L4" s="2697"/>
      <c r="M4" s="2698"/>
      <c r="N4" s="2698"/>
      <c r="O4" s="2698"/>
      <c r="P4" s="3746" t="s">
        <v>1774</v>
      </c>
      <c r="Q4" s="3747"/>
      <c r="R4" s="3729" t="s">
        <v>1770</v>
      </c>
      <c r="S4" s="3730"/>
      <c r="T4" s="3729" t="s">
        <v>1771</v>
      </c>
      <c r="U4" s="3730"/>
      <c r="V4" s="3726" t="s">
        <v>1772</v>
      </c>
      <c r="W4" s="3726"/>
      <c r="X4" s="1355"/>
      <c r="Y4" s="3729" t="s">
        <v>1774</v>
      </c>
      <c r="Z4" s="3730"/>
      <c r="AA4" s="3723" t="s">
        <v>1770</v>
      </c>
      <c r="AB4" s="3724" t="s">
        <v>1771</v>
      </c>
      <c r="AC4" s="3723" t="s">
        <v>1772</v>
      </c>
    </row>
    <row r="5" spans="1:29" ht="15">
      <c r="A5" s="358"/>
      <c r="B5" s="359"/>
      <c r="C5" s="3735" t="s">
        <v>1672</v>
      </c>
      <c r="D5" s="3736"/>
      <c r="E5" s="3733" t="s">
        <v>1673</v>
      </c>
      <c r="F5" s="3734"/>
      <c r="G5" s="3735" t="s">
        <v>1674</v>
      </c>
      <c r="H5" s="3736"/>
      <c r="I5" s="3735" t="s">
        <v>1675</v>
      </c>
      <c r="J5" s="3736"/>
      <c r="K5" s="559"/>
      <c r="L5" s="2697"/>
      <c r="M5" s="2698"/>
      <c r="N5" s="2698"/>
      <c r="O5" s="2698"/>
      <c r="P5" s="3748"/>
      <c r="Q5" s="3749"/>
      <c r="R5" s="3731"/>
      <c r="S5" s="3732"/>
      <c r="T5" s="3731"/>
      <c r="U5" s="3732"/>
      <c r="V5" s="3726"/>
      <c r="W5" s="3726"/>
      <c r="X5" s="1355"/>
      <c r="Y5" s="3731"/>
      <c r="Z5" s="3732"/>
      <c r="AA5" s="3724"/>
      <c r="AB5" s="3724"/>
      <c r="AC5" s="3724"/>
    </row>
    <row r="6" spans="1:29" ht="15.75" thickBot="1">
      <c r="A6" s="360"/>
      <c r="B6" s="361"/>
      <c r="C6" s="3737" t="s">
        <v>1676</v>
      </c>
      <c r="D6" s="3738"/>
      <c r="E6" s="3739" t="s">
        <v>1676</v>
      </c>
      <c r="F6" s="3740"/>
      <c r="G6" s="3737" t="s">
        <v>1676</v>
      </c>
      <c r="H6" s="3738"/>
      <c r="I6" s="3737" t="s">
        <v>1676</v>
      </c>
      <c r="J6" s="3738"/>
      <c r="K6" s="559" t="s">
        <v>1677</v>
      </c>
      <c r="L6" s="2697"/>
      <c r="M6" s="2698"/>
      <c r="N6" s="2698"/>
      <c r="O6" s="2698"/>
      <c r="P6" s="3750"/>
      <c r="Q6" s="3751"/>
      <c r="R6" s="3731"/>
      <c r="S6" s="3732"/>
      <c r="T6" s="3752"/>
      <c r="U6" s="3753"/>
      <c r="V6" s="3726"/>
      <c r="W6" s="3726"/>
      <c r="X6" s="1355"/>
      <c r="Y6" s="3752"/>
      <c r="Z6" s="3753"/>
      <c r="AA6" s="3725"/>
      <c r="AB6" s="3725"/>
      <c r="AC6" s="3725"/>
    </row>
    <row r="7" spans="1:29" s="108" customFormat="1" ht="15.75" thickBot="1">
      <c r="A7" s="362" t="s">
        <v>1678</v>
      </c>
      <c r="B7" s="363"/>
      <c r="C7" s="364">
        <f>'数据-取费表'!B2</f>
        <v>45009</v>
      </c>
      <c r="D7" s="365">
        <v>100</v>
      </c>
      <c r="E7" s="366"/>
      <c r="F7" s="367">
        <f>SUMIF(48:48,YEAR(E7)&amp;"-"&amp;MONTH(E7),49:49)</f>
        <v>0</v>
      </c>
      <c r="G7" s="366"/>
      <c r="H7" s="365">
        <f>SUMIF(48:48,YEAR(G7)&amp;"-"&amp;MONTH(G7),49:49)</f>
        <v>0</v>
      </c>
      <c r="I7" s="366"/>
      <c r="J7" s="365">
        <f>SUMIF(48:48,YEAR(I7)&amp;"-"&amp;MONTH(I7),49:49)</f>
        <v>0</v>
      </c>
      <c r="K7" s="560"/>
      <c r="L7" s="2699"/>
      <c r="M7" s="2700"/>
      <c r="N7" s="2700"/>
      <c r="O7" s="2700"/>
      <c r="P7" s="3727" t="s">
        <v>1679</v>
      </c>
      <c r="Q7" s="3754"/>
      <c r="R7" s="701" t="s">
        <v>14</v>
      </c>
      <c r="S7" s="702">
        <f t="shared" ref="S7:S14" si="0">F7</f>
        <v>0</v>
      </c>
      <c r="T7" s="701" t="s">
        <v>14</v>
      </c>
      <c r="U7" s="702">
        <f t="shared" ref="U7:U14" si="1">H7</f>
        <v>0</v>
      </c>
      <c r="V7" s="701" t="s">
        <v>14</v>
      </c>
      <c r="W7" s="702">
        <f t="shared" ref="W7:W14" si="2">J7</f>
        <v>0</v>
      </c>
      <c r="X7" s="703"/>
      <c r="Y7" s="3727" t="s">
        <v>1679</v>
      </c>
      <c r="Z7" s="3728"/>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699"/>
      <c r="M8" s="2700"/>
      <c r="N8" s="2700"/>
      <c r="O8" s="2700"/>
      <c r="P8" s="3727" t="s">
        <v>1682</v>
      </c>
      <c r="Q8" s="3728"/>
      <c r="R8" s="701" t="s">
        <v>14</v>
      </c>
      <c r="S8" s="702">
        <f t="shared" si="0"/>
        <v>100</v>
      </c>
      <c r="T8" s="701" t="s">
        <v>14</v>
      </c>
      <c r="U8" s="702">
        <f t="shared" si="1"/>
        <v>100</v>
      </c>
      <c r="V8" s="701" t="s">
        <v>14</v>
      </c>
      <c r="W8" s="702">
        <f t="shared" si="2"/>
        <v>100</v>
      </c>
      <c r="X8" s="703"/>
      <c r="Y8" s="3727" t="s">
        <v>1682</v>
      </c>
      <c r="Z8" s="3728"/>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699"/>
      <c r="M9" s="2700"/>
      <c r="N9" s="2700"/>
      <c r="O9" s="2700"/>
      <c r="P9" s="3764" t="s">
        <v>1685</v>
      </c>
      <c r="Q9" s="1343" t="str">
        <f t="shared" ref="Q9:Q14" si="6">B9</f>
        <v>用途</v>
      </c>
      <c r="R9" s="701" t="s">
        <v>14</v>
      </c>
      <c r="S9" s="702">
        <f t="shared" si="0"/>
        <v>100</v>
      </c>
      <c r="T9" s="701" t="s">
        <v>14</v>
      </c>
      <c r="U9" s="702">
        <f t="shared" si="1"/>
        <v>100</v>
      </c>
      <c r="V9" s="701" t="s">
        <v>14</v>
      </c>
      <c r="W9" s="702">
        <f t="shared" si="2"/>
        <v>100</v>
      </c>
      <c r="X9" s="703"/>
      <c r="Y9" s="3696" t="s">
        <v>1686</v>
      </c>
      <c r="Z9" s="52" t="str">
        <f t="shared" ref="Z9:Z14" si="7">Q9</f>
        <v>用途</v>
      </c>
      <c r="AA9" s="704">
        <f t="shared" si="3"/>
        <v>1</v>
      </c>
      <c r="AB9" s="704">
        <f t="shared" si="4"/>
        <v>1</v>
      </c>
      <c r="AC9" s="704">
        <f t="shared" si="5"/>
        <v>1</v>
      </c>
    </row>
    <row r="10" spans="1:29" s="378" customFormat="1" ht="27">
      <c r="A10" s="589"/>
      <c r="B10" s="590" t="s">
        <v>1687</v>
      </c>
      <c r="C10" s="3416"/>
      <c r="D10" s="127">
        <v>100</v>
      </c>
      <c r="E10" s="3416"/>
      <c r="F10" s="127">
        <f>SUMIF(55:55,E10,56:56)-SUMIF(55:55,C10,56:56)+100</f>
        <v>100</v>
      </c>
      <c r="G10" s="3417"/>
      <c r="H10" s="127">
        <f>SUMIF(55:55,G10,56:56)-SUMIF(55:55,C10,56:56)+100</f>
        <v>100</v>
      </c>
      <c r="I10" s="3416"/>
      <c r="J10" s="127">
        <f>SUMIF(55:55,I10,56:56)-SUMIF(55:55,C10,56:56)+100</f>
        <v>100</v>
      </c>
      <c r="K10" s="560"/>
      <c r="L10" s="2701"/>
      <c r="M10" s="2702"/>
      <c r="N10" s="2702"/>
      <c r="O10" s="2702"/>
      <c r="P10" s="3764"/>
      <c r="Q10" s="1343" t="str">
        <f t="shared" si="6"/>
        <v>土地使用年限（年）</v>
      </c>
      <c r="R10" s="701" t="s">
        <v>14</v>
      </c>
      <c r="S10" s="702">
        <f t="shared" si="0"/>
        <v>100</v>
      </c>
      <c r="T10" s="701" t="s">
        <v>14</v>
      </c>
      <c r="U10" s="702">
        <f t="shared" si="1"/>
        <v>100</v>
      </c>
      <c r="V10" s="701" t="s">
        <v>14</v>
      </c>
      <c r="W10" s="702">
        <f t="shared" si="2"/>
        <v>100</v>
      </c>
      <c r="X10" s="703"/>
      <c r="Y10" s="369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3"/>
      <c r="M11" s="2698"/>
      <c r="N11" s="2698"/>
      <c r="O11" s="2698"/>
      <c r="P11" s="3764"/>
      <c r="Q11" s="1343">
        <f t="shared" si="6"/>
        <v>111</v>
      </c>
      <c r="R11" s="701" t="s">
        <v>14</v>
      </c>
      <c r="S11" s="702">
        <f t="shared" si="0"/>
        <v>100</v>
      </c>
      <c r="T11" s="701" t="s">
        <v>14</v>
      </c>
      <c r="U11" s="702">
        <f t="shared" si="1"/>
        <v>100</v>
      </c>
      <c r="V11" s="701" t="s">
        <v>14</v>
      </c>
      <c r="W11" s="702">
        <f t="shared" si="2"/>
        <v>100</v>
      </c>
      <c r="X11" s="703"/>
      <c r="Y11" s="369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9"/>
      <c r="M12" s="2700"/>
      <c r="N12" s="2700"/>
      <c r="O12" s="2700"/>
      <c r="P12" s="3764"/>
      <c r="Q12" s="1343">
        <f t="shared" si="6"/>
        <v>111</v>
      </c>
      <c r="R12" s="701" t="s">
        <v>14</v>
      </c>
      <c r="S12" s="702">
        <f t="shared" si="0"/>
        <v>100</v>
      </c>
      <c r="T12" s="701" t="s">
        <v>14</v>
      </c>
      <c r="U12" s="702">
        <f t="shared" si="1"/>
        <v>100</v>
      </c>
      <c r="V12" s="701" t="s">
        <v>14</v>
      </c>
      <c r="W12" s="702">
        <f t="shared" si="2"/>
        <v>100</v>
      </c>
      <c r="X12" s="703"/>
      <c r="Y12" s="369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4"/>
      <c r="M13" s="2698"/>
      <c r="N13" s="2698"/>
      <c r="O13" s="2698"/>
      <c r="P13" s="3764"/>
      <c r="Q13" s="1343">
        <f t="shared" si="6"/>
        <v>111</v>
      </c>
      <c r="R13" s="701" t="s">
        <v>14</v>
      </c>
      <c r="S13" s="702">
        <f t="shared" si="0"/>
        <v>100</v>
      </c>
      <c r="T13" s="701" t="s">
        <v>14</v>
      </c>
      <c r="U13" s="702">
        <f t="shared" si="1"/>
        <v>100</v>
      </c>
      <c r="V13" s="701" t="s">
        <v>14</v>
      </c>
      <c r="W13" s="702">
        <f t="shared" si="2"/>
        <v>100</v>
      </c>
      <c r="X13" s="703"/>
      <c r="Y13" s="3696"/>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4"/>
      <c r="M14" s="2698"/>
      <c r="N14" s="2698"/>
      <c r="O14" s="2698"/>
      <c r="P14" s="3757" t="s">
        <v>1690</v>
      </c>
      <c r="Q14" s="1352" t="str">
        <f t="shared" si="6"/>
        <v>交通便捷度</v>
      </c>
      <c r="R14" s="705" t="s">
        <v>14</v>
      </c>
      <c r="S14" s="706">
        <f t="shared" si="0"/>
        <v>100</v>
      </c>
      <c r="T14" s="705" t="s">
        <v>14</v>
      </c>
      <c r="U14" s="706">
        <f t="shared" si="1"/>
        <v>100</v>
      </c>
      <c r="V14" s="705" t="s">
        <v>14</v>
      </c>
      <c r="W14" s="706">
        <f t="shared" si="2"/>
        <v>100</v>
      </c>
      <c r="X14" s="1355"/>
      <c r="Y14" s="3757"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04"/>
      <c r="M15" s="2698"/>
      <c r="N15" s="2698"/>
      <c r="O15" s="2698"/>
      <c r="P15" s="3758"/>
      <c r="Q15" s="1352"/>
      <c r="R15" s="705"/>
      <c r="S15" s="706"/>
      <c r="T15" s="705"/>
      <c r="U15" s="706"/>
      <c r="V15" s="705"/>
      <c r="W15" s="706"/>
      <c r="X15" s="1355"/>
      <c r="Y15" s="3758"/>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4"/>
      <c r="M16" s="2698"/>
      <c r="N16" s="2698"/>
      <c r="O16" s="2698"/>
      <c r="P16" s="3758"/>
      <c r="Q16" s="1352" t="str">
        <f>B16</f>
        <v>公共配套设施</v>
      </c>
      <c r="R16" s="705" t="s">
        <v>14</v>
      </c>
      <c r="S16" s="706">
        <f>F16</f>
        <v>100</v>
      </c>
      <c r="T16" s="705" t="s">
        <v>14</v>
      </c>
      <c r="U16" s="706">
        <f>H16</f>
        <v>100</v>
      </c>
      <c r="V16" s="705" t="s">
        <v>14</v>
      </c>
      <c r="W16" s="706">
        <f>J16</f>
        <v>100</v>
      </c>
      <c r="X16" s="1355"/>
      <c r="Y16" s="375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04"/>
      <c r="M17" s="2698"/>
      <c r="N17" s="2698"/>
      <c r="O17" s="2698"/>
      <c r="P17" s="3758"/>
      <c r="Q17" s="1352"/>
      <c r="R17" s="705"/>
      <c r="S17" s="706"/>
      <c r="T17" s="705"/>
      <c r="U17" s="706"/>
      <c r="V17" s="705"/>
      <c r="W17" s="706"/>
      <c r="X17" s="1355"/>
      <c r="Y17" s="3758"/>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4"/>
      <c r="M18" s="2698"/>
      <c r="N18" s="2698"/>
      <c r="O18" s="2698"/>
      <c r="P18" s="3758"/>
      <c r="Q18" s="1352" t="str">
        <f>B18</f>
        <v>基础设施水平</v>
      </c>
      <c r="R18" s="705" t="s">
        <v>14</v>
      </c>
      <c r="S18" s="706">
        <f>F18</f>
        <v>100</v>
      </c>
      <c r="T18" s="705" t="s">
        <v>14</v>
      </c>
      <c r="U18" s="706">
        <f>H18</f>
        <v>100</v>
      </c>
      <c r="V18" s="705" t="s">
        <v>14</v>
      </c>
      <c r="W18" s="706">
        <f>J18</f>
        <v>100</v>
      </c>
      <c r="X18" s="1355"/>
      <c r="Y18" s="375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04"/>
      <c r="M19" s="2698"/>
      <c r="N19" s="2698"/>
      <c r="O19" s="2698"/>
      <c r="P19" s="3758"/>
      <c r="Q19" s="1352"/>
      <c r="R19" s="705"/>
      <c r="S19" s="706"/>
      <c r="T19" s="705"/>
      <c r="U19" s="706"/>
      <c r="V19" s="705"/>
      <c r="W19" s="706"/>
      <c r="X19" s="1355"/>
      <c r="Y19" s="3758"/>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4"/>
      <c r="M20" s="2698"/>
      <c r="N20" s="2698"/>
      <c r="O20" s="2698"/>
      <c r="P20" s="3758"/>
      <c r="Q20" s="1352" t="str">
        <f>B20</f>
        <v>自然及人文环境</v>
      </c>
      <c r="R20" s="705" t="s">
        <v>14</v>
      </c>
      <c r="S20" s="706">
        <f>F20</f>
        <v>100</v>
      </c>
      <c r="T20" s="705" t="s">
        <v>14</v>
      </c>
      <c r="U20" s="706">
        <f>H20</f>
        <v>100</v>
      </c>
      <c r="V20" s="705" t="s">
        <v>14</v>
      </c>
      <c r="W20" s="706">
        <f>J20</f>
        <v>100</v>
      </c>
      <c r="X20" s="1355"/>
      <c r="Y20" s="375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04"/>
      <c r="M21" s="2698"/>
      <c r="N21" s="2698"/>
      <c r="O21" s="2698"/>
      <c r="P21" s="3758"/>
      <c r="Q21" s="1352"/>
      <c r="R21" s="705"/>
      <c r="S21" s="706"/>
      <c r="T21" s="705"/>
      <c r="U21" s="706"/>
      <c r="V21" s="705"/>
      <c r="W21" s="706"/>
      <c r="X21" s="1355"/>
      <c r="Y21" s="3758"/>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04"/>
      <c r="M22" s="2698"/>
      <c r="N22" s="2698"/>
      <c r="O22" s="2698"/>
      <c r="P22" s="3758"/>
      <c r="Q22" s="1352" t="str">
        <f>B22</f>
        <v>楼层</v>
      </c>
      <c r="R22" s="705" t="s">
        <v>14</v>
      </c>
      <c r="S22" s="706">
        <f>F22</f>
        <v>100</v>
      </c>
      <c r="T22" s="705" t="s">
        <v>14</v>
      </c>
      <c r="U22" s="706">
        <f>H22</f>
        <v>100</v>
      </c>
      <c r="V22" s="705" t="s">
        <v>14</v>
      </c>
      <c r="W22" s="706">
        <f>J22</f>
        <v>100</v>
      </c>
      <c r="X22" s="1355"/>
      <c r="Y22" s="375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4"/>
      <c r="M23" s="2698"/>
      <c r="N23" s="2698"/>
      <c r="O23" s="2698"/>
      <c r="P23" s="3758"/>
      <c r="Q23" s="1352">
        <f>B23</f>
        <v>111</v>
      </c>
      <c r="R23" s="705" t="s">
        <v>14</v>
      </c>
      <c r="S23" s="706">
        <f>F23</f>
        <v>100</v>
      </c>
      <c r="T23" s="705" t="s">
        <v>14</v>
      </c>
      <c r="U23" s="706">
        <f>H23</f>
        <v>100</v>
      </c>
      <c r="V23" s="705" t="s">
        <v>14</v>
      </c>
      <c r="W23" s="706">
        <f>J23</f>
        <v>100</v>
      </c>
      <c r="X23" s="1355"/>
      <c r="Y23" s="375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4"/>
      <c r="M24" s="2698"/>
      <c r="N24" s="2698"/>
      <c r="O24" s="2698"/>
      <c r="P24" s="3758"/>
      <c r="Q24" s="1352">
        <f t="shared" ref="Q24:Q36" si="11">B24</f>
        <v>111</v>
      </c>
      <c r="R24" s="705" t="s">
        <v>14</v>
      </c>
      <c r="S24" s="706">
        <f>F24</f>
        <v>100</v>
      </c>
      <c r="T24" s="705" t="s">
        <v>14</v>
      </c>
      <c r="U24" s="706">
        <f>H24</f>
        <v>100</v>
      </c>
      <c r="V24" s="705" t="s">
        <v>14</v>
      </c>
      <c r="W24" s="706">
        <f>J24</f>
        <v>100</v>
      </c>
      <c r="X24" s="1355"/>
      <c r="Y24" s="375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9"/>
      <c r="M25" s="2700"/>
      <c r="N25" s="2700"/>
      <c r="O25" s="2700"/>
      <c r="P25" s="3758"/>
      <c r="Q25" s="1343">
        <f t="shared" si="11"/>
        <v>111</v>
      </c>
      <c r="R25" s="701" t="s">
        <v>14</v>
      </c>
      <c r="S25" s="702">
        <f>F25</f>
        <v>100</v>
      </c>
      <c r="T25" s="701" t="s">
        <v>14</v>
      </c>
      <c r="U25" s="702">
        <f>H25</f>
        <v>100</v>
      </c>
      <c r="V25" s="701" t="s">
        <v>14</v>
      </c>
      <c r="W25" s="702">
        <f>J25</f>
        <v>100</v>
      </c>
      <c r="X25" s="703"/>
      <c r="Y25" s="3758"/>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04"/>
      <c r="M26" s="2698"/>
      <c r="N26" s="2698"/>
      <c r="O26" s="2698"/>
      <c r="P26" s="3810"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62"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03"/>
      <c r="M27" s="2705"/>
      <c r="N27" s="2705"/>
      <c r="O27" s="2705"/>
      <c r="P27" s="3762"/>
      <c r="Q27" s="707" t="str">
        <f t="shared" si="11"/>
        <v>项目停车位配比</v>
      </c>
      <c r="R27" s="708" t="s">
        <v>14</v>
      </c>
      <c r="S27" s="709">
        <f t="shared" si="12"/>
        <v>100</v>
      </c>
      <c r="T27" s="708" t="s">
        <v>14</v>
      </c>
      <c r="U27" s="709">
        <f t="shared" si="13"/>
        <v>100</v>
      </c>
      <c r="V27" s="708" t="s">
        <v>14</v>
      </c>
      <c r="W27" s="709">
        <f t="shared" si="14"/>
        <v>100</v>
      </c>
      <c r="X27" s="710"/>
      <c r="Y27" s="3762"/>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04"/>
      <c r="M28" s="2698"/>
      <c r="N28" s="2698"/>
      <c r="O28" s="2698"/>
      <c r="P28" s="3762"/>
      <c r="Q28" s="1352" t="str">
        <f t="shared" si="11"/>
        <v>公共部分装修</v>
      </c>
      <c r="R28" s="705" t="s">
        <v>14</v>
      </c>
      <c r="S28" s="706">
        <f t="shared" si="12"/>
        <v>100</v>
      </c>
      <c r="T28" s="705" t="s">
        <v>14</v>
      </c>
      <c r="U28" s="706">
        <f t="shared" si="13"/>
        <v>100</v>
      </c>
      <c r="V28" s="705" t="s">
        <v>14</v>
      </c>
      <c r="W28" s="706">
        <f t="shared" si="14"/>
        <v>100</v>
      </c>
      <c r="X28" s="1355"/>
      <c r="Y28" s="3762"/>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4"/>
      <c r="M29" s="2698"/>
      <c r="N29" s="2698"/>
      <c r="O29" s="2698"/>
      <c r="P29" s="3762"/>
      <c r="Q29" s="1352" t="str">
        <f t="shared" si="11"/>
        <v>成新率</v>
      </c>
      <c r="R29" s="705" t="s">
        <v>14</v>
      </c>
      <c r="S29" s="706" t="e">
        <f t="shared" si="12"/>
        <v>#N/A</v>
      </c>
      <c r="T29" s="705" t="s">
        <v>14</v>
      </c>
      <c r="U29" s="706" t="e">
        <f t="shared" si="13"/>
        <v>#N/A</v>
      </c>
      <c r="V29" s="705" t="s">
        <v>14</v>
      </c>
      <c r="W29" s="706" t="e">
        <f t="shared" si="14"/>
        <v>#N/A</v>
      </c>
      <c r="X29" s="1355"/>
      <c r="Y29" s="3762"/>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04"/>
      <c r="M30" s="2698"/>
      <c r="N30" s="2698"/>
      <c r="O30" s="2698"/>
      <c r="P30" s="3762"/>
      <c r="Q30" s="1352" t="str">
        <f t="shared" si="11"/>
        <v>物业等级</v>
      </c>
      <c r="R30" s="705" t="s">
        <v>14</v>
      </c>
      <c r="S30" s="706">
        <f t="shared" si="12"/>
        <v>100</v>
      </c>
      <c r="T30" s="705" t="s">
        <v>14</v>
      </c>
      <c r="U30" s="706">
        <f t="shared" si="13"/>
        <v>100</v>
      </c>
      <c r="V30" s="705" t="s">
        <v>14</v>
      </c>
      <c r="W30" s="706">
        <f t="shared" si="14"/>
        <v>100</v>
      </c>
      <c r="X30" s="1355"/>
      <c r="Y30" s="3762"/>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9"/>
      <c r="M31" s="2700"/>
      <c r="N31" s="2700"/>
      <c r="O31" s="2700"/>
      <c r="P31" s="3762"/>
      <c r="Q31" s="1343" t="str">
        <f t="shared" si="11"/>
        <v>停车位面积</v>
      </c>
      <c r="R31" s="701" t="s">
        <v>14</v>
      </c>
      <c r="S31" s="702" t="e">
        <f t="shared" si="12"/>
        <v>#N/A</v>
      </c>
      <c r="T31" s="701" t="s">
        <v>14</v>
      </c>
      <c r="U31" s="702" t="e">
        <f t="shared" si="13"/>
        <v>#N/A</v>
      </c>
      <c r="V31" s="701" t="s">
        <v>14</v>
      </c>
      <c r="W31" s="702" t="e">
        <f t="shared" si="14"/>
        <v>#N/A</v>
      </c>
      <c r="X31" s="703"/>
      <c r="Y31" s="376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04"/>
      <c r="M32" s="2698"/>
      <c r="N32" s="2698"/>
      <c r="O32" s="2698"/>
      <c r="P32" s="3762" t="s">
        <v>1695</v>
      </c>
      <c r="Q32" s="1352" t="str">
        <f t="shared" si="11"/>
        <v>车位类型</v>
      </c>
      <c r="R32" s="705" t="s">
        <v>14</v>
      </c>
      <c r="S32" s="706">
        <f t="shared" si="12"/>
        <v>100</v>
      </c>
      <c r="T32" s="705" t="s">
        <v>14</v>
      </c>
      <c r="U32" s="706">
        <f t="shared" si="13"/>
        <v>100</v>
      </c>
      <c r="V32" s="705" t="s">
        <v>14</v>
      </c>
      <c r="W32" s="706">
        <f t="shared" si="14"/>
        <v>100</v>
      </c>
      <c r="X32" s="1355"/>
      <c r="Y32" s="3762"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04"/>
      <c r="M33" s="2698"/>
      <c r="N33" s="2698"/>
      <c r="O33" s="2698"/>
      <c r="P33" s="3762"/>
      <c r="Q33" s="1352" t="str">
        <f t="shared" si="11"/>
        <v>是否直接入户</v>
      </c>
      <c r="R33" s="705" t="s">
        <v>14</v>
      </c>
      <c r="S33" s="706">
        <f t="shared" si="12"/>
        <v>100</v>
      </c>
      <c r="T33" s="705" t="s">
        <v>14</v>
      </c>
      <c r="U33" s="706">
        <f t="shared" si="13"/>
        <v>100</v>
      </c>
      <c r="V33" s="705" t="s">
        <v>14</v>
      </c>
      <c r="W33" s="706">
        <f t="shared" si="14"/>
        <v>100</v>
      </c>
      <c r="X33" s="1355"/>
      <c r="Y33" s="376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4"/>
      <c r="M34" s="2698"/>
      <c r="N34" s="2698"/>
      <c r="O34" s="2698"/>
      <c r="P34" s="3762"/>
      <c r="Q34" s="1352">
        <f t="shared" si="11"/>
        <v>111</v>
      </c>
      <c r="R34" s="705" t="s">
        <v>14</v>
      </c>
      <c r="S34" s="706">
        <f t="shared" si="12"/>
        <v>100</v>
      </c>
      <c r="T34" s="705" t="s">
        <v>14</v>
      </c>
      <c r="U34" s="706">
        <f t="shared" si="13"/>
        <v>100</v>
      </c>
      <c r="V34" s="705" t="s">
        <v>14</v>
      </c>
      <c r="W34" s="706">
        <f t="shared" si="14"/>
        <v>100</v>
      </c>
      <c r="X34" s="1355"/>
      <c r="Y34" s="376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3"/>
      <c r="M35" s="2705"/>
      <c r="N35" s="2705"/>
      <c r="O35" s="2705"/>
      <c r="P35" s="3762"/>
      <c r="Q35" s="707">
        <f t="shared" si="11"/>
        <v>111</v>
      </c>
      <c r="R35" s="708" t="s">
        <v>14</v>
      </c>
      <c r="S35" s="709">
        <f t="shared" si="12"/>
        <v>100</v>
      </c>
      <c r="T35" s="708" t="s">
        <v>14</v>
      </c>
      <c r="U35" s="709">
        <f t="shared" si="13"/>
        <v>100</v>
      </c>
      <c r="V35" s="708" t="s">
        <v>14</v>
      </c>
      <c r="W35" s="709">
        <f t="shared" si="14"/>
        <v>100</v>
      </c>
      <c r="X35" s="710"/>
      <c r="Y35" s="376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4"/>
      <c r="M36" s="2698"/>
      <c r="N36" s="2698"/>
      <c r="O36" s="2698"/>
      <c r="P36" s="3762"/>
      <c r="Q36" s="1352">
        <f t="shared" si="11"/>
        <v>111</v>
      </c>
      <c r="R36" s="705" t="s">
        <v>14</v>
      </c>
      <c r="S36" s="706">
        <f t="shared" si="12"/>
        <v>100</v>
      </c>
      <c r="T36" s="705" t="s">
        <v>14</v>
      </c>
      <c r="U36" s="706">
        <f t="shared" si="13"/>
        <v>100</v>
      </c>
      <c r="V36" s="705" t="s">
        <v>14</v>
      </c>
      <c r="W36" s="706">
        <f t="shared" si="14"/>
        <v>100</v>
      </c>
      <c r="X36" s="1355"/>
      <c r="Y36" s="3762"/>
      <c r="Z36" s="1356">
        <f t="shared" si="15"/>
        <v>111</v>
      </c>
      <c r="AA36" s="1353">
        <f t="shared" si="3"/>
        <v>1</v>
      </c>
      <c r="AB36" s="1353">
        <f t="shared" si="4"/>
        <v>1</v>
      </c>
      <c r="AC36" s="1353">
        <f t="shared" si="5"/>
        <v>1</v>
      </c>
    </row>
    <row r="37" spans="1:29" ht="15">
      <c r="A37" s="430" t="s">
        <v>1843</v>
      </c>
      <c r="B37" s="1973" t="s">
        <v>3360</v>
      </c>
      <c r="C37" s="1154" t="s">
        <v>0</v>
      </c>
      <c r="D37" s="1155"/>
      <c r="E37" s="1156"/>
      <c r="F37" s="1157"/>
      <c r="G37" s="1158"/>
      <c r="H37" s="1159"/>
      <c r="I37" s="1156"/>
      <c r="J37" s="1159"/>
      <c r="K37" s="568"/>
      <c r="L37" s="2706"/>
      <c r="M37" s="2707"/>
      <c r="N37" s="2698"/>
      <c r="O37" s="2707"/>
      <c r="P37" s="3764" t="str">
        <f>A37</f>
        <v>成交单价</v>
      </c>
      <c r="Q37" s="3764"/>
      <c r="R37" s="3765">
        <f>E37</f>
        <v>0</v>
      </c>
      <c r="S37" s="3765"/>
      <c r="T37" s="3765">
        <f>G37</f>
        <v>0</v>
      </c>
      <c r="U37" s="3765"/>
      <c r="V37" s="3765">
        <f>I37</f>
        <v>0</v>
      </c>
      <c r="W37" s="3765"/>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06"/>
      <c r="M38" s="2707"/>
      <c r="N38" s="2707"/>
      <c r="O38" s="2707"/>
      <c r="P38" s="3764" t="str">
        <f>A38</f>
        <v>比较价值（元/平方米）</v>
      </c>
      <c r="Q38" s="3764"/>
      <c r="R38" s="3765" t="e">
        <f>IF(F1="售价",ROUND(PRODUCT(R37,AA7:AA36),0),ROUND(PRODUCT(R37,AA7:AA36),1))</f>
        <v>#DIV/0!</v>
      </c>
      <c r="S38" s="3765"/>
      <c r="T38" s="3765" t="e">
        <f>IF(F1="售价",ROUND(PRODUCT(T37,AB7:AB36),0),ROUND(PRODUCT(T37,AB7:AB36),1))</f>
        <v>#DIV/0!</v>
      </c>
      <c r="U38" s="3765"/>
      <c r="V38" s="3765" t="e">
        <f>IF(F1="售价",ROUND(PRODUCT(V37,AC7:AC36),0),ROUND(PRODUCT(V37,AC7:AC36),1))</f>
        <v>#DIV/0!</v>
      </c>
      <c r="W38" s="3765"/>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06"/>
      <c r="M39" s="2707"/>
      <c r="N39" s="2707"/>
      <c r="O39" s="2707"/>
      <c r="P39" s="3766" t="str">
        <f>A39</f>
        <v>估价对象XX用房的比较价值（楼面单价，元/平方米）</v>
      </c>
      <c r="Q39" s="3767"/>
      <c r="R39" s="3811" t="e">
        <f>IF(F1="售价",ROUND(IF(D38="简单平均",AVERAGE(R38:W38),R38*F38+T38*H38+V38*J38),0),ROUND(IF(D38="简单平均",AVERAGE(R38:V38),R38*F38+T38*H38+V38*J38),1))</f>
        <v>#DIV/0!</v>
      </c>
      <c r="S39" s="3811"/>
      <c r="T39" s="3811"/>
      <c r="U39" s="3811"/>
      <c r="V39" s="3811"/>
      <c r="W39" s="3811"/>
      <c r="X39" s="690"/>
      <c r="Y39" s="690"/>
      <c r="Z39" s="690"/>
      <c r="AA39" s="690"/>
      <c r="AB39" s="690"/>
      <c r="AC39" s="690"/>
    </row>
    <row r="40" spans="1:29">
      <c r="A40" s="2707"/>
      <c r="B40" s="2707"/>
      <c r="C40" s="2707"/>
      <c r="D40" s="2707"/>
      <c r="E40" s="2707"/>
      <c r="F40" s="2707"/>
      <c r="G40" s="2711"/>
      <c r="H40" s="2707"/>
      <c r="I40" s="2707"/>
      <c r="J40" s="2707"/>
      <c r="K40" s="2712"/>
      <c r="L40" s="2708"/>
      <c r="M40" s="2707"/>
      <c r="N40" s="2707"/>
      <c r="O40" s="2707"/>
      <c r="P40" s="2738"/>
      <c r="Q40" s="2707"/>
      <c r="R40" s="2707"/>
      <c r="S40" s="2707"/>
      <c r="T40" s="2707"/>
      <c r="U40" s="2707"/>
      <c r="V40" s="2707"/>
      <c r="W40" s="2707"/>
      <c r="X40" s="2707"/>
      <c r="Y40" s="2707"/>
      <c r="Z40" s="2707"/>
      <c r="AA40" s="2707"/>
      <c r="AB40" s="2707"/>
      <c r="AC40" s="2707"/>
    </row>
    <row r="41" spans="1:29">
      <c r="A41" s="2707"/>
      <c r="B41" s="2707"/>
      <c r="C41" s="2707"/>
      <c r="D41" s="2707"/>
      <c r="E41" s="2707"/>
      <c r="F41" s="2707"/>
      <c r="G41" s="2707"/>
      <c r="H41" s="2707"/>
      <c r="I41" s="2707"/>
      <c r="J41" s="2707"/>
      <c r="K41" s="2712"/>
      <c r="L41" s="2708"/>
      <c r="M41" s="2707"/>
      <c r="N41" s="2707"/>
      <c r="O41" s="2707"/>
      <c r="P41" s="2738"/>
      <c r="Q41" s="2707"/>
      <c r="R41" s="2707"/>
      <c r="S41" s="2707"/>
      <c r="T41" s="2707"/>
      <c r="U41" s="2707"/>
      <c r="V41" s="2707"/>
      <c r="W41" s="2707"/>
      <c r="X41" s="2707"/>
      <c r="Y41" s="2707"/>
      <c r="Z41" s="2707"/>
      <c r="AA41" s="2707"/>
      <c r="AB41" s="2707"/>
      <c r="AC41" s="2707"/>
    </row>
    <row r="42" spans="1:29" ht="13.5" customHeight="1">
      <c r="A42" s="2707"/>
      <c r="B42" s="2707"/>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12"/>
      <c r="L42" s="2708"/>
      <c r="M42" s="2707"/>
      <c r="N42" s="2707"/>
      <c r="O42" s="2707"/>
      <c r="P42" s="2738"/>
      <c r="Q42" s="2707"/>
      <c r="R42" s="2707"/>
      <c r="S42" s="2707"/>
      <c r="T42" s="2707"/>
      <c r="U42" s="2707"/>
      <c r="V42" s="2707"/>
      <c r="W42" s="2707"/>
      <c r="X42" s="2707"/>
      <c r="Y42" s="2707"/>
      <c r="Z42" s="2707"/>
      <c r="AA42" s="2707"/>
      <c r="AB42" s="2707"/>
      <c r="AC42" s="2707"/>
    </row>
    <row r="43" spans="1:29" ht="13.5" customHeight="1">
      <c r="A43" s="2707"/>
      <c r="B43" s="2707"/>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12"/>
      <c r="L43" s="2708"/>
      <c r="M43" s="2707"/>
      <c r="N43" s="2707"/>
      <c r="O43" s="2707"/>
      <c r="P43" s="2738"/>
      <c r="Q43" s="2707"/>
      <c r="R43" s="2707"/>
      <c r="S43" s="2707"/>
      <c r="T43" s="2707"/>
      <c r="U43" s="2707"/>
      <c r="V43" s="2707"/>
      <c r="W43" s="2707"/>
      <c r="X43" s="2707"/>
      <c r="Y43" s="2707"/>
      <c r="Z43" s="2707"/>
      <c r="AA43" s="2707"/>
      <c r="AB43" s="2707"/>
      <c r="AC43" s="2707"/>
    </row>
    <row r="44" spans="1:29" s="451" customFormat="1" ht="13.5" customHeight="1">
      <c r="A44" s="2710"/>
      <c r="B44" s="2710"/>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5"/>
      <c r="L44" s="2709"/>
      <c r="M44" s="2710"/>
      <c r="N44" s="2710"/>
      <c r="O44" s="2710"/>
      <c r="P44" s="2739"/>
      <c r="Q44" s="2710"/>
      <c r="R44" s="2710"/>
      <c r="S44" s="2710"/>
      <c r="T44" s="2710"/>
      <c r="U44" s="2710"/>
      <c r="V44" s="2710"/>
      <c r="W44" s="2710"/>
      <c r="X44" s="2710"/>
      <c r="Y44" s="2710"/>
      <c r="Z44" s="2710"/>
      <c r="AA44" s="2710"/>
      <c r="AB44" s="2710"/>
      <c r="AC44" s="2710"/>
    </row>
    <row r="45" spans="1:29" s="451" customFormat="1">
      <c r="A45" s="2710"/>
      <c r="B45" s="2713"/>
      <c r="C45" s="2714"/>
      <c r="D45" s="2710"/>
      <c r="E45" s="2710"/>
      <c r="F45" s="2710"/>
      <c r="G45" s="2710"/>
      <c r="H45" s="2710"/>
      <c r="I45" s="2710"/>
      <c r="J45" s="2710"/>
      <c r="K45" s="2715"/>
      <c r="L45" s="2709"/>
      <c r="M45" s="2710"/>
      <c r="N45" s="2710"/>
      <c r="O45" s="2710"/>
      <c r="P45" s="2739"/>
      <c r="Q45" s="2710"/>
      <c r="R45" s="2710"/>
      <c r="S45" s="2710"/>
      <c r="T45" s="2710"/>
      <c r="U45" s="2710"/>
      <c r="V45" s="2710"/>
      <c r="W45" s="2710"/>
      <c r="X45" s="2710"/>
      <c r="Y45" s="2710"/>
      <c r="Z45" s="2710"/>
      <c r="AA45" s="2710"/>
      <c r="AB45" s="2710"/>
      <c r="AC45" s="2710"/>
    </row>
    <row r="46" spans="1:29">
      <c r="A46" s="2707"/>
      <c r="B46" s="2713"/>
      <c r="C46" s="2714"/>
      <c r="D46" s="2707"/>
      <c r="E46" s="2707"/>
      <c r="F46" s="2707"/>
      <c r="G46" s="2707"/>
      <c r="H46" s="2707"/>
      <c r="I46" s="2707"/>
      <c r="J46" s="2707"/>
      <c r="K46" s="2712"/>
      <c r="L46" s="2708"/>
      <c r="M46" s="2707"/>
      <c r="N46" s="2707"/>
      <c r="O46" s="2707"/>
      <c r="P46" s="2738"/>
      <c r="Q46" s="2707"/>
      <c r="R46" s="2707"/>
      <c r="S46" s="2707"/>
      <c r="T46" s="2707"/>
      <c r="U46" s="2707"/>
      <c r="V46" s="2707"/>
      <c r="W46" s="2707"/>
      <c r="X46" s="2707"/>
      <c r="Y46" s="2707"/>
      <c r="Z46" s="2707"/>
      <c r="AA46" s="2707"/>
      <c r="AB46" s="2707"/>
      <c r="AC46" s="2707"/>
    </row>
    <row r="47" spans="1:29" ht="21.75" thickBot="1">
      <c r="A47" s="1166" t="s">
        <v>1849</v>
      </c>
      <c r="B47" s="927"/>
      <c r="C47" s="940"/>
      <c r="D47" s="940"/>
      <c r="E47" s="940"/>
      <c r="F47" s="1167"/>
      <c r="G47" s="1167"/>
      <c r="H47" s="940"/>
      <c r="I47" s="940"/>
      <c r="J47" s="940"/>
      <c r="K47" s="941"/>
      <c r="L47" s="942"/>
      <c r="M47" s="940"/>
      <c r="N47" s="2751"/>
      <c r="O47" s="2751"/>
      <c r="P47" s="2740"/>
      <c r="Q47" s="2721"/>
      <c r="R47" s="2707"/>
      <c r="S47" s="2707"/>
      <c r="T47" s="2707"/>
      <c r="U47" s="2707"/>
      <c r="V47" s="2707"/>
      <c r="W47" s="2707"/>
      <c r="X47" s="2707"/>
      <c r="Y47" s="2707"/>
      <c r="Z47" s="2707"/>
      <c r="AA47" s="2707"/>
      <c r="AB47" s="2707"/>
      <c r="AC47" s="2707"/>
    </row>
    <row r="48" spans="1:29" s="457" customFormat="1" ht="15">
      <c r="A48" s="454" t="s">
        <v>1850</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41"/>
      <c r="Q48" s="2723"/>
      <c r="R48" s="2723"/>
      <c r="S48" s="2723"/>
      <c r="T48" s="2723"/>
      <c r="U48" s="2723"/>
      <c r="V48" s="2723"/>
      <c r="W48" s="2723"/>
      <c r="X48" s="2723"/>
      <c r="Y48" s="2723"/>
      <c r="Z48" s="2723"/>
      <c r="AA48" s="2723"/>
      <c r="AB48" s="2723"/>
      <c r="AC48" s="2723"/>
    </row>
    <row r="49" spans="1:29" s="108" customFormat="1" ht="15">
      <c r="A49" s="458"/>
      <c r="B49" s="459"/>
      <c r="C49" s="1177">
        <v>100</v>
      </c>
      <c r="D49" s="461"/>
      <c r="E49" s="461"/>
      <c r="F49" s="461"/>
      <c r="G49" s="461"/>
      <c r="H49" s="461"/>
      <c r="I49" s="461"/>
      <c r="J49" s="461"/>
      <c r="K49" s="461"/>
      <c r="L49" s="461"/>
      <c r="M49" s="462"/>
      <c r="N49" s="461"/>
      <c r="O49" s="462"/>
      <c r="P49" s="2742"/>
      <c r="Q49" s="2643"/>
      <c r="R49" s="2643"/>
      <c r="S49" s="2643"/>
      <c r="T49" s="2643"/>
      <c r="U49" s="2643"/>
      <c r="V49" s="2643"/>
      <c r="W49" s="2643"/>
      <c r="X49" s="2643"/>
      <c r="Y49" s="2643"/>
      <c r="Z49" s="2643"/>
      <c r="AA49" s="2643"/>
      <c r="AB49" s="2643"/>
      <c r="AC49" s="2643"/>
    </row>
    <row r="50" spans="1:29" s="108" customFormat="1" ht="15.75" thickBot="1">
      <c r="A50" s="464" t="s">
        <v>1715</v>
      </c>
      <c r="B50" s="465"/>
      <c r="C50" s="466"/>
      <c r="D50" s="467"/>
      <c r="E50" s="467"/>
      <c r="F50" s="467"/>
      <c r="G50" s="467"/>
      <c r="H50" s="467"/>
      <c r="I50" s="467"/>
      <c r="J50" s="467"/>
      <c r="K50" s="467"/>
      <c r="L50" s="467"/>
      <c r="M50" s="468"/>
      <c r="N50" s="467"/>
      <c r="O50" s="468"/>
      <c r="P50" s="2742"/>
      <c r="Q50" s="2721"/>
      <c r="R50" s="2643"/>
      <c r="S50" s="2643"/>
      <c r="T50" s="2643"/>
      <c r="U50" s="2643"/>
      <c r="V50" s="2643"/>
      <c r="W50" s="2643"/>
      <c r="X50" s="2643"/>
      <c r="Y50" s="2643"/>
      <c r="Z50" s="2643"/>
      <c r="AA50" s="2643"/>
      <c r="AB50" s="2643"/>
      <c r="AC50" s="2643"/>
    </row>
    <row r="51" spans="1:29" s="108" customFormat="1" ht="15">
      <c r="A51" s="470" t="s">
        <v>1680</v>
      </c>
      <c r="B51" s="459"/>
      <c r="C51" s="471" t="s">
        <v>1775</v>
      </c>
      <c r="D51" s="472"/>
      <c r="E51" s="472"/>
      <c r="F51" s="472"/>
      <c r="G51" s="472"/>
      <c r="H51" s="472"/>
      <c r="I51" s="472"/>
      <c r="J51" s="472"/>
      <c r="K51" s="472"/>
      <c r="L51" s="473"/>
      <c r="M51" s="474"/>
      <c r="N51" s="2734"/>
      <c r="O51" s="2734"/>
      <c r="P51" s="2743"/>
      <c r="Q51" s="2721"/>
      <c r="R51" s="2643"/>
      <c r="S51" s="2643"/>
      <c r="T51" s="2643"/>
      <c r="U51" s="2643"/>
      <c r="V51" s="2643"/>
      <c r="W51" s="2643"/>
      <c r="X51" s="2643"/>
      <c r="Y51" s="2643"/>
      <c r="Z51" s="2643"/>
      <c r="AA51" s="2643"/>
      <c r="AB51" s="2643"/>
      <c r="AC51" s="2643"/>
    </row>
    <row r="52" spans="1:29" s="108" customFormat="1" ht="15.75" thickBot="1">
      <c r="A52" s="470"/>
      <c r="B52" s="459"/>
      <c r="C52" s="587">
        <v>100</v>
      </c>
      <c r="D52" s="461"/>
      <c r="E52" s="461"/>
      <c r="F52" s="461"/>
      <c r="G52" s="461"/>
      <c r="H52" s="461"/>
      <c r="I52" s="461"/>
      <c r="J52" s="461"/>
      <c r="K52" s="461"/>
      <c r="L52" s="461"/>
      <c r="M52" s="463"/>
      <c r="N52" s="2734"/>
      <c r="O52" s="2734"/>
      <c r="P52" s="2742"/>
      <c r="Q52" s="2721"/>
      <c r="R52" s="2643"/>
      <c r="S52" s="2643"/>
      <c r="T52" s="2643"/>
      <c r="U52" s="2643"/>
      <c r="V52" s="2643"/>
      <c r="W52" s="2643"/>
      <c r="X52" s="2643"/>
      <c r="Y52" s="2643"/>
      <c r="Z52" s="2643"/>
      <c r="AA52" s="2643"/>
      <c r="AB52" s="2643"/>
      <c r="AC52" s="2643"/>
    </row>
    <row r="53" spans="1:29">
      <c r="A53" s="476" t="s">
        <v>1718</v>
      </c>
      <c r="B53" s="477" t="s">
        <v>1684</v>
      </c>
      <c r="C53" s="478">
        <f>C9</f>
        <v>0</v>
      </c>
      <c r="D53" s="479"/>
      <c r="E53" s="479"/>
      <c r="F53" s="479"/>
      <c r="G53" s="479"/>
      <c r="H53" s="479"/>
      <c r="I53" s="479"/>
      <c r="J53" s="479"/>
      <c r="K53" s="480"/>
      <c r="L53" s="481"/>
      <c r="M53" s="482"/>
      <c r="N53" s="2735"/>
      <c r="O53" s="2735"/>
      <c r="P53" s="2744"/>
      <c r="Q53" s="2721"/>
      <c r="R53" s="2707"/>
      <c r="S53" s="2707"/>
      <c r="T53" s="2707"/>
      <c r="U53" s="2707"/>
      <c r="V53" s="2707"/>
      <c r="W53" s="2707"/>
      <c r="X53" s="2707"/>
      <c r="Y53" s="2707"/>
      <c r="Z53" s="2707"/>
      <c r="AA53" s="2707"/>
      <c r="AB53" s="2707"/>
      <c r="AC53" s="2707"/>
    </row>
    <row r="54" spans="1:29" ht="15.75" thickBot="1">
      <c r="A54" s="483"/>
      <c r="B54" s="484"/>
      <c r="C54" s="485">
        <v>100</v>
      </c>
      <c r="D54" s="485"/>
      <c r="E54" s="485"/>
      <c r="F54" s="485"/>
      <c r="G54" s="485"/>
      <c r="H54" s="485"/>
      <c r="I54" s="485"/>
      <c r="J54" s="485"/>
      <c r="K54" s="485"/>
      <c r="L54" s="485"/>
      <c r="M54" s="486"/>
      <c r="N54" s="2736"/>
      <c r="O54" s="2736"/>
      <c r="P54" s="2744"/>
      <c r="Q54" s="2721"/>
      <c r="R54" s="2707"/>
      <c r="S54" s="2707"/>
      <c r="T54" s="2707"/>
      <c r="U54" s="2707"/>
      <c r="V54" s="2707"/>
      <c r="W54" s="2707"/>
      <c r="X54" s="2707"/>
      <c r="Y54" s="2707"/>
      <c r="Z54" s="2707"/>
      <c r="AA54" s="2707"/>
      <c r="AB54" s="2707"/>
      <c r="AC54" s="2707"/>
    </row>
    <row r="55" spans="1:29" ht="27.75" thickTop="1">
      <c r="A55" s="483"/>
      <c r="B55" s="487" t="s">
        <v>1687</v>
      </c>
      <c r="C55" s="532"/>
      <c r="D55" s="532"/>
      <c r="E55" s="532"/>
      <c r="F55" s="532"/>
      <c r="G55" s="532"/>
      <c r="H55" s="532"/>
      <c r="I55" s="532"/>
      <c r="J55" s="532"/>
      <c r="K55" s="533"/>
      <c r="L55" s="534"/>
      <c r="M55" s="535"/>
      <c r="N55" s="2735"/>
      <c r="O55" s="2735"/>
      <c r="P55" s="2744"/>
      <c r="Q55" s="2721"/>
      <c r="R55" s="2707"/>
      <c r="S55" s="2707"/>
      <c r="T55" s="2707"/>
      <c r="U55" s="2707"/>
      <c r="V55" s="2707"/>
      <c r="W55" s="2707"/>
      <c r="X55" s="2707"/>
      <c r="Y55" s="2707"/>
      <c r="Z55" s="2707"/>
      <c r="AA55" s="2707"/>
      <c r="AB55" s="2707"/>
      <c r="AC55" s="2707"/>
    </row>
    <row r="56" spans="1:29" ht="15.75" thickBot="1">
      <c r="A56" s="483"/>
      <c r="B56" s="492"/>
      <c r="C56" s="485"/>
      <c r="D56" s="485"/>
      <c r="E56" s="485"/>
      <c r="F56" s="485"/>
      <c r="G56" s="485"/>
      <c r="H56" s="485"/>
      <c r="I56" s="485"/>
      <c r="J56" s="485"/>
      <c r="K56" s="485"/>
      <c r="L56" s="485"/>
      <c r="M56" s="486"/>
      <c r="N56" s="2736"/>
      <c r="O56" s="2736"/>
      <c r="P56" s="2744"/>
      <c r="Q56" s="2721"/>
      <c r="R56" s="2707"/>
      <c r="S56" s="2707"/>
      <c r="T56" s="2707"/>
      <c r="U56" s="2707"/>
      <c r="V56" s="2707"/>
      <c r="W56" s="2707"/>
      <c r="X56" s="2707"/>
      <c r="Y56" s="2707"/>
      <c r="Z56" s="2707"/>
      <c r="AA56" s="2707"/>
      <c r="AB56" s="2707"/>
      <c r="AC56" s="2707"/>
    </row>
    <row r="57" spans="1:29" ht="15.75" thickTop="1">
      <c r="A57" s="483"/>
      <c r="B57" s="608">
        <f>B11</f>
        <v>111</v>
      </c>
      <c r="C57" s="498"/>
      <c r="D57" s="498"/>
      <c r="E57" s="498"/>
      <c r="F57" s="498"/>
      <c r="G57" s="498"/>
      <c r="H57" s="498"/>
      <c r="I57" s="498"/>
      <c r="J57" s="498"/>
      <c r="K57" s="499"/>
      <c r="L57" s="500"/>
      <c r="M57" s="501"/>
      <c r="N57" s="2735"/>
      <c r="O57" s="2735"/>
      <c r="P57" s="2744"/>
      <c r="Q57" s="2721"/>
      <c r="R57" s="2707"/>
      <c r="S57" s="2707"/>
      <c r="T57" s="2707"/>
      <c r="U57" s="2707"/>
      <c r="V57" s="2707"/>
      <c r="W57" s="2707"/>
      <c r="X57" s="2707"/>
      <c r="Y57" s="2707"/>
      <c r="Z57" s="2707"/>
      <c r="AA57" s="2707"/>
      <c r="AB57" s="2707"/>
      <c r="AC57" s="2707"/>
    </row>
    <row r="58" spans="1:29" ht="15.75" thickBot="1">
      <c r="A58" s="483"/>
      <c r="B58" s="484"/>
      <c r="C58" s="509"/>
      <c r="D58" s="485"/>
      <c r="E58" s="485"/>
      <c r="F58" s="485"/>
      <c r="G58" s="485"/>
      <c r="H58" s="485"/>
      <c r="I58" s="485"/>
      <c r="J58" s="485"/>
      <c r="K58" s="485"/>
      <c r="L58" s="485"/>
      <c r="M58" s="486"/>
      <c r="N58" s="2736"/>
      <c r="O58" s="2736"/>
      <c r="P58" s="2744"/>
      <c r="Q58" s="2721"/>
      <c r="R58" s="2707"/>
      <c r="S58" s="2707"/>
      <c r="T58" s="2707"/>
      <c r="U58" s="2707"/>
      <c r="V58" s="2707"/>
      <c r="W58" s="2707"/>
      <c r="X58" s="2707"/>
      <c r="Y58" s="2707"/>
      <c r="Z58" s="2707"/>
      <c r="AA58" s="2707"/>
      <c r="AB58" s="2707"/>
      <c r="AC58" s="2707"/>
    </row>
    <row r="59" spans="1:29" s="422" customFormat="1" ht="15.75" thickTop="1">
      <c r="A59" s="502"/>
      <c r="B59" s="487">
        <f>B12</f>
        <v>111</v>
      </c>
      <c r="C59" s="498"/>
      <c r="D59" s="498"/>
      <c r="E59" s="498"/>
      <c r="F59" s="498"/>
      <c r="G59" s="503"/>
      <c r="H59" s="504"/>
      <c r="I59" s="504"/>
      <c r="J59" s="504"/>
      <c r="K59" s="504"/>
      <c r="L59" s="505"/>
      <c r="M59" s="506"/>
      <c r="N59" s="2737"/>
      <c r="O59" s="2737"/>
      <c r="P59" s="2745"/>
      <c r="Q59" s="2728"/>
      <c r="R59" s="2729"/>
      <c r="S59" s="2729"/>
      <c r="T59" s="2729"/>
      <c r="U59" s="2729"/>
      <c r="V59" s="2729"/>
      <c r="W59" s="2729"/>
      <c r="X59" s="2729"/>
      <c r="Y59" s="2729"/>
      <c r="Z59" s="2729"/>
      <c r="AA59" s="2729"/>
      <c r="AB59" s="2729"/>
      <c r="AC59" s="2729"/>
    </row>
    <row r="60" spans="1:29" s="422" customFormat="1" ht="15.75" thickBot="1">
      <c r="A60" s="502"/>
      <c r="B60" s="492"/>
      <c r="C60" s="509"/>
      <c r="D60" s="485"/>
      <c r="E60" s="485"/>
      <c r="F60" s="485"/>
      <c r="G60" s="485"/>
      <c r="H60" s="485"/>
      <c r="I60" s="485"/>
      <c r="J60" s="485"/>
      <c r="K60" s="485"/>
      <c r="L60" s="485"/>
      <c r="M60" s="486"/>
      <c r="N60" s="2736"/>
      <c r="O60" s="2736"/>
      <c r="P60" s="2745"/>
      <c r="Q60" s="2728"/>
      <c r="R60" s="2729"/>
      <c r="S60" s="2729"/>
      <c r="T60" s="2729"/>
      <c r="U60" s="2729"/>
      <c r="V60" s="2729"/>
      <c r="W60" s="2729"/>
      <c r="X60" s="2729"/>
      <c r="Y60" s="2729"/>
      <c r="Z60" s="2729"/>
      <c r="AA60" s="2729"/>
      <c r="AB60" s="2729"/>
      <c r="AC60" s="2729"/>
    </row>
    <row r="61" spans="1:29" s="422" customFormat="1" ht="15.75" thickTop="1">
      <c r="A61" s="502"/>
      <c r="B61" s="487">
        <f>B13</f>
        <v>111</v>
      </c>
      <c r="C61" s="503"/>
      <c r="D61" s="503"/>
      <c r="E61" s="503"/>
      <c r="F61" s="503"/>
      <c r="G61" s="503"/>
      <c r="H61" s="504"/>
      <c r="I61" s="504"/>
      <c r="J61" s="504"/>
      <c r="K61" s="504"/>
      <c r="L61" s="505"/>
      <c r="M61" s="506"/>
      <c r="N61" s="2737"/>
      <c r="O61" s="2737"/>
      <c r="P61" s="2746"/>
      <c r="Q61" s="2731"/>
      <c r="R61" s="2729"/>
      <c r="S61" s="2729"/>
      <c r="T61" s="2729"/>
      <c r="U61" s="2729"/>
      <c r="V61" s="2729"/>
      <c r="W61" s="2729"/>
      <c r="X61" s="2729"/>
      <c r="Y61" s="2729"/>
      <c r="Z61" s="2729"/>
      <c r="AA61" s="2729"/>
      <c r="AB61" s="2729"/>
      <c r="AC61" s="2729"/>
    </row>
    <row r="62" spans="1:29" s="422" customFormat="1" ht="15.75" thickBot="1">
      <c r="A62" s="502"/>
      <c r="B62" s="492"/>
      <c r="C62" s="509"/>
      <c r="D62" s="509"/>
      <c r="E62" s="509"/>
      <c r="F62" s="509"/>
      <c r="G62" s="509"/>
      <c r="H62" s="511"/>
      <c r="I62" s="511"/>
      <c r="J62" s="511"/>
      <c r="K62" s="511"/>
      <c r="L62" s="511"/>
      <c r="M62" s="512"/>
      <c r="N62" s="2737"/>
      <c r="O62" s="2737"/>
      <c r="P62" s="2745"/>
      <c r="Q62" s="2728"/>
      <c r="R62" s="2729"/>
      <c r="S62" s="2729"/>
      <c r="T62" s="2729"/>
      <c r="U62" s="2729"/>
      <c r="V62" s="2729"/>
      <c r="W62" s="2729"/>
      <c r="X62" s="2729"/>
      <c r="Y62" s="2729"/>
      <c r="Z62" s="2729"/>
      <c r="AA62" s="2729"/>
      <c r="AB62" s="2729"/>
      <c r="AC62" s="2729"/>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35"/>
      <c r="O63" s="2735"/>
      <c r="P63" s="2748"/>
      <c r="Q63" s="2721"/>
      <c r="R63" s="2707"/>
      <c r="S63" s="2707"/>
      <c r="T63" s="2707"/>
      <c r="U63" s="2707"/>
      <c r="V63" s="2707"/>
      <c r="W63" s="2707"/>
      <c r="X63" s="2707"/>
      <c r="Y63" s="2707"/>
      <c r="Z63" s="2707"/>
      <c r="AA63" s="2707"/>
      <c r="AB63" s="2707"/>
      <c r="AC63" s="270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6"/>
      <c r="O64" s="2736"/>
      <c r="P64" s="2744"/>
      <c r="Q64" s="2721"/>
      <c r="R64" s="2707"/>
      <c r="S64" s="2707"/>
      <c r="T64" s="2707"/>
      <c r="U64" s="2707"/>
      <c r="V64" s="2707"/>
      <c r="W64" s="2707"/>
      <c r="X64" s="2707"/>
      <c r="Y64" s="2707"/>
      <c r="Z64" s="2707"/>
      <c r="AA64" s="2707"/>
      <c r="AB64" s="2707"/>
      <c r="AC64" s="2707"/>
    </row>
    <row r="65" spans="1:29" ht="15.75" thickTop="1">
      <c r="A65" s="483"/>
      <c r="B65" s="487" t="s">
        <v>1726</v>
      </c>
      <c r="C65" s="527" t="s">
        <v>1720</v>
      </c>
      <c r="D65" s="527" t="s">
        <v>1721</v>
      </c>
      <c r="E65" s="527" t="s">
        <v>1722</v>
      </c>
      <c r="F65" s="527" t="s">
        <v>1723</v>
      </c>
      <c r="G65" s="527" t="s">
        <v>1724</v>
      </c>
      <c r="H65" s="488"/>
      <c r="I65" s="488"/>
      <c r="J65" s="488"/>
      <c r="K65" s="489"/>
      <c r="L65" s="490"/>
      <c r="M65" s="491"/>
      <c r="N65" s="2735"/>
      <c r="O65" s="2735"/>
      <c r="P65" s="2744"/>
      <c r="Q65" s="2721"/>
      <c r="R65" s="2707"/>
      <c r="S65" s="2707"/>
      <c r="T65" s="2707"/>
      <c r="U65" s="2707"/>
      <c r="V65" s="2707"/>
      <c r="W65" s="2707"/>
      <c r="X65" s="2707"/>
      <c r="Y65" s="2707"/>
      <c r="Z65" s="2707"/>
      <c r="AA65" s="2707"/>
      <c r="AB65" s="2707"/>
      <c r="AC65" s="270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6"/>
      <c r="O66" s="2736"/>
      <c r="P66" s="2744"/>
      <c r="Q66" s="2721"/>
      <c r="R66" s="2707"/>
      <c r="S66" s="2707"/>
      <c r="T66" s="2707"/>
      <c r="U66" s="2707"/>
      <c r="V66" s="2707"/>
      <c r="W66" s="2707"/>
      <c r="X66" s="2707"/>
      <c r="Y66" s="2707"/>
      <c r="Z66" s="2707"/>
      <c r="AA66" s="2707"/>
      <c r="AB66" s="2707"/>
      <c r="AC66" s="2707"/>
    </row>
    <row r="67" spans="1:29" ht="15.75" thickTop="1">
      <c r="A67" s="483"/>
      <c r="B67" s="495" t="s">
        <v>1812</v>
      </c>
      <c r="C67" s="608" t="s">
        <v>1798</v>
      </c>
      <c r="D67" s="608" t="s">
        <v>1799</v>
      </c>
      <c r="E67" s="608" t="s">
        <v>1800</v>
      </c>
      <c r="F67" s="608" t="s">
        <v>1801</v>
      </c>
      <c r="G67" s="608" t="s">
        <v>1802</v>
      </c>
      <c r="H67" s="488"/>
      <c r="I67" s="488"/>
      <c r="J67" s="488"/>
      <c r="K67" s="488"/>
      <c r="L67" s="488"/>
      <c r="M67" s="1129"/>
      <c r="N67" s="2736"/>
      <c r="O67" s="2736"/>
      <c r="P67" s="2744"/>
      <c r="Q67" s="2721"/>
      <c r="R67" s="2707"/>
      <c r="S67" s="2707"/>
      <c r="T67" s="2707"/>
      <c r="U67" s="2707"/>
      <c r="V67" s="2707"/>
      <c r="W67" s="2707"/>
      <c r="X67" s="2707"/>
      <c r="Y67" s="2707"/>
      <c r="Z67" s="2707"/>
      <c r="AA67" s="2707"/>
      <c r="AB67" s="2707"/>
      <c r="AC67" s="270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6"/>
      <c r="O68" s="2736"/>
      <c r="P68" s="2744"/>
      <c r="Q68" s="2721"/>
      <c r="R68" s="2707"/>
      <c r="S68" s="2707"/>
      <c r="T68" s="2707"/>
      <c r="U68" s="2707"/>
      <c r="V68" s="2707"/>
      <c r="W68" s="2707"/>
      <c r="X68" s="2707"/>
      <c r="Y68" s="2707"/>
      <c r="Z68" s="2707"/>
      <c r="AA68" s="2707"/>
      <c r="AB68" s="2707"/>
      <c r="AC68" s="2707"/>
    </row>
    <row r="69" spans="1:29" ht="15.75" thickTop="1">
      <c r="A69" s="483"/>
      <c r="B69" s="487" t="s">
        <v>1732</v>
      </c>
      <c r="C69" s="527" t="s">
        <v>1720</v>
      </c>
      <c r="D69" s="527" t="s">
        <v>1721</v>
      </c>
      <c r="E69" s="527" t="s">
        <v>1722</v>
      </c>
      <c r="F69" s="527" t="s">
        <v>1723</v>
      </c>
      <c r="G69" s="527" t="s">
        <v>1724</v>
      </c>
      <c r="H69" s="488"/>
      <c r="I69" s="488"/>
      <c r="J69" s="488"/>
      <c r="K69" s="489"/>
      <c r="L69" s="490"/>
      <c r="M69" s="491"/>
      <c r="N69" s="2735"/>
      <c r="O69" s="2735"/>
      <c r="P69" s="2744"/>
      <c r="Q69" s="2721"/>
      <c r="R69" s="2707"/>
      <c r="S69" s="2707"/>
      <c r="T69" s="2707"/>
      <c r="U69" s="2707"/>
      <c r="V69" s="2707"/>
      <c r="W69" s="2707"/>
      <c r="X69" s="2707"/>
      <c r="Y69" s="2707"/>
      <c r="Z69" s="2707"/>
      <c r="AA69" s="2707"/>
      <c r="AB69" s="2707"/>
      <c r="AC69" s="270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6"/>
      <c r="O70" s="2736"/>
      <c r="P70" s="2744"/>
      <c r="Q70" s="2721"/>
      <c r="R70" s="2707"/>
      <c r="S70" s="2707"/>
      <c r="T70" s="2707"/>
      <c r="U70" s="2707"/>
      <c r="V70" s="2707"/>
      <c r="W70" s="2707"/>
      <c r="X70" s="2707"/>
      <c r="Y70" s="2707"/>
      <c r="Z70" s="2707"/>
      <c r="AA70" s="2707"/>
      <c r="AB70" s="2707"/>
      <c r="AC70" s="2707"/>
    </row>
    <row r="71" spans="1:29" ht="15.75" thickTop="1">
      <c r="A71" s="483"/>
      <c r="B71" s="487" t="s">
        <v>1851</v>
      </c>
      <c r="C71" s="503"/>
      <c r="D71" s="503"/>
      <c r="E71" s="503"/>
      <c r="F71" s="503"/>
      <c r="G71" s="503"/>
      <c r="H71" s="532"/>
      <c r="I71" s="532"/>
      <c r="J71" s="532"/>
      <c r="K71" s="533"/>
      <c r="L71" s="534"/>
      <c r="M71" s="535"/>
      <c r="N71" s="2735"/>
      <c r="O71" s="2735"/>
      <c r="P71" s="2744"/>
      <c r="Q71" s="2721"/>
      <c r="R71" s="2707"/>
      <c r="S71" s="2707"/>
      <c r="T71" s="2707"/>
      <c r="U71" s="2707"/>
      <c r="V71" s="2707"/>
      <c r="W71" s="2707"/>
      <c r="X71" s="2707"/>
      <c r="Y71" s="2707"/>
      <c r="Z71" s="2707"/>
      <c r="AA71" s="2707"/>
      <c r="AB71" s="2707"/>
      <c r="AC71" s="270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6"/>
      <c r="O72" s="2736"/>
      <c r="P72" s="2744"/>
      <c r="Q72" s="2721"/>
      <c r="R72" s="2707"/>
      <c r="S72" s="2707"/>
      <c r="T72" s="2707"/>
      <c r="U72" s="2707"/>
      <c r="V72" s="2707"/>
      <c r="W72" s="2707"/>
      <c r="X72" s="2707"/>
      <c r="Y72" s="2707"/>
      <c r="Z72" s="2707"/>
      <c r="AA72" s="2707"/>
      <c r="AB72" s="2707"/>
      <c r="AC72" s="2707"/>
    </row>
    <row r="73" spans="1:29" s="108" customFormat="1" ht="15.75" thickTop="1">
      <c r="A73" s="528"/>
      <c r="B73" s="487">
        <f>B23</f>
        <v>111</v>
      </c>
      <c r="C73" s="498"/>
      <c r="D73" s="498"/>
      <c r="E73" s="498"/>
      <c r="F73" s="498"/>
      <c r="G73" s="503"/>
      <c r="H73" s="503"/>
      <c r="I73" s="503"/>
      <c r="J73" s="503"/>
      <c r="K73" s="503"/>
      <c r="L73" s="529"/>
      <c r="M73" s="530"/>
      <c r="N73" s="2734"/>
      <c r="O73" s="2734"/>
      <c r="P73" s="2744"/>
      <c r="Q73" s="2721"/>
      <c r="R73" s="2643"/>
      <c r="S73" s="2643"/>
      <c r="T73" s="2643"/>
      <c r="U73" s="2643"/>
      <c r="V73" s="2643"/>
      <c r="W73" s="2643"/>
      <c r="X73" s="2643"/>
      <c r="Y73" s="2643"/>
      <c r="Z73" s="2643"/>
      <c r="AA73" s="2643"/>
      <c r="AB73" s="2643"/>
      <c r="AC73" s="2643"/>
    </row>
    <row r="74" spans="1:29" s="108" customFormat="1" ht="15.75" thickBot="1">
      <c r="A74" s="528"/>
      <c r="B74" s="492"/>
      <c r="C74" s="509"/>
      <c r="D74" s="485"/>
      <c r="E74" s="485"/>
      <c r="F74" s="485"/>
      <c r="G74" s="485"/>
      <c r="H74" s="485"/>
      <c r="I74" s="485"/>
      <c r="J74" s="485"/>
      <c r="K74" s="485"/>
      <c r="L74" s="485"/>
      <c r="M74" s="486"/>
      <c r="N74" s="2736"/>
      <c r="O74" s="2736"/>
      <c r="P74" s="2744"/>
      <c r="Q74" s="2721"/>
      <c r="R74" s="2643"/>
      <c r="S74" s="2643"/>
      <c r="T74" s="2643"/>
      <c r="U74" s="2643"/>
      <c r="V74" s="2643"/>
      <c r="W74" s="2643"/>
      <c r="X74" s="2643"/>
      <c r="Y74" s="2643"/>
      <c r="Z74" s="2643"/>
      <c r="AA74" s="2643"/>
      <c r="AB74" s="2643"/>
      <c r="AC74" s="2643"/>
    </row>
    <row r="75" spans="1:29" s="108" customFormat="1" ht="15.75" thickTop="1">
      <c r="A75" s="528"/>
      <c r="B75" s="487">
        <f>B24</f>
        <v>111</v>
      </c>
      <c r="C75" s="498"/>
      <c r="D75" s="498"/>
      <c r="E75" s="498"/>
      <c r="F75" s="498"/>
      <c r="G75" s="503"/>
      <c r="H75" s="503"/>
      <c r="I75" s="503"/>
      <c r="J75" s="503"/>
      <c r="K75" s="503"/>
      <c r="L75" s="503"/>
      <c r="M75" s="530"/>
      <c r="N75" s="2734"/>
      <c r="O75" s="2734"/>
      <c r="P75" s="2744"/>
      <c r="Q75" s="2721"/>
      <c r="R75" s="2643"/>
      <c r="S75" s="2643"/>
      <c r="T75" s="2643"/>
      <c r="U75" s="2643"/>
      <c r="V75" s="2643"/>
      <c r="W75" s="2643"/>
      <c r="X75" s="2643"/>
      <c r="Y75" s="2643"/>
      <c r="Z75" s="2643"/>
      <c r="AA75" s="2643"/>
      <c r="AB75" s="2643"/>
      <c r="AC75" s="2643"/>
    </row>
    <row r="76" spans="1:29" s="108" customFormat="1" ht="15.75" thickBot="1">
      <c r="A76" s="528"/>
      <c r="B76" s="492"/>
      <c r="C76" s="509"/>
      <c r="D76" s="485"/>
      <c r="E76" s="485"/>
      <c r="F76" s="485"/>
      <c r="G76" s="485"/>
      <c r="H76" s="485"/>
      <c r="I76" s="485"/>
      <c r="J76" s="485"/>
      <c r="K76" s="485"/>
      <c r="L76" s="485"/>
      <c r="M76" s="486"/>
      <c r="N76" s="2736"/>
      <c r="O76" s="2736"/>
      <c r="P76" s="2744"/>
      <c r="Q76" s="2721"/>
      <c r="R76" s="2643"/>
      <c r="S76" s="2643"/>
      <c r="T76" s="2643"/>
      <c r="U76" s="2643"/>
      <c r="V76" s="2643"/>
      <c r="W76" s="2643"/>
      <c r="X76" s="2643"/>
      <c r="Y76" s="2643"/>
      <c r="Z76" s="2643"/>
      <c r="AA76" s="2643"/>
      <c r="AB76" s="2643"/>
      <c r="AC76" s="2643"/>
    </row>
    <row r="77" spans="1:29" s="422" customFormat="1" ht="15.75" thickTop="1">
      <c r="A77" s="502"/>
      <c r="B77" s="487">
        <f>B25</f>
        <v>111</v>
      </c>
      <c r="C77" s="503"/>
      <c r="D77" s="503"/>
      <c r="E77" s="503"/>
      <c r="F77" s="503"/>
      <c r="G77" s="503"/>
      <c r="H77" s="504"/>
      <c r="I77" s="504"/>
      <c r="J77" s="504"/>
      <c r="K77" s="504"/>
      <c r="L77" s="505"/>
      <c r="M77" s="506"/>
      <c r="N77" s="2737"/>
      <c r="O77" s="2737"/>
      <c r="P77" s="2745"/>
      <c r="Q77" s="2728"/>
      <c r="R77" s="2729"/>
      <c r="S77" s="2729"/>
      <c r="T77" s="2729"/>
      <c r="U77" s="2729"/>
      <c r="V77" s="2729"/>
      <c r="W77" s="2729"/>
      <c r="X77" s="2729"/>
      <c r="Y77" s="2729"/>
      <c r="Z77" s="2729"/>
      <c r="AA77" s="2729"/>
      <c r="AB77" s="2729"/>
      <c r="AC77" s="2729"/>
    </row>
    <row r="78" spans="1:29" s="422" customFormat="1" ht="15.75" thickBot="1">
      <c r="A78" s="502"/>
      <c r="B78" s="492"/>
      <c r="C78" s="509"/>
      <c r="D78" s="509"/>
      <c r="E78" s="509"/>
      <c r="F78" s="509"/>
      <c r="G78" s="485"/>
      <c r="H78" s="485"/>
      <c r="I78" s="485"/>
      <c r="J78" s="485"/>
      <c r="K78" s="485"/>
      <c r="L78" s="485"/>
      <c r="M78" s="486"/>
      <c r="N78" s="2737"/>
      <c r="O78" s="2737"/>
      <c r="P78" s="2745"/>
      <c r="Q78" s="2728"/>
      <c r="R78" s="2729"/>
      <c r="S78" s="2729"/>
      <c r="T78" s="2729"/>
      <c r="U78" s="2729"/>
      <c r="V78" s="2729"/>
      <c r="W78" s="2729"/>
      <c r="X78" s="2729"/>
      <c r="Y78" s="2729"/>
      <c r="Z78" s="2729"/>
      <c r="AA78" s="2729"/>
      <c r="AB78" s="2729"/>
      <c r="AC78" s="2729"/>
    </row>
    <row r="79" spans="1:29" ht="27.75" thickTop="1">
      <c r="A79" s="476" t="s">
        <v>1693</v>
      </c>
      <c r="B79" s="477" t="s">
        <v>1852</v>
      </c>
      <c r="C79" s="478" t="str">
        <f>C26</f>
        <v>车库</v>
      </c>
      <c r="D79" s="479"/>
      <c r="E79" s="479"/>
      <c r="F79" s="479"/>
      <c r="G79" s="479"/>
      <c r="H79" s="479"/>
      <c r="I79" s="479"/>
      <c r="J79" s="479"/>
      <c r="K79" s="480"/>
      <c r="L79" s="481"/>
      <c r="M79" s="482"/>
      <c r="N79" s="2735"/>
      <c r="O79" s="2735"/>
      <c r="P79" s="2744"/>
      <c r="Q79" s="2721"/>
      <c r="R79" s="2707"/>
      <c r="S79" s="2707"/>
      <c r="T79" s="2707"/>
      <c r="U79" s="2707"/>
      <c r="V79" s="2707"/>
      <c r="W79" s="2707"/>
      <c r="X79" s="2707"/>
      <c r="Y79" s="2707"/>
      <c r="Z79" s="2707"/>
      <c r="AA79" s="2707"/>
      <c r="AB79" s="2707"/>
      <c r="AC79" s="270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6"/>
      <c r="O80" s="2736"/>
      <c r="P80" s="2744"/>
      <c r="Q80" s="2721"/>
      <c r="R80" s="2707"/>
      <c r="S80" s="2707"/>
      <c r="T80" s="2707"/>
      <c r="U80" s="2707"/>
      <c r="V80" s="2707"/>
      <c r="W80" s="2707"/>
      <c r="X80" s="2707"/>
      <c r="Y80" s="2707"/>
      <c r="Z80" s="2707"/>
      <c r="AA80" s="2707"/>
      <c r="AB80" s="2707"/>
      <c r="AC80" s="2707"/>
    </row>
    <row r="81" spans="1:29" ht="15.75" thickTop="1">
      <c r="A81" s="483"/>
      <c r="B81" s="487" t="s">
        <v>1853</v>
      </c>
      <c r="C81" s="609"/>
      <c r="D81" s="609"/>
      <c r="E81" s="609"/>
      <c r="F81" s="609"/>
      <c r="G81" s="609"/>
      <c r="H81" s="609"/>
      <c r="I81" s="609"/>
      <c r="J81" s="609"/>
      <c r="K81" s="610"/>
      <c r="L81" s="611"/>
      <c r="M81" s="612"/>
      <c r="N81" s="2734"/>
      <c r="O81" s="2734"/>
      <c r="P81" s="2744"/>
      <c r="Q81" s="2721"/>
      <c r="R81" s="2707"/>
      <c r="S81" s="2707"/>
      <c r="T81" s="2707"/>
      <c r="U81" s="2707"/>
      <c r="V81" s="2707"/>
      <c r="W81" s="2707"/>
      <c r="X81" s="2707"/>
      <c r="Y81" s="2707"/>
      <c r="Z81" s="2707"/>
      <c r="AA81" s="2707"/>
      <c r="AB81" s="2707"/>
      <c r="AC81" s="2707"/>
    </row>
    <row r="82" spans="1:29" s="422" customFormat="1" ht="15.75" thickBot="1">
      <c r="A82" s="502"/>
      <c r="B82" s="492"/>
      <c r="C82" s="509"/>
      <c r="D82" s="485"/>
      <c r="E82" s="485"/>
      <c r="F82" s="485"/>
      <c r="G82" s="485"/>
      <c r="H82" s="485"/>
      <c r="I82" s="485"/>
      <c r="J82" s="485"/>
      <c r="K82" s="485"/>
      <c r="L82" s="485"/>
      <c r="M82" s="486"/>
      <c r="N82" s="2736"/>
      <c r="O82" s="2736"/>
      <c r="P82" s="2745"/>
      <c r="Q82" s="2728"/>
      <c r="R82" s="2729"/>
      <c r="S82" s="2729"/>
      <c r="T82" s="2729"/>
      <c r="U82" s="2729"/>
      <c r="V82" s="2729"/>
      <c r="W82" s="2729"/>
      <c r="X82" s="2729"/>
      <c r="Y82" s="2729"/>
      <c r="Z82" s="2729"/>
      <c r="AA82" s="2729"/>
      <c r="AB82" s="2729"/>
      <c r="AC82" s="2729"/>
    </row>
    <row r="83" spans="1:29" ht="15" thickTop="1">
      <c r="A83" s="548"/>
      <c r="B83" s="487" t="s">
        <v>1739</v>
      </c>
      <c r="C83" s="503"/>
      <c r="D83" s="503"/>
      <c r="E83" s="532"/>
      <c r="F83" s="532"/>
      <c r="G83" s="532"/>
      <c r="H83" s="532"/>
      <c r="I83" s="532"/>
      <c r="J83" s="532"/>
      <c r="K83" s="533"/>
      <c r="L83" s="534"/>
      <c r="M83" s="535"/>
      <c r="N83" s="2735"/>
      <c r="O83" s="2735"/>
      <c r="P83" s="2744"/>
      <c r="Q83" s="2721"/>
      <c r="R83" s="2707"/>
      <c r="S83" s="2707"/>
      <c r="T83" s="2707"/>
      <c r="U83" s="2707"/>
      <c r="V83" s="2707"/>
      <c r="W83" s="2707"/>
      <c r="X83" s="2707"/>
      <c r="Y83" s="2707"/>
      <c r="Z83" s="2707"/>
      <c r="AA83" s="2707"/>
      <c r="AB83" s="2707"/>
      <c r="AC83" s="270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6"/>
      <c r="O84" s="2736"/>
      <c r="P84" s="2744"/>
      <c r="Q84" s="2721"/>
      <c r="R84" s="2707"/>
      <c r="S84" s="2707"/>
      <c r="T84" s="2707"/>
      <c r="U84" s="2707"/>
      <c r="V84" s="2707"/>
      <c r="W84" s="2707"/>
      <c r="X84" s="2707"/>
      <c r="Y84" s="2707"/>
      <c r="Z84" s="2707"/>
      <c r="AA84" s="2707"/>
      <c r="AB84" s="2707"/>
      <c r="AC84" s="2707"/>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5"/>
      <c r="O85" s="2735"/>
      <c r="P85" s="2744"/>
      <c r="Q85" s="2721"/>
      <c r="R85" s="2707"/>
      <c r="S85" s="2707"/>
      <c r="T85" s="2707"/>
      <c r="U85" s="2707"/>
      <c r="V85" s="2707"/>
      <c r="W85" s="2707"/>
      <c r="X85" s="2707"/>
      <c r="Y85" s="2707"/>
      <c r="Z85" s="2707"/>
      <c r="AA85" s="2707"/>
      <c r="AB85" s="2707"/>
      <c r="AC85" s="2707"/>
    </row>
    <row r="86" spans="1:29">
      <c r="A86" s="548"/>
      <c r="B86" s="495"/>
      <c r="C86" s="552">
        <v>0.5</v>
      </c>
      <c r="D86" s="552">
        <v>0.6</v>
      </c>
      <c r="E86" s="552">
        <v>0.7</v>
      </c>
      <c r="F86" s="552">
        <v>0.8</v>
      </c>
      <c r="G86" s="552">
        <v>0.9</v>
      </c>
      <c r="H86" s="552">
        <v>1.0001</v>
      </c>
      <c r="I86" s="571"/>
      <c r="J86" s="571"/>
      <c r="K86" s="572"/>
      <c r="L86" s="573"/>
      <c r="M86" s="574"/>
      <c r="N86" s="2735"/>
      <c r="O86" s="2735"/>
      <c r="P86" s="2744"/>
      <c r="Q86" s="2721"/>
      <c r="R86" s="2707"/>
      <c r="S86" s="2707"/>
      <c r="T86" s="2707"/>
      <c r="U86" s="2707"/>
      <c r="V86" s="2707"/>
      <c r="W86" s="2707"/>
      <c r="X86" s="2707"/>
      <c r="Y86" s="2707"/>
      <c r="Z86" s="2707"/>
      <c r="AA86" s="2707"/>
      <c r="AB86" s="2707"/>
      <c r="AC86" s="270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6"/>
      <c r="O87" s="2736"/>
      <c r="P87" s="2744"/>
      <c r="Q87" s="2721"/>
      <c r="R87" s="2707"/>
      <c r="S87" s="2707"/>
      <c r="T87" s="2707"/>
      <c r="U87" s="2707"/>
      <c r="V87" s="2707"/>
      <c r="W87" s="2707"/>
      <c r="X87" s="2707"/>
      <c r="Y87" s="2707"/>
      <c r="Z87" s="2707"/>
      <c r="AA87" s="2707"/>
      <c r="AB87" s="2707"/>
      <c r="AC87" s="2707"/>
    </row>
    <row r="88" spans="1:29" ht="15" thickTop="1">
      <c r="A88" s="548"/>
      <c r="B88" s="495" t="s">
        <v>1855</v>
      </c>
      <c r="C88" s="479"/>
      <c r="D88" s="479"/>
      <c r="E88" s="479"/>
      <c r="F88" s="479"/>
      <c r="G88" s="479"/>
      <c r="H88" s="479"/>
      <c r="I88" s="479"/>
      <c r="J88" s="479"/>
      <c r="K88" s="480"/>
      <c r="L88" s="481"/>
      <c r="M88" s="482"/>
      <c r="N88" s="2735"/>
      <c r="O88" s="2735"/>
      <c r="P88" s="2744"/>
      <c r="Q88" s="2721"/>
      <c r="R88" s="2707"/>
      <c r="S88" s="2707"/>
      <c r="T88" s="2707"/>
      <c r="U88" s="2707"/>
      <c r="V88" s="2707"/>
      <c r="W88" s="2707"/>
      <c r="X88" s="2707"/>
      <c r="Y88" s="2707"/>
      <c r="Z88" s="2707"/>
      <c r="AA88" s="2707"/>
      <c r="AB88" s="2707"/>
      <c r="AC88" s="270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6"/>
      <c r="O89" s="2736"/>
      <c r="P89" s="2744"/>
      <c r="Q89" s="2721"/>
      <c r="R89" s="2707"/>
      <c r="S89" s="2707"/>
      <c r="T89" s="2707"/>
      <c r="U89" s="2707"/>
      <c r="V89" s="2707"/>
      <c r="W89" s="2707"/>
      <c r="X89" s="2707"/>
      <c r="Y89" s="2707"/>
      <c r="Z89" s="2707"/>
      <c r="AA89" s="2707"/>
      <c r="AB89" s="2707"/>
      <c r="AC89" s="2707"/>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7"/>
      <c r="O90" s="2737"/>
      <c r="P90" s="2745"/>
      <c r="Q90" s="2728"/>
      <c r="R90" s="2729"/>
      <c r="S90" s="2729"/>
      <c r="T90" s="2729"/>
      <c r="U90" s="2729"/>
      <c r="V90" s="2729"/>
      <c r="W90" s="2729"/>
      <c r="X90" s="2729"/>
      <c r="Y90" s="2729"/>
      <c r="Z90" s="2729"/>
      <c r="AA90" s="2729"/>
      <c r="AB90" s="2729"/>
      <c r="AC90" s="2729"/>
    </row>
    <row r="91" spans="1:29" s="422" customFormat="1">
      <c r="A91" s="542"/>
      <c r="B91" s="495"/>
      <c r="C91" s="544"/>
      <c r="D91" s="544"/>
      <c r="E91" s="544"/>
      <c r="F91" s="544"/>
      <c r="G91" s="544"/>
      <c r="H91" s="544"/>
      <c r="I91" s="544"/>
      <c r="J91" s="545"/>
      <c r="K91" s="545"/>
      <c r="L91" s="546"/>
      <c r="M91" s="547"/>
      <c r="N91" s="2737"/>
      <c r="O91" s="2737"/>
      <c r="P91" s="2745"/>
      <c r="Q91" s="2728"/>
      <c r="R91" s="2729"/>
      <c r="S91" s="2729"/>
      <c r="T91" s="2729"/>
      <c r="U91" s="2729"/>
      <c r="V91" s="2729"/>
      <c r="W91" s="2729"/>
      <c r="X91" s="2729"/>
      <c r="Y91" s="2729"/>
      <c r="Z91" s="2729"/>
      <c r="AA91" s="2729"/>
      <c r="AB91" s="2729"/>
      <c r="AC91" s="2729"/>
    </row>
    <row r="92" spans="1:29" s="422" customFormat="1" ht="15.75" thickBot="1">
      <c r="A92" s="502"/>
      <c r="B92" s="492"/>
      <c r="C92" s="509"/>
      <c r="D92" s="485"/>
      <c r="E92" s="485"/>
      <c r="F92" s="485"/>
      <c r="G92" s="485"/>
      <c r="H92" s="485"/>
      <c r="I92" s="485"/>
      <c r="J92" s="485"/>
      <c r="K92" s="485"/>
      <c r="L92" s="485"/>
      <c r="M92" s="486"/>
      <c r="N92" s="2737"/>
      <c r="O92" s="2737"/>
      <c r="P92" s="2745"/>
      <c r="Q92" s="2728"/>
      <c r="R92" s="2729"/>
      <c r="S92" s="2729"/>
      <c r="T92" s="2729"/>
      <c r="U92" s="2729"/>
      <c r="V92" s="2729"/>
      <c r="W92" s="2729"/>
      <c r="X92" s="2729"/>
      <c r="Y92" s="2729"/>
      <c r="Z92" s="2729"/>
      <c r="AA92" s="2729"/>
      <c r="AB92" s="2729"/>
      <c r="AC92" s="2729"/>
    </row>
    <row r="93" spans="1:29" ht="15" thickTop="1">
      <c r="A93" s="548"/>
      <c r="B93" s="487" t="s">
        <v>1857</v>
      </c>
      <c r="C93" s="503"/>
      <c r="D93" s="503"/>
      <c r="E93" s="532"/>
      <c r="F93" s="532"/>
      <c r="G93" s="532"/>
      <c r="H93" s="532"/>
      <c r="I93" s="532"/>
      <c r="J93" s="532"/>
      <c r="K93" s="533"/>
      <c r="L93" s="534"/>
      <c r="M93" s="535"/>
      <c r="N93" s="2735"/>
      <c r="O93" s="2735"/>
      <c r="P93" s="2744"/>
      <c r="Q93" s="2721"/>
      <c r="R93" s="2707"/>
      <c r="S93" s="2707"/>
      <c r="T93" s="2707"/>
      <c r="U93" s="2707"/>
      <c r="V93" s="2707"/>
      <c r="W93" s="2707"/>
      <c r="X93" s="2707"/>
      <c r="Y93" s="2707"/>
      <c r="Z93" s="2707"/>
      <c r="AA93" s="2707"/>
      <c r="AB93" s="2707"/>
      <c r="AC93" s="270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6"/>
      <c r="O94" s="2736"/>
      <c r="P94" s="2744"/>
      <c r="Q94" s="2721"/>
      <c r="R94" s="2707"/>
      <c r="S94" s="2707"/>
      <c r="T94" s="2707"/>
      <c r="U94" s="2707"/>
      <c r="V94" s="2707"/>
      <c r="W94" s="2707"/>
      <c r="X94" s="2707"/>
      <c r="Y94" s="2707"/>
      <c r="Z94" s="2707"/>
      <c r="AA94" s="2707"/>
      <c r="AB94" s="2707"/>
      <c r="AC94" s="2707"/>
    </row>
    <row r="95" spans="1:29" ht="15" thickTop="1">
      <c r="A95" s="548"/>
      <c r="B95" s="487" t="s">
        <v>1858</v>
      </c>
      <c r="C95" s="479"/>
      <c r="D95" s="479"/>
      <c r="E95" s="479"/>
      <c r="F95" s="479"/>
      <c r="G95" s="479"/>
      <c r="H95" s="479"/>
      <c r="I95" s="479"/>
      <c r="J95" s="479"/>
      <c r="K95" s="480"/>
      <c r="L95" s="481"/>
      <c r="M95" s="482"/>
      <c r="N95" s="2735"/>
      <c r="O95" s="2735"/>
      <c r="P95" s="2744"/>
      <c r="Q95" s="2721"/>
      <c r="R95" s="2707"/>
      <c r="S95" s="2707"/>
      <c r="T95" s="2707"/>
      <c r="U95" s="2707"/>
      <c r="V95" s="2707"/>
      <c r="W95" s="2707"/>
      <c r="X95" s="2707"/>
      <c r="Y95" s="2707"/>
      <c r="Z95" s="2707"/>
      <c r="AA95" s="2707"/>
      <c r="AB95" s="2707"/>
      <c r="AC95" s="270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6"/>
      <c r="O96" s="2736"/>
      <c r="P96" s="2744"/>
      <c r="Q96" s="2721"/>
      <c r="R96" s="2707"/>
      <c r="S96" s="2707"/>
      <c r="T96" s="2707"/>
      <c r="U96" s="2707"/>
      <c r="V96" s="2707"/>
      <c r="W96" s="2707"/>
      <c r="X96" s="2707"/>
      <c r="Y96" s="2707"/>
      <c r="Z96" s="2707"/>
      <c r="AA96" s="2707"/>
      <c r="AB96" s="2707"/>
      <c r="AC96" s="2707"/>
    </row>
    <row r="97" spans="1:29" ht="15" thickTop="1">
      <c r="A97" s="548"/>
      <c r="B97" s="584">
        <f>B34</f>
        <v>111</v>
      </c>
      <c r="C97" s="498"/>
      <c r="D97" s="498"/>
      <c r="E97" s="498"/>
      <c r="F97" s="498"/>
      <c r="G97" s="503"/>
      <c r="H97" s="504"/>
      <c r="I97" s="504"/>
      <c r="J97" s="504"/>
      <c r="K97" s="504"/>
      <c r="L97" s="505"/>
      <c r="M97" s="506"/>
      <c r="N97" s="2736"/>
      <c r="O97" s="2736"/>
      <c r="P97" s="2749"/>
      <c r="Q97" s="2750"/>
      <c r="R97" s="2707"/>
      <c r="S97" s="2707"/>
      <c r="T97" s="2707"/>
      <c r="U97" s="2707"/>
      <c r="V97" s="2707"/>
      <c r="W97" s="2707"/>
      <c r="X97" s="2707"/>
      <c r="Y97" s="2707"/>
      <c r="Z97" s="2707"/>
      <c r="AA97" s="2707"/>
      <c r="AB97" s="2707"/>
      <c r="AC97" s="2707"/>
    </row>
    <row r="98" spans="1:29" ht="15.75" thickBot="1">
      <c r="A98" s="483"/>
      <c r="B98" s="492"/>
      <c r="C98" s="509"/>
      <c r="D98" s="485"/>
      <c r="E98" s="485"/>
      <c r="F98" s="485"/>
      <c r="G98" s="509"/>
      <c r="H98" s="511"/>
      <c r="I98" s="511"/>
      <c r="J98" s="511"/>
      <c r="K98" s="511"/>
      <c r="L98" s="511"/>
      <c r="M98" s="512"/>
      <c r="N98" s="2736"/>
      <c r="O98" s="2736"/>
      <c r="P98" s="2744"/>
      <c r="Q98" s="2721"/>
      <c r="R98" s="2707"/>
      <c r="S98" s="2707"/>
      <c r="T98" s="2707"/>
      <c r="U98" s="2707"/>
      <c r="V98" s="2707"/>
      <c r="W98" s="2707"/>
      <c r="X98" s="2707"/>
      <c r="Y98" s="2707"/>
      <c r="Z98" s="2707"/>
      <c r="AA98" s="2707"/>
      <c r="AB98" s="2707"/>
      <c r="AC98" s="2707"/>
    </row>
    <row r="99" spans="1:29" s="422" customFormat="1" ht="15" thickTop="1">
      <c r="A99" s="542"/>
      <c r="B99" s="487">
        <f>B35</f>
        <v>111</v>
      </c>
      <c r="C99" s="498"/>
      <c r="D99" s="498"/>
      <c r="E99" s="498"/>
      <c r="F99" s="498"/>
      <c r="G99" s="503"/>
      <c r="H99" s="504"/>
      <c r="I99" s="504"/>
      <c r="J99" s="504"/>
      <c r="K99" s="504"/>
      <c r="L99" s="505"/>
      <c r="M99" s="506"/>
      <c r="N99" s="2737"/>
      <c r="O99" s="2737"/>
      <c r="P99" s="2745"/>
      <c r="Q99" s="2728"/>
      <c r="R99" s="2729"/>
      <c r="S99" s="2729"/>
      <c r="T99" s="2729"/>
      <c r="U99" s="2729"/>
      <c r="V99" s="2729"/>
      <c r="W99" s="2729"/>
      <c r="X99" s="2729"/>
      <c r="Y99" s="2729"/>
      <c r="Z99" s="2729"/>
      <c r="AA99" s="2729"/>
      <c r="AB99" s="2729"/>
      <c r="AC99" s="2729"/>
    </row>
    <row r="100" spans="1:29" s="422" customFormat="1" ht="15.75" thickBot="1">
      <c r="A100" s="502"/>
      <c r="B100" s="484"/>
      <c r="C100" s="509"/>
      <c r="D100" s="485"/>
      <c r="E100" s="485"/>
      <c r="F100" s="485"/>
      <c r="G100" s="509"/>
      <c r="H100" s="511"/>
      <c r="I100" s="511"/>
      <c r="J100" s="511"/>
      <c r="K100" s="511"/>
      <c r="L100" s="511"/>
      <c r="M100" s="512"/>
      <c r="N100" s="2737"/>
      <c r="O100" s="2737"/>
      <c r="P100" s="2745"/>
      <c r="Q100" s="2728"/>
      <c r="R100" s="2729"/>
      <c r="S100" s="2729"/>
      <c r="T100" s="2729"/>
      <c r="U100" s="2729"/>
      <c r="V100" s="2729"/>
      <c r="W100" s="2729"/>
      <c r="X100" s="2729"/>
      <c r="Y100" s="2729"/>
      <c r="Z100" s="2729"/>
      <c r="AA100" s="2729"/>
      <c r="AB100" s="2729"/>
      <c r="AC100" s="2729"/>
    </row>
    <row r="101" spans="1:29" ht="15" thickTop="1">
      <c r="A101" s="548"/>
      <c r="B101" s="487">
        <f>B36</f>
        <v>111</v>
      </c>
      <c r="C101" s="503"/>
      <c r="D101" s="503"/>
      <c r="E101" s="503"/>
      <c r="F101" s="503"/>
      <c r="G101" s="503"/>
      <c r="H101" s="504"/>
      <c r="I101" s="504"/>
      <c r="J101" s="504"/>
      <c r="K101" s="504"/>
      <c r="L101" s="505"/>
      <c r="M101" s="506"/>
      <c r="N101" s="2735"/>
      <c r="O101" s="2735"/>
      <c r="P101" s="2744"/>
      <c r="Q101" s="2721"/>
      <c r="R101" s="2707"/>
      <c r="S101" s="2707"/>
      <c r="T101" s="2707"/>
      <c r="U101" s="2707"/>
      <c r="V101" s="2707"/>
      <c r="W101" s="2707"/>
      <c r="X101" s="2707"/>
      <c r="Y101" s="2707"/>
      <c r="Z101" s="2707"/>
      <c r="AA101" s="2707"/>
      <c r="AB101" s="2707"/>
      <c r="AC101" s="2707"/>
    </row>
    <row r="102" spans="1:29" ht="15.75" thickBot="1">
      <c r="A102" s="483"/>
      <c r="B102" s="492"/>
      <c r="C102" s="509"/>
      <c r="D102" s="509"/>
      <c r="E102" s="509"/>
      <c r="F102" s="509"/>
      <c r="G102" s="509"/>
      <c r="H102" s="511"/>
      <c r="I102" s="511"/>
      <c r="J102" s="511"/>
      <c r="K102" s="511"/>
      <c r="L102" s="511"/>
      <c r="M102" s="512"/>
      <c r="N102" s="2736"/>
      <c r="O102" s="2736"/>
      <c r="P102" s="2744"/>
      <c r="Q102" s="2721"/>
      <c r="R102" s="2707"/>
      <c r="S102" s="2707"/>
      <c r="T102" s="2707"/>
      <c r="U102" s="2707"/>
      <c r="V102" s="2707"/>
      <c r="W102" s="2707"/>
      <c r="X102" s="2707"/>
      <c r="Y102" s="2707"/>
      <c r="Z102" s="2707"/>
      <c r="AA102" s="2707"/>
      <c r="AB102" s="2707"/>
      <c r="AC102" s="2707"/>
    </row>
    <row r="103" spans="1:29" ht="15" thickTop="1">
      <c r="N103" s="2707"/>
      <c r="O103" s="2707"/>
      <c r="P103" s="2738"/>
      <c r="Q103" s="2707"/>
      <c r="R103" s="2707"/>
      <c r="S103" s="2707"/>
      <c r="T103" s="2707"/>
      <c r="U103" s="2707"/>
      <c r="V103" s="2707"/>
      <c r="W103" s="2707"/>
      <c r="X103" s="2707"/>
      <c r="Y103" s="2707"/>
      <c r="Z103" s="2707"/>
      <c r="AA103" s="2707"/>
      <c r="AB103" s="2707"/>
      <c r="AC103" s="270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449" priority="18" stopIfTrue="1" operator="containsText" text="超过">
      <formula>NOT(ISERROR(SEARCH("超过",F42)))</formula>
    </cfRule>
  </conditionalFormatting>
  <conditionalFormatting sqref="J44">
    <cfRule type="containsText" dxfId="448" priority="17" stopIfTrue="1" operator="containsText" text="超过">
      <formula>NOT(ISERROR(SEARCH("超过",J44)))</formula>
    </cfRule>
  </conditionalFormatting>
  <conditionalFormatting sqref="H44">
    <cfRule type="containsText" dxfId="447" priority="16" stopIfTrue="1" operator="containsText" text="超过">
      <formula>NOT(ISERROR(SEARCH("超过",H44)))</formula>
    </cfRule>
  </conditionalFormatting>
  <conditionalFormatting sqref="F44">
    <cfRule type="containsText" dxfId="446" priority="15" stopIfTrue="1" operator="containsText" text="超过">
      <formula>NOT(ISERROR(SEARCH("超过",F44)))</formula>
    </cfRule>
  </conditionalFormatting>
  <conditionalFormatting sqref="F43 H43 J43">
    <cfRule type="containsText" dxfId="445" priority="14" stopIfTrue="1" operator="containsText" text="超过">
      <formula>NOT(ISERROR(SEARCH("超过",F43)))</formula>
    </cfRule>
  </conditionalFormatting>
  <conditionalFormatting sqref="E42">
    <cfRule type="expression" dxfId="444" priority="13" stopIfTrue="1">
      <formula>$F$42="超过30%"</formula>
    </cfRule>
  </conditionalFormatting>
  <conditionalFormatting sqref="G44">
    <cfRule type="expression" dxfId="443" priority="12" stopIfTrue="1">
      <formula>$H$54+$H$44="超过30%"</formula>
    </cfRule>
  </conditionalFormatting>
  <conditionalFormatting sqref="E43">
    <cfRule type="expression" dxfId="442" priority="11" stopIfTrue="1">
      <formula>$F$43="超过20%"</formula>
    </cfRule>
  </conditionalFormatting>
  <conditionalFormatting sqref="E44">
    <cfRule type="expression" dxfId="441" priority="10" stopIfTrue="1">
      <formula>$F$44="超过30%"</formula>
    </cfRule>
  </conditionalFormatting>
  <conditionalFormatting sqref="G42">
    <cfRule type="expression" dxfId="440" priority="9" stopIfTrue="1">
      <formula>$H$52+$H$42="超过30%"</formula>
    </cfRule>
  </conditionalFormatting>
  <conditionalFormatting sqref="G43">
    <cfRule type="expression" dxfId="439" priority="8" stopIfTrue="1">
      <formula>$H$43="超过20%"</formula>
    </cfRule>
  </conditionalFormatting>
  <conditionalFormatting sqref="I42">
    <cfRule type="expression" dxfId="438" priority="7" stopIfTrue="1">
      <formula>$J$52+$J$42="超过30%"</formula>
    </cfRule>
  </conditionalFormatting>
  <conditionalFormatting sqref="I43">
    <cfRule type="expression" dxfId="437" priority="6" stopIfTrue="1">
      <formula>$J$53+$J$43="超过20%"</formula>
    </cfRule>
  </conditionalFormatting>
  <conditionalFormatting sqref="I44">
    <cfRule type="expression" dxfId="436" priority="5" stopIfTrue="1">
      <formula>$J$44="超过30%"</formula>
    </cfRule>
  </conditionalFormatting>
  <conditionalFormatting sqref="F38">
    <cfRule type="expression" dxfId="435" priority="4">
      <formula>$D$38="简单平均"</formula>
    </cfRule>
  </conditionalFormatting>
  <conditionalFormatting sqref="H38">
    <cfRule type="expression" dxfId="434" priority="3">
      <formula>$D$38="简单平均"</formula>
    </cfRule>
  </conditionalFormatting>
  <conditionalFormatting sqref="J38">
    <cfRule type="expression" dxfId="433" priority="2">
      <formula>$D$38="简单平均"</formula>
    </cfRule>
  </conditionalFormatting>
  <conditionalFormatting sqref="F7:F36 H7:H36 J7:J36">
    <cfRule type="cellIs" dxfId="43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3340</v>
      </c>
      <c r="C1" s="1224" t="s">
        <v>1661</v>
      </c>
      <c r="D1" s="1225"/>
      <c r="E1" s="3415"/>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16"/>
      <c r="M2" s="2717"/>
      <c r="N2" s="2717"/>
      <c r="O2" s="2717"/>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16"/>
      <c r="M3" s="2717"/>
      <c r="N3" s="2717"/>
      <c r="O3" s="2717"/>
      <c r="P3" s="699"/>
      <c r="Q3" s="699"/>
      <c r="R3" s="699"/>
      <c r="S3" s="699"/>
      <c r="T3" s="699"/>
      <c r="U3" s="699"/>
      <c r="V3" s="699"/>
      <c r="W3" s="699"/>
      <c r="X3" s="699"/>
      <c r="Y3" s="699"/>
      <c r="Z3" s="699"/>
      <c r="AA3" s="699"/>
      <c r="AB3" s="716"/>
      <c r="AC3" s="713"/>
    </row>
    <row r="4" spans="1:29" ht="15">
      <c r="A4" s="355" t="s">
        <v>1768</v>
      </c>
      <c r="B4" s="356"/>
      <c r="C4" s="3742" t="s">
        <v>1769</v>
      </c>
      <c r="D4" s="3743"/>
      <c r="E4" s="3744" t="s">
        <v>1770</v>
      </c>
      <c r="F4" s="3745"/>
      <c r="G4" s="3742" t="s">
        <v>1771</v>
      </c>
      <c r="H4" s="3743"/>
      <c r="I4" s="3742" t="s">
        <v>1772</v>
      </c>
      <c r="J4" s="3743"/>
      <c r="K4" s="559" t="s">
        <v>1773</v>
      </c>
      <c r="L4" s="2697"/>
      <c r="M4" s="2698"/>
      <c r="N4" s="2698"/>
      <c r="O4" s="2698"/>
      <c r="P4" s="3746" t="s">
        <v>1774</v>
      </c>
      <c r="Q4" s="3747"/>
      <c r="R4" s="3729" t="s">
        <v>1770</v>
      </c>
      <c r="S4" s="3730"/>
      <c r="T4" s="3729" t="s">
        <v>1771</v>
      </c>
      <c r="U4" s="3730"/>
      <c r="V4" s="3726" t="s">
        <v>1772</v>
      </c>
      <c r="W4" s="3726"/>
      <c r="X4" s="1355"/>
      <c r="Y4" s="3729" t="s">
        <v>1774</v>
      </c>
      <c r="Z4" s="3730"/>
      <c r="AA4" s="3723" t="s">
        <v>1770</v>
      </c>
      <c r="AB4" s="3724" t="s">
        <v>1771</v>
      </c>
      <c r="AC4" s="3723" t="s">
        <v>1772</v>
      </c>
    </row>
    <row r="5" spans="1:29" ht="15">
      <c r="A5" s="358"/>
      <c r="B5" s="359"/>
      <c r="C5" s="3735" t="s">
        <v>1672</v>
      </c>
      <c r="D5" s="3736"/>
      <c r="E5" s="3733" t="s">
        <v>1673</v>
      </c>
      <c r="F5" s="3734"/>
      <c r="G5" s="3735" t="s">
        <v>1674</v>
      </c>
      <c r="H5" s="3736"/>
      <c r="I5" s="3735" t="s">
        <v>1675</v>
      </c>
      <c r="J5" s="3736"/>
      <c r="K5" s="559"/>
      <c r="L5" s="2697"/>
      <c r="M5" s="2698"/>
      <c r="N5" s="2698"/>
      <c r="O5" s="2698"/>
      <c r="P5" s="3748"/>
      <c r="Q5" s="3749"/>
      <c r="R5" s="3731"/>
      <c r="S5" s="3732"/>
      <c r="T5" s="3731"/>
      <c r="U5" s="3732"/>
      <c r="V5" s="3726"/>
      <c r="W5" s="3726"/>
      <c r="X5" s="1355"/>
      <c r="Y5" s="3731"/>
      <c r="Z5" s="3732"/>
      <c r="AA5" s="3724"/>
      <c r="AB5" s="3724"/>
      <c r="AC5" s="3724"/>
    </row>
    <row r="6" spans="1:29" ht="15.75" thickBot="1">
      <c r="A6" s="360"/>
      <c r="B6" s="361"/>
      <c r="C6" s="3737" t="s">
        <v>1676</v>
      </c>
      <c r="D6" s="3738"/>
      <c r="E6" s="3739" t="s">
        <v>1676</v>
      </c>
      <c r="F6" s="3740"/>
      <c r="G6" s="3737" t="s">
        <v>1676</v>
      </c>
      <c r="H6" s="3738"/>
      <c r="I6" s="3737" t="s">
        <v>1676</v>
      </c>
      <c r="J6" s="3738"/>
      <c r="K6" s="559" t="s">
        <v>1677</v>
      </c>
      <c r="L6" s="2697"/>
      <c r="M6" s="2698"/>
      <c r="N6" s="2698"/>
      <c r="O6" s="2698"/>
      <c r="P6" s="3750"/>
      <c r="Q6" s="3751"/>
      <c r="R6" s="3731"/>
      <c r="S6" s="3732"/>
      <c r="T6" s="3752"/>
      <c r="U6" s="3753"/>
      <c r="V6" s="3726"/>
      <c r="W6" s="3726"/>
      <c r="X6" s="1355"/>
      <c r="Y6" s="3752"/>
      <c r="Z6" s="3753"/>
      <c r="AA6" s="3725"/>
      <c r="AB6" s="3725"/>
      <c r="AC6" s="3725"/>
    </row>
    <row r="7" spans="1:29" s="108" customFormat="1" ht="15.75" thickBot="1">
      <c r="A7" s="362" t="s">
        <v>1678</v>
      </c>
      <c r="B7" s="363"/>
      <c r="C7" s="364">
        <f>'数据-取费表'!B2</f>
        <v>45009</v>
      </c>
      <c r="D7" s="365">
        <v>100</v>
      </c>
      <c r="E7" s="366"/>
      <c r="F7" s="367">
        <f>SUMIF(46:46,YEAR(E7)&amp;"-"&amp;MONTH(E7),47:47)</f>
        <v>0</v>
      </c>
      <c r="G7" s="1974"/>
      <c r="H7" s="365">
        <f>SUMIF(46:46,YEAR(G7)&amp;"-"&amp;MONTH(G7),47:47)</f>
        <v>0</v>
      </c>
      <c r="I7" s="366"/>
      <c r="J7" s="365">
        <f>SUMIF(46:46,YEAR(I7)&amp;"-"&amp;MONTH(I7),47:47)</f>
        <v>0</v>
      </c>
      <c r="K7" s="560"/>
      <c r="L7" s="2699"/>
      <c r="M7" s="2700"/>
      <c r="N7" s="2700"/>
      <c r="O7" s="2700"/>
      <c r="P7" s="3727" t="s">
        <v>1679</v>
      </c>
      <c r="Q7" s="3754"/>
      <c r="R7" s="701" t="s">
        <v>14</v>
      </c>
      <c r="S7" s="702">
        <f t="shared" ref="S7:S14" si="0">F7</f>
        <v>0</v>
      </c>
      <c r="T7" s="701" t="s">
        <v>14</v>
      </c>
      <c r="U7" s="702">
        <f t="shared" ref="U7:U14" si="1">H7</f>
        <v>0</v>
      </c>
      <c r="V7" s="701" t="s">
        <v>14</v>
      </c>
      <c r="W7" s="702">
        <f t="shared" ref="W7:W14" si="2">J7</f>
        <v>0</v>
      </c>
      <c r="X7" s="703"/>
      <c r="Y7" s="3727" t="s">
        <v>1679</v>
      </c>
      <c r="Z7" s="3728"/>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699"/>
      <c r="M8" s="2700"/>
      <c r="N8" s="2700"/>
      <c r="O8" s="2700"/>
      <c r="P8" s="3727" t="s">
        <v>1682</v>
      </c>
      <c r="Q8" s="3728"/>
      <c r="R8" s="701" t="s">
        <v>14</v>
      </c>
      <c r="S8" s="702">
        <f t="shared" si="0"/>
        <v>100</v>
      </c>
      <c r="T8" s="701" t="s">
        <v>14</v>
      </c>
      <c r="U8" s="702">
        <f t="shared" si="1"/>
        <v>100</v>
      </c>
      <c r="V8" s="701" t="s">
        <v>14</v>
      </c>
      <c r="W8" s="702">
        <f t="shared" si="2"/>
        <v>100</v>
      </c>
      <c r="X8" s="703"/>
      <c r="Y8" s="3727" t="s">
        <v>1682</v>
      </c>
      <c r="Z8" s="3728"/>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699"/>
      <c r="M9" s="2700"/>
      <c r="N9" s="2700"/>
      <c r="O9" s="2754"/>
      <c r="P9" s="3764" t="s">
        <v>1685</v>
      </c>
      <c r="Q9" s="1343" t="str">
        <f t="shared" ref="Q9:Q14" si="6">B9</f>
        <v>用途</v>
      </c>
      <c r="R9" s="701" t="s">
        <v>14</v>
      </c>
      <c r="S9" s="702">
        <f t="shared" si="0"/>
        <v>100</v>
      </c>
      <c r="T9" s="701" t="s">
        <v>14</v>
      </c>
      <c r="U9" s="702">
        <f t="shared" si="1"/>
        <v>100</v>
      </c>
      <c r="V9" s="701" t="s">
        <v>14</v>
      </c>
      <c r="W9" s="702">
        <f t="shared" si="2"/>
        <v>100</v>
      </c>
      <c r="X9" s="703"/>
      <c r="Y9" s="3696" t="s">
        <v>1686</v>
      </c>
      <c r="Z9" s="52" t="str">
        <f t="shared" ref="Z9:Z14" si="7">Q9</f>
        <v>用途</v>
      </c>
      <c r="AA9" s="704">
        <f t="shared" si="3"/>
        <v>1</v>
      </c>
      <c r="AB9" s="704">
        <f t="shared" si="4"/>
        <v>1</v>
      </c>
      <c r="AC9" s="704">
        <f t="shared" si="5"/>
        <v>1</v>
      </c>
    </row>
    <row r="10" spans="1:29" s="378" customFormat="1" ht="27">
      <c r="A10" s="374"/>
      <c r="B10" s="375" t="s">
        <v>1687</v>
      </c>
      <c r="C10" s="3416"/>
      <c r="D10" s="127">
        <v>100</v>
      </c>
      <c r="E10" s="3416"/>
      <c r="F10" s="376">
        <f>SUMIF(53:53,E10,54:54)-SUMIF(53:53,C10,54:54)+100</f>
        <v>100</v>
      </c>
      <c r="G10" s="3416"/>
      <c r="H10" s="127">
        <f>SUMIF(53:53,G10,54:54)-SUMIF(53:53,C10,54:54)+100</f>
        <v>100</v>
      </c>
      <c r="I10" s="3416"/>
      <c r="J10" s="127">
        <f>SUMIF(53:53,I10,54:54)-SUMIF(53:53,C10,54:54)+100</f>
        <v>100</v>
      </c>
      <c r="K10" s="560"/>
      <c r="L10" s="2701"/>
      <c r="M10" s="2702"/>
      <c r="N10" s="2702"/>
      <c r="O10" s="2755"/>
      <c r="P10" s="3764"/>
      <c r="Q10" s="1343" t="str">
        <f t="shared" si="6"/>
        <v>土地使用年限（年）</v>
      </c>
      <c r="R10" s="701" t="s">
        <v>14</v>
      </c>
      <c r="S10" s="702">
        <f t="shared" si="0"/>
        <v>100</v>
      </c>
      <c r="T10" s="701" t="s">
        <v>14</v>
      </c>
      <c r="U10" s="702">
        <f t="shared" si="1"/>
        <v>100</v>
      </c>
      <c r="V10" s="701" t="s">
        <v>14</v>
      </c>
      <c r="W10" s="702">
        <f t="shared" si="2"/>
        <v>100</v>
      </c>
      <c r="X10" s="703"/>
      <c r="Y10" s="369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03"/>
      <c r="M11" s="2698"/>
      <c r="N11" s="2698"/>
      <c r="O11" s="2756"/>
      <c r="P11" s="3764"/>
      <c r="Q11" s="1343">
        <f t="shared" si="6"/>
        <v>111</v>
      </c>
      <c r="R11" s="701" t="s">
        <v>14</v>
      </c>
      <c r="S11" s="702">
        <f t="shared" si="0"/>
        <v>100</v>
      </c>
      <c r="T11" s="701" t="s">
        <v>14</v>
      </c>
      <c r="U11" s="702">
        <f t="shared" si="1"/>
        <v>100</v>
      </c>
      <c r="V11" s="701" t="s">
        <v>14</v>
      </c>
      <c r="W11" s="702">
        <f t="shared" si="2"/>
        <v>100</v>
      </c>
      <c r="X11" s="703"/>
      <c r="Y11" s="369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9"/>
      <c r="M12" s="2700"/>
      <c r="N12" s="2700"/>
      <c r="O12" s="2754"/>
      <c r="P12" s="3764"/>
      <c r="Q12" s="1343">
        <f t="shared" si="6"/>
        <v>111</v>
      </c>
      <c r="R12" s="701" t="s">
        <v>14</v>
      </c>
      <c r="S12" s="702">
        <f t="shared" si="0"/>
        <v>100</v>
      </c>
      <c r="T12" s="701" t="s">
        <v>14</v>
      </c>
      <c r="U12" s="702">
        <f t="shared" si="1"/>
        <v>100</v>
      </c>
      <c r="V12" s="701" t="s">
        <v>14</v>
      </c>
      <c r="W12" s="702">
        <f t="shared" si="2"/>
        <v>100</v>
      </c>
      <c r="X12" s="703"/>
      <c r="Y12" s="369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04"/>
      <c r="M13" s="2698"/>
      <c r="N13" s="2698"/>
      <c r="O13" s="2756"/>
      <c r="P13" s="3764"/>
      <c r="Q13" s="1343">
        <f t="shared" si="6"/>
        <v>111</v>
      </c>
      <c r="R13" s="701" t="s">
        <v>14</v>
      </c>
      <c r="S13" s="702">
        <f t="shared" si="0"/>
        <v>100</v>
      </c>
      <c r="T13" s="701" t="s">
        <v>14</v>
      </c>
      <c r="U13" s="702">
        <f t="shared" si="1"/>
        <v>100</v>
      </c>
      <c r="V13" s="701" t="s">
        <v>14</v>
      </c>
      <c r="W13" s="702">
        <f t="shared" si="2"/>
        <v>100</v>
      </c>
      <c r="X13" s="703"/>
      <c r="Y13" s="3696"/>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4"/>
      <c r="M14" s="2698"/>
      <c r="N14" s="2698"/>
      <c r="O14" s="2756"/>
      <c r="P14" s="3757" t="s">
        <v>1690</v>
      </c>
      <c r="Q14" s="1352" t="str">
        <f t="shared" si="6"/>
        <v>交通便捷度</v>
      </c>
      <c r="R14" s="705" t="s">
        <v>14</v>
      </c>
      <c r="S14" s="706">
        <f t="shared" si="0"/>
        <v>100</v>
      </c>
      <c r="T14" s="705" t="s">
        <v>14</v>
      </c>
      <c r="U14" s="706">
        <f t="shared" si="1"/>
        <v>100</v>
      </c>
      <c r="V14" s="705" t="s">
        <v>14</v>
      </c>
      <c r="W14" s="706">
        <f t="shared" si="2"/>
        <v>100</v>
      </c>
      <c r="X14" s="1355"/>
      <c r="Y14" s="3757"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04"/>
      <c r="M15" s="2698"/>
      <c r="N15" s="2698"/>
      <c r="O15" s="2756"/>
      <c r="P15" s="3758"/>
      <c r="Q15" s="1352"/>
      <c r="R15" s="705"/>
      <c r="S15" s="706"/>
      <c r="T15" s="705"/>
      <c r="U15" s="706"/>
      <c r="V15" s="705"/>
      <c r="W15" s="706"/>
      <c r="X15" s="1355"/>
      <c r="Y15" s="3758"/>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4"/>
      <c r="M16" s="2698"/>
      <c r="N16" s="2698"/>
      <c r="O16" s="2756"/>
      <c r="P16" s="3758"/>
      <c r="Q16" s="1352" t="str">
        <f>B16</f>
        <v>公共配套设施</v>
      </c>
      <c r="R16" s="705" t="s">
        <v>14</v>
      </c>
      <c r="S16" s="706">
        <f>F16</f>
        <v>100</v>
      </c>
      <c r="T16" s="705" t="s">
        <v>14</v>
      </c>
      <c r="U16" s="706">
        <f>H16</f>
        <v>100</v>
      </c>
      <c r="V16" s="705" t="s">
        <v>14</v>
      </c>
      <c r="W16" s="706">
        <f>J16</f>
        <v>100</v>
      </c>
      <c r="X16" s="1355"/>
      <c r="Y16" s="375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04"/>
      <c r="M17" s="2698"/>
      <c r="N17" s="2698"/>
      <c r="O17" s="2756"/>
      <c r="P17" s="3758"/>
      <c r="Q17" s="1352"/>
      <c r="R17" s="705"/>
      <c r="S17" s="706"/>
      <c r="T17" s="705"/>
      <c r="U17" s="706"/>
      <c r="V17" s="705"/>
      <c r="W17" s="706"/>
      <c r="X17" s="1355"/>
      <c r="Y17" s="3758"/>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4"/>
      <c r="M18" s="2698"/>
      <c r="N18" s="2698"/>
      <c r="O18" s="2756"/>
      <c r="P18" s="3758"/>
      <c r="Q18" s="1352" t="str">
        <f>B18</f>
        <v>基础设施水平</v>
      </c>
      <c r="R18" s="705" t="s">
        <v>14</v>
      </c>
      <c r="S18" s="706">
        <f>F18</f>
        <v>100</v>
      </c>
      <c r="T18" s="705" t="s">
        <v>14</v>
      </c>
      <c r="U18" s="706">
        <f>H18</f>
        <v>100</v>
      </c>
      <c r="V18" s="705" t="s">
        <v>14</v>
      </c>
      <c r="W18" s="706">
        <f>J18</f>
        <v>100</v>
      </c>
      <c r="X18" s="1355"/>
      <c r="Y18" s="375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04"/>
      <c r="M19" s="2698"/>
      <c r="N19" s="2698"/>
      <c r="O19" s="2756"/>
      <c r="P19" s="3758"/>
      <c r="Q19" s="1352"/>
      <c r="R19" s="705"/>
      <c r="S19" s="706"/>
      <c r="T19" s="705"/>
      <c r="U19" s="706"/>
      <c r="V19" s="705"/>
      <c r="W19" s="706"/>
      <c r="X19" s="1355"/>
      <c r="Y19" s="3758"/>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4"/>
      <c r="M20" s="2698"/>
      <c r="N20" s="2698"/>
      <c r="O20" s="2756"/>
      <c r="P20" s="3758"/>
      <c r="Q20" s="1352" t="str">
        <f>B20</f>
        <v>自然及人文环境</v>
      </c>
      <c r="R20" s="705" t="s">
        <v>14</v>
      </c>
      <c r="S20" s="706">
        <f>F20</f>
        <v>100</v>
      </c>
      <c r="T20" s="705" t="s">
        <v>14</v>
      </c>
      <c r="U20" s="706">
        <f>H20</f>
        <v>100</v>
      </c>
      <c r="V20" s="705" t="s">
        <v>14</v>
      </c>
      <c r="W20" s="706">
        <f>J20</f>
        <v>100</v>
      </c>
      <c r="X20" s="1355"/>
      <c r="Y20" s="375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04"/>
      <c r="M21" s="2698"/>
      <c r="N21" s="2698"/>
      <c r="O21" s="2756"/>
      <c r="P21" s="3758"/>
      <c r="Q21" s="1352"/>
      <c r="R21" s="705"/>
      <c r="S21" s="706"/>
      <c r="T21" s="705"/>
      <c r="U21" s="706"/>
      <c r="V21" s="705"/>
      <c r="W21" s="706"/>
      <c r="X21" s="1355"/>
      <c r="Y21" s="3758"/>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04"/>
      <c r="M22" s="2698"/>
      <c r="N22" s="2698"/>
      <c r="O22" s="2756"/>
      <c r="P22" s="3758"/>
      <c r="Q22" s="1352" t="str">
        <f>B22</f>
        <v>楼层</v>
      </c>
      <c r="R22" s="705" t="s">
        <v>14</v>
      </c>
      <c r="S22" s="706">
        <f>F22</f>
        <v>100</v>
      </c>
      <c r="T22" s="705" t="s">
        <v>14</v>
      </c>
      <c r="U22" s="706">
        <f>H22</f>
        <v>100</v>
      </c>
      <c r="V22" s="705" t="s">
        <v>14</v>
      </c>
      <c r="W22" s="706">
        <f>J22</f>
        <v>100</v>
      </c>
      <c r="X22" s="1355"/>
      <c r="Y22" s="375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04"/>
      <c r="M23" s="2698"/>
      <c r="N23" s="2698"/>
      <c r="O23" s="2756"/>
      <c r="P23" s="3758"/>
      <c r="Q23" s="1352">
        <f>B23</f>
        <v>111</v>
      </c>
      <c r="R23" s="705" t="s">
        <v>14</v>
      </c>
      <c r="S23" s="706">
        <f>F23</f>
        <v>100</v>
      </c>
      <c r="T23" s="705" t="s">
        <v>14</v>
      </c>
      <c r="U23" s="706">
        <f>H23</f>
        <v>100</v>
      </c>
      <c r="V23" s="705" t="s">
        <v>14</v>
      </c>
      <c r="W23" s="706">
        <f>J23</f>
        <v>100</v>
      </c>
      <c r="X23" s="1355"/>
      <c r="Y23" s="375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04"/>
      <c r="M24" s="2698"/>
      <c r="N24" s="2698"/>
      <c r="O24" s="2756"/>
      <c r="P24" s="3758"/>
      <c r="Q24" s="1352">
        <f t="shared" ref="Q24:Q34" si="11">B24</f>
        <v>111</v>
      </c>
      <c r="R24" s="705" t="s">
        <v>14</v>
      </c>
      <c r="S24" s="706">
        <f>F24</f>
        <v>100</v>
      </c>
      <c r="T24" s="705" t="s">
        <v>14</v>
      </c>
      <c r="U24" s="706">
        <f>H24</f>
        <v>100</v>
      </c>
      <c r="V24" s="705" t="s">
        <v>14</v>
      </c>
      <c r="W24" s="706">
        <f>J24</f>
        <v>100</v>
      </c>
      <c r="X24" s="1355"/>
      <c r="Y24" s="375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9"/>
      <c r="M25" s="2700"/>
      <c r="N25" s="2700"/>
      <c r="O25" s="2754"/>
      <c r="P25" s="3758"/>
      <c r="Q25" s="1343">
        <f t="shared" si="11"/>
        <v>111</v>
      </c>
      <c r="R25" s="701" t="s">
        <v>14</v>
      </c>
      <c r="S25" s="702">
        <f>F25</f>
        <v>100</v>
      </c>
      <c r="T25" s="701" t="s">
        <v>14</v>
      </c>
      <c r="U25" s="702">
        <f>H25</f>
        <v>100</v>
      </c>
      <c r="V25" s="701" t="s">
        <v>14</v>
      </c>
      <c r="W25" s="702">
        <f>J25</f>
        <v>100</v>
      </c>
      <c r="X25" s="703"/>
      <c r="Y25" s="3758"/>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04"/>
      <c r="M26" s="2698"/>
      <c r="N26" s="2698"/>
      <c r="O26" s="2756"/>
      <c r="P26" s="3810"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62"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3"/>
      <c r="M27" s="2705"/>
      <c r="N27" s="2705"/>
      <c r="O27" s="2757"/>
      <c r="P27" s="3762"/>
      <c r="Q27" s="707" t="str">
        <f t="shared" si="11"/>
        <v>成新率</v>
      </c>
      <c r="R27" s="708" t="s">
        <v>14</v>
      </c>
      <c r="S27" s="709" t="e">
        <f t="shared" si="12"/>
        <v>#N/A</v>
      </c>
      <c r="T27" s="708" t="s">
        <v>14</v>
      </c>
      <c r="U27" s="709" t="e">
        <f t="shared" si="13"/>
        <v>#N/A</v>
      </c>
      <c r="V27" s="708" t="s">
        <v>14</v>
      </c>
      <c r="W27" s="709" t="e">
        <f t="shared" si="14"/>
        <v>#N/A</v>
      </c>
      <c r="X27" s="710"/>
      <c r="Y27" s="3762"/>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04"/>
      <c r="M28" s="2698"/>
      <c r="N28" s="2698"/>
      <c r="O28" s="2756"/>
      <c r="P28" s="3762"/>
      <c r="Q28" s="1352" t="str">
        <f t="shared" si="11"/>
        <v>物业等级</v>
      </c>
      <c r="R28" s="705" t="s">
        <v>14</v>
      </c>
      <c r="S28" s="706">
        <f t="shared" si="12"/>
        <v>100</v>
      </c>
      <c r="T28" s="705" t="s">
        <v>14</v>
      </c>
      <c r="U28" s="706">
        <f t="shared" si="13"/>
        <v>100</v>
      </c>
      <c r="V28" s="705" t="s">
        <v>14</v>
      </c>
      <c r="W28" s="706">
        <f t="shared" si="14"/>
        <v>100</v>
      </c>
      <c r="X28" s="1355"/>
      <c r="Y28" s="3762"/>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04"/>
      <c r="M29" s="2698"/>
      <c r="N29" s="2698"/>
      <c r="O29" s="2756"/>
      <c r="P29" s="3762"/>
      <c r="Q29" s="1352" t="str">
        <f t="shared" si="11"/>
        <v>有无电梯</v>
      </c>
      <c r="R29" s="705" t="s">
        <v>14</v>
      </c>
      <c r="S29" s="706">
        <f t="shared" si="12"/>
        <v>100</v>
      </c>
      <c r="T29" s="705" t="s">
        <v>14</v>
      </c>
      <c r="U29" s="706">
        <f t="shared" si="13"/>
        <v>100</v>
      </c>
      <c r="V29" s="705" t="s">
        <v>14</v>
      </c>
      <c r="W29" s="706">
        <f t="shared" si="14"/>
        <v>100</v>
      </c>
      <c r="X29" s="1355"/>
      <c r="Y29" s="3762"/>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4"/>
      <c r="M30" s="2698"/>
      <c r="N30" s="2698"/>
      <c r="O30" s="2756"/>
      <c r="P30" s="3762"/>
      <c r="Q30" s="1352" t="str">
        <f t="shared" si="11"/>
        <v>建筑面积</v>
      </c>
      <c r="R30" s="705" t="s">
        <v>14</v>
      </c>
      <c r="S30" s="706" t="e">
        <f t="shared" si="12"/>
        <v>#N/A</v>
      </c>
      <c r="T30" s="705" t="s">
        <v>14</v>
      </c>
      <c r="U30" s="706" t="e">
        <f t="shared" si="13"/>
        <v>#N/A</v>
      </c>
      <c r="V30" s="705" t="s">
        <v>14</v>
      </c>
      <c r="W30" s="706" t="e">
        <f t="shared" si="14"/>
        <v>#N/A</v>
      </c>
      <c r="X30" s="1355"/>
      <c r="Y30" s="3762"/>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699"/>
      <c r="M31" s="2700"/>
      <c r="N31" s="2700"/>
      <c r="O31" s="2754"/>
      <c r="P31" s="3762"/>
      <c r="Q31" s="1343" t="str">
        <f t="shared" si="11"/>
        <v>是否封闭</v>
      </c>
      <c r="R31" s="701" t="s">
        <v>14</v>
      </c>
      <c r="S31" s="702">
        <f t="shared" si="12"/>
        <v>100</v>
      </c>
      <c r="T31" s="701" t="s">
        <v>14</v>
      </c>
      <c r="U31" s="702">
        <f t="shared" si="13"/>
        <v>100</v>
      </c>
      <c r="V31" s="701" t="s">
        <v>14</v>
      </c>
      <c r="W31" s="702">
        <f t="shared" si="14"/>
        <v>100</v>
      </c>
      <c r="X31" s="703"/>
      <c r="Y31" s="376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04"/>
      <c r="M32" s="2698"/>
      <c r="N32" s="2698"/>
      <c r="O32" s="2756"/>
      <c r="P32" s="3762" t="s">
        <v>1695</v>
      </c>
      <c r="Q32" s="1352">
        <f t="shared" si="11"/>
        <v>111</v>
      </c>
      <c r="R32" s="705" t="s">
        <v>14</v>
      </c>
      <c r="S32" s="706">
        <f t="shared" si="12"/>
        <v>100</v>
      </c>
      <c r="T32" s="705" t="s">
        <v>14</v>
      </c>
      <c r="U32" s="706">
        <f t="shared" si="13"/>
        <v>100</v>
      </c>
      <c r="V32" s="705" t="s">
        <v>14</v>
      </c>
      <c r="W32" s="706">
        <f t="shared" si="14"/>
        <v>100</v>
      </c>
      <c r="X32" s="1355"/>
      <c r="Y32" s="3762"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04"/>
      <c r="M33" s="2698"/>
      <c r="N33" s="2698"/>
      <c r="O33" s="2756"/>
      <c r="P33" s="3762"/>
      <c r="Q33" s="1352">
        <f t="shared" si="11"/>
        <v>111</v>
      </c>
      <c r="R33" s="705" t="s">
        <v>14</v>
      </c>
      <c r="S33" s="706">
        <f t="shared" si="12"/>
        <v>100</v>
      </c>
      <c r="T33" s="705" t="s">
        <v>14</v>
      </c>
      <c r="U33" s="706">
        <f t="shared" si="13"/>
        <v>100</v>
      </c>
      <c r="V33" s="705" t="s">
        <v>14</v>
      </c>
      <c r="W33" s="706">
        <f t="shared" si="14"/>
        <v>100</v>
      </c>
      <c r="X33" s="1355"/>
      <c r="Y33" s="376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04"/>
      <c r="M34" s="2698"/>
      <c r="N34" s="2698"/>
      <c r="O34" s="2756"/>
      <c r="P34" s="3762"/>
      <c r="Q34" s="1352">
        <f t="shared" si="11"/>
        <v>111</v>
      </c>
      <c r="R34" s="705" t="s">
        <v>14</v>
      </c>
      <c r="S34" s="706">
        <f t="shared" si="12"/>
        <v>100</v>
      </c>
      <c r="T34" s="705" t="s">
        <v>14</v>
      </c>
      <c r="U34" s="706">
        <f t="shared" si="13"/>
        <v>100</v>
      </c>
      <c r="V34" s="705" t="s">
        <v>14</v>
      </c>
      <c r="W34" s="706">
        <f t="shared" si="14"/>
        <v>100</v>
      </c>
      <c r="X34" s="1355"/>
      <c r="Y34" s="3762"/>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06"/>
      <c r="M35" s="2707"/>
      <c r="N35" s="2698"/>
      <c r="O35" s="2707"/>
      <c r="P35" s="3764" t="str">
        <f>A35</f>
        <v>成交单价（元/平方米）</v>
      </c>
      <c r="Q35" s="3764"/>
      <c r="R35" s="3765">
        <f>E35</f>
        <v>0</v>
      </c>
      <c r="S35" s="3765"/>
      <c r="T35" s="3765">
        <f>G35</f>
        <v>0</v>
      </c>
      <c r="U35" s="3765"/>
      <c r="V35" s="3765">
        <f>I35</f>
        <v>0</v>
      </c>
      <c r="W35" s="3765"/>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06"/>
      <c r="M36" s="2707"/>
      <c r="N36" s="2698"/>
      <c r="O36" s="2707"/>
      <c r="P36" s="3764" t="str">
        <f>A36</f>
        <v>比较价值（元/平方米）</v>
      </c>
      <c r="Q36" s="3764"/>
      <c r="R36" s="3765" t="e">
        <f>IF(F1="售价",ROUND(PRODUCT(R35,AA7:AA34),0),ROUND(PRODUCT(R35,AA7:AA34),1))</f>
        <v>#DIV/0!</v>
      </c>
      <c r="S36" s="3765"/>
      <c r="T36" s="3765" t="e">
        <f>IF(F1="售价",ROUND(PRODUCT(T35,AB7:AB34),0),ROUND(PRODUCT(T35,AB7:AB34),1))</f>
        <v>#DIV/0!</v>
      </c>
      <c r="U36" s="3765"/>
      <c r="V36" s="3765" t="e">
        <f>IF(F1="售价",ROUND(PRODUCT(V35,AC7:AC34),0),ROUND(PRODUCT(V35,AC7:AC34),1))</f>
        <v>#DIV/0!</v>
      </c>
      <c r="W36" s="3765"/>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06"/>
      <c r="M37" s="2707"/>
      <c r="N37" s="2707"/>
      <c r="O37" s="2707"/>
      <c r="P37" s="3766" t="str">
        <f>A37</f>
        <v>估价对象XX用房的比较价值（楼面单价，元/平方米）</v>
      </c>
      <c r="Q37" s="3767"/>
      <c r="R37" s="3811" t="e">
        <f>IF(F1="售价",ROUND(IF(D36="简单平均",AVERAGE(R36:W36),R36*F36+T36*H36+V36*J36),0),ROUND(IF(D36="简单平均",AVERAGE(R36:V36),R36*F36+T36*H36+V36*J36),1))</f>
        <v>#DIV/0!</v>
      </c>
      <c r="S37" s="3811"/>
      <c r="T37" s="3811"/>
      <c r="U37" s="3811"/>
      <c r="V37" s="3811"/>
      <c r="W37" s="3811"/>
      <c r="X37" s="690"/>
      <c r="Y37" s="690"/>
      <c r="Z37" s="690"/>
      <c r="AA37" s="690"/>
      <c r="AB37" s="690"/>
      <c r="AC37" s="690"/>
    </row>
    <row r="38" spans="1:30">
      <c r="A38" s="2707"/>
      <c r="B38" s="2707"/>
      <c r="C38" s="2707"/>
      <c r="D38" s="2707"/>
      <c r="E38" s="2707"/>
      <c r="F38" s="2707"/>
      <c r="G38" s="2711"/>
      <c r="H38" s="2707"/>
      <c r="I38" s="2707"/>
      <c r="J38" s="2707"/>
      <c r="K38" s="2712"/>
      <c r="L38" s="2708"/>
      <c r="M38" s="2707"/>
      <c r="N38" s="2707"/>
      <c r="O38" s="2707"/>
      <c r="P38" s="2707"/>
      <c r="Q38" s="2707"/>
      <c r="R38" s="2707"/>
      <c r="S38" s="2707"/>
      <c r="T38" s="2707"/>
      <c r="U38" s="2707"/>
      <c r="V38" s="2707"/>
      <c r="W38" s="2707"/>
      <c r="X38" s="2707"/>
      <c r="Y38" s="2707"/>
      <c r="Z38" s="2707"/>
      <c r="AA38" s="2707"/>
      <c r="AB38" s="2707"/>
      <c r="AC38" s="2707"/>
      <c r="AD38" s="2707"/>
    </row>
    <row r="39" spans="1:30">
      <c r="A39" s="2707"/>
      <c r="B39" s="2707"/>
      <c r="C39" s="2707"/>
      <c r="D39" s="2707"/>
      <c r="E39" s="2707"/>
      <c r="F39" s="2707"/>
      <c r="G39" s="2707"/>
      <c r="H39" s="2707"/>
      <c r="I39" s="2707"/>
      <c r="J39" s="2707"/>
      <c r="K39" s="2712"/>
      <c r="L39" s="2708"/>
      <c r="M39" s="2707"/>
      <c r="N39" s="2707"/>
      <c r="O39" s="2707"/>
      <c r="P39" s="2707"/>
      <c r="Q39" s="2707"/>
      <c r="R39" s="2707"/>
      <c r="S39" s="2707"/>
      <c r="T39" s="2707"/>
      <c r="U39" s="2707"/>
      <c r="V39" s="2707"/>
      <c r="W39" s="2707"/>
      <c r="X39" s="2707"/>
      <c r="Y39" s="2707"/>
      <c r="Z39" s="2707"/>
      <c r="AA39" s="2707"/>
      <c r="AB39" s="2707"/>
      <c r="AC39" s="2707"/>
      <c r="AD39" s="2707"/>
    </row>
    <row r="40" spans="1:30" ht="13.5" customHeight="1">
      <c r="A40" s="2707"/>
      <c r="B40" s="2707"/>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12"/>
      <c r="L40" s="2708"/>
      <c r="M40" s="2707"/>
      <c r="N40" s="2707"/>
      <c r="O40" s="2707"/>
      <c r="P40" s="2707"/>
      <c r="Q40" s="2707"/>
      <c r="R40" s="2707"/>
      <c r="S40" s="2707"/>
      <c r="T40" s="2707"/>
      <c r="U40" s="2707"/>
      <c r="V40" s="2707"/>
      <c r="W40" s="2707"/>
      <c r="X40" s="2707"/>
      <c r="Y40" s="2707"/>
      <c r="Z40" s="2707"/>
      <c r="AA40" s="2707"/>
      <c r="AB40" s="2707"/>
      <c r="AC40" s="2707"/>
      <c r="AD40" s="2707"/>
    </row>
    <row r="41" spans="1:30" ht="13.5" customHeight="1">
      <c r="A41" s="2707"/>
      <c r="B41" s="2707"/>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12"/>
      <c r="L41" s="2708"/>
      <c r="M41" s="2707"/>
      <c r="N41" s="2707"/>
      <c r="O41" s="2707"/>
      <c r="P41" s="2707"/>
      <c r="Q41" s="2707"/>
      <c r="R41" s="2707"/>
      <c r="S41" s="2707"/>
      <c r="T41" s="2707"/>
      <c r="U41" s="2707"/>
      <c r="V41" s="2707"/>
      <c r="W41" s="2707"/>
      <c r="X41" s="2707"/>
      <c r="Y41" s="2707"/>
      <c r="Z41" s="2707"/>
      <c r="AA41" s="2707"/>
      <c r="AB41" s="2707"/>
      <c r="AC41" s="2707"/>
      <c r="AD41" s="2707"/>
    </row>
    <row r="42" spans="1:30" s="451" customFormat="1" ht="13.5" customHeight="1">
      <c r="A42" s="2710"/>
      <c r="B42" s="2710"/>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5"/>
      <c r="L42" s="2709"/>
      <c r="M42" s="2710"/>
      <c r="N42" s="2710"/>
      <c r="O42" s="2710"/>
      <c r="P42" s="2710"/>
      <c r="Q42" s="2710"/>
      <c r="R42" s="2710"/>
      <c r="S42" s="2710"/>
      <c r="T42" s="2710"/>
      <c r="U42" s="2710"/>
      <c r="V42" s="2710"/>
      <c r="W42" s="2710"/>
      <c r="X42" s="2710"/>
      <c r="Y42" s="2710"/>
      <c r="Z42" s="2710"/>
      <c r="AA42" s="2710"/>
      <c r="AB42" s="2710"/>
      <c r="AC42" s="2710"/>
      <c r="AD42" s="2710"/>
    </row>
    <row r="43" spans="1:30" s="451" customFormat="1">
      <c r="A43" s="2710"/>
      <c r="B43" s="2713"/>
      <c r="C43" s="2714"/>
      <c r="D43" s="2710"/>
      <c r="E43" s="2710"/>
      <c r="F43" s="2710"/>
      <c r="G43" s="2710"/>
      <c r="H43" s="2710"/>
      <c r="I43" s="2710"/>
      <c r="J43" s="2710"/>
      <c r="K43" s="2715"/>
      <c r="L43" s="2709"/>
      <c r="M43" s="2710"/>
      <c r="N43" s="2710"/>
      <c r="O43" s="2710"/>
      <c r="P43" s="2710"/>
      <c r="Q43" s="2710"/>
      <c r="R43" s="2710"/>
      <c r="S43" s="2710"/>
      <c r="T43" s="2710"/>
      <c r="U43" s="2710"/>
      <c r="V43" s="2710"/>
      <c r="W43" s="2710"/>
      <c r="X43" s="2710"/>
      <c r="Y43" s="2710"/>
      <c r="Z43" s="2710"/>
      <c r="AA43" s="2710"/>
      <c r="AB43" s="2710"/>
      <c r="AC43" s="2710"/>
      <c r="AD43" s="2710"/>
    </row>
    <row r="44" spans="1:30">
      <c r="A44" s="2707"/>
      <c r="B44" s="2713"/>
      <c r="C44" s="2714"/>
      <c r="D44" s="2707"/>
      <c r="E44" s="2707"/>
      <c r="F44" s="2707"/>
      <c r="G44" s="2707"/>
      <c r="H44" s="2707"/>
      <c r="I44" s="2707"/>
      <c r="J44" s="2707"/>
      <c r="K44" s="2712"/>
      <c r="L44" s="2708"/>
      <c r="M44" s="2707"/>
      <c r="N44" s="2707"/>
      <c r="O44" s="2707"/>
      <c r="P44" s="2707"/>
      <c r="Q44" s="2707"/>
      <c r="R44" s="2707"/>
      <c r="S44" s="2707"/>
      <c r="T44" s="2707"/>
      <c r="U44" s="2707"/>
      <c r="V44" s="2707"/>
      <c r="W44" s="2707"/>
      <c r="X44" s="2707"/>
      <c r="Y44" s="2707"/>
      <c r="Z44" s="2707"/>
      <c r="AA44" s="2707"/>
      <c r="AB44" s="2707"/>
      <c r="AC44" s="2707"/>
      <c r="AD44" s="2707"/>
    </row>
    <row r="45" spans="1:30" ht="21.75" thickBot="1">
      <c r="A45" s="694" t="s">
        <v>1797</v>
      </c>
      <c r="B45" s="690"/>
      <c r="C45" s="695"/>
      <c r="D45" s="695"/>
      <c r="E45" s="695"/>
      <c r="F45" s="696"/>
      <c r="G45" s="696"/>
      <c r="H45" s="695"/>
      <c r="I45" s="695"/>
      <c r="J45" s="695"/>
      <c r="K45" s="697"/>
      <c r="L45" s="698"/>
      <c r="M45" s="695"/>
      <c r="N45" s="2751"/>
      <c r="O45" s="2751"/>
      <c r="P45" s="2751"/>
      <c r="Q45" s="2721"/>
      <c r="R45" s="2707"/>
      <c r="S45" s="2707"/>
      <c r="T45" s="2707"/>
      <c r="U45" s="2707"/>
      <c r="V45" s="2707"/>
      <c r="W45" s="2707"/>
      <c r="X45" s="2707"/>
      <c r="Y45" s="2707"/>
      <c r="Z45" s="2707"/>
      <c r="AA45" s="2707"/>
      <c r="AB45" s="2707"/>
      <c r="AC45" s="2707"/>
      <c r="AD45" s="2707"/>
    </row>
    <row r="46" spans="1:30" s="457" customFormat="1" ht="15">
      <c r="A46" s="454" t="s">
        <v>1678</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58"/>
      <c r="Q46" s="2723"/>
      <c r="R46" s="2723"/>
      <c r="S46" s="2723"/>
      <c r="T46" s="2723"/>
      <c r="U46" s="2723"/>
      <c r="V46" s="2723"/>
      <c r="W46" s="2723"/>
      <c r="X46" s="2723"/>
      <c r="Y46" s="2723"/>
      <c r="Z46" s="2723"/>
      <c r="AA46" s="2723"/>
      <c r="AB46" s="2723"/>
      <c r="AC46" s="2723"/>
      <c r="AD46" s="2723"/>
    </row>
    <row r="47" spans="1:30" s="108" customFormat="1" ht="15">
      <c r="A47" s="458"/>
      <c r="B47" s="459"/>
      <c r="C47" s="1183">
        <v>100</v>
      </c>
      <c r="D47" s="461"/>
      <c r="E47" s="461"/>
      <c r="F47" s="461"/>
      <c r="G47" s="461"/>
      <c r="H47" s="461"/>
      <c r="I47" s="461"/>
      <c r="J47" s="461"/>
      <c r="K47" s="461"/>
      <c r="L47" s="461"/>
      <c r="M47" s="462"/>
      <c r="N47" s="461"/>
      <c r="O47" s="463"/>
      <c r="P47" s="2721"/>
      <c r="Q47" s="2643"/>
      <c r="R47" s="2643"/>
      <c r="S47" s="2643"/>
      <c r="T47" s="2643"/>
      <c r="U47" s="2643"/>
      <c r="V47" s="2643"/>
      <c r="W47" s="2643"/>
      <c r="X47" s="2643"/>
      <c r="Y47" s="2643"/>
      <c r="Z47" s="2643"/>
      <c r="AA47" s="2643"/>
      <c r="AB47" s="2643"/>
      <c r="AC47" s="2643"/>
      <c r="AD47" s="2643"/>
    </row>
    <row r="48" spans="1:30" s="108" customFormat="1" ht="15.75" thickBot="1">
      <c r="A48" s="464" t="s">
        <v>1715</v>
      </c>
      <c r="B48" s="465"/>
      <c r="C48" s="466"/>
      <c r="D48" s="467"/>
      <c r="E48" s="467"/>
      <c r="F48" s="467"/>
      <c r="G48" s="467"/>
      <c r="H48" s="467"/>
      <c r="I48" s="467"/>
      <c r="J48" s="467"/>
      <c r="K48" s="467"/>
      <c r="L48" s="467"/>
      <c r="M48" s="468"/>
      <c r="N48" s="467"/>
      <c r="O48" s="469"/>
      <c r="P48" s="2721"/>
      <c r="Q48" s="2721"/>
      <c r="R48" s="2643"/>
      <c r="S48" s="2643"/>
      <c r="T48" s="2643"/>
      <c r="U48" s="2643"/>
      <c r="V48" s="2643"/>
      <c r="W48" s="2643"/>
      <c r="X48" s="2643"/>
      <c r="Y48" s="2643"/>
      <c r="Z48" s="2643"/>
      <c r="AA48" s="2643"/>
      <c r="AB48" s="2643"/>
      <c r="AC48" s="2643"/>
      <c r="AD48" s="2643"/>
    </row>
    <row r="49" spans="1:30" s="108" customFormat="1" ht="15">
      <c r="A49" s="470" t="s">
        <v>1680</v>
      </c>
      <c r="B49" s="459"/>
      <c r="C49" s="471" t="s">
        <v>1775</v>
      </c>
      <c r="D49" s="472"/>
      <c r="E49" s="472"/>
      <c r="F49" s="472"/>
      <c r="G49" s="472"/>
      <c r="H49" s="472"/>
      <c r="I49" s="472"/>
      <c r="J49" s="472"/>
      <c r="K49" s="472"/>
      <c r="L49" s="473"/>
      <c r="M49" s="474"/>
      <c r="N49" s="2734"/>
      <c r="O49" s="2734"/>
      <c r="P49" s="2759"/>
      <c r="Q49" s="2721"/>
      <c r="R49" s="2643"/>
      <c r="S49" s="2643"/>
      <c r="T49" s="2643"/>
      <c r="U49" s="2643"/>
      <c r="V49" s="2643"/>
      <c r="W49" s="2643"/>
      <c r="X49" s="2643"/>
      <c r="Y49" s="2643"/>
      <c r="Z49" s="2643"/>
      <c r="AA49" s="2643"/>
      <c r="AB49" s="2643"/>
      <c r="AC49" s="2643"/>
      <c r="AD49" s="2643"/>
    </row>
    <row r="50" spans="1:30" s="108" customFormat="1" ht="15.75" thickBot="1">
      <c r="A50" s="470"/>
      <c r="B50" s="459"/>
      <c r="C50" s="587">
        <v>100</v>
      </c>
      <c r="D50" s="461"/>
      <c r="E50" s="461"/>
      <c r="F50" s="461"/>
      <c r="G50" s="461"/>
      <c r="H50" s="461"/>
      <c r="I50" s="461"/>
      <c r="J50" s="461"/>
      <c r="K50" s="461"/>
      <c r="L50" s="461"/>
      <c r="M50" s="463"/>
      <c r="N50" s="2734"/>
      <c r="O50" s="2734"/>
      <c r="P50" s="2721"/>
      <c r="Q50" s="2721"/>
      <c r="R50" s="2643"/>
      <c r="S50" s="2643"/>
      <c r="T50" s="2643"/>
      <c r="U50" s="2643"/>
      <c r="V50" s="2643"/>
      <c r="W50" s="2643"/>
      <c r="X50" s="2643"/>
      <c r="Y50" s="2643"/>
      <c r="Z50" s="2643"/>
      <c r="AA50" s="2643"/>
      <c r="AB50" s="2643"/>
      <c r="AC50" s="2643"/>
      <c r="AD50" s="2643"/>
    </row>
    <row r="51" spans="1:30">
      <c r="A51" s="476" t="s">
        <v>1718</v>
      </c>
      <c r="B51" s="477" t="s">
        <v>1684</v>
      </c>
      <c r="C51" s="478">
        <f>C9</f>
        <v>0</v>
      </c>
      <c r="D51" s="479"/>
      <c r="E51" s="479"/>
      <c r="F51" s="479"/>
      <c r="G51" s="479"/>
      <c r="H51" s="479"/>
      <c r="I51" s="479"/>
      <c r="J51" s="479"/>
      <c r="K51" s="480"/>
      <c r="L51" s="481"/>
      <c r="M51" s="482"/>
      <c r="N51" s="2735"/>
      <c r="O51" s="2735"/>
      <c r="P51" s="2760"/>
      <c r="Q51" s="2721"/>
      <c r="R51" s="2707"/>
      <c r="S51" s="2707"/>
      <c r="T51" s="2707"/>
      <c r="U51" s="2707"/>
      <c r="V51" s="2707"/>
      <c r="W51" s="2707"/>
      <c r="X51" s="2707"/>
      <c r="Y51" s="2707"/>
      <c r="Z51" s="2707"/>
      <c r="AA51" s="2707"/>
      <c r="AB51" s="2707"/>
      <c r="AC51" s="2707"/>
      <c r="AD51" s="2707"/>
    </row>
    <row r="52" spans="1:30" ht="15.75" thickBot="1">
      <c r="A52" s="483"/>
      <c r="B52" s="484"/>
      <c r="C52" s="485">
        <v>100</v>
      </c>
      <c r="D52" s="485"/>
      <c r="E52" s="485"/>
      <c r="F52" s="485"/>
      <c r="G52" s="485"/>
      <c r="H52" s="485"/>
      <c r="I52" s="485"/>
      <c r="J52" s="485"/>
      <c r="K52" s="485"/>
      <c r="L52" s="485"/>
      <c r="M52" s="486"/>
      <c r="N52" s="2736"/>
      <c r="O52" s="2736"/>
      <c r="P52" s="2760"/>
      <c r="Q52" s="2721"/>
      <c r="R52" s="2707"/>
      <c r="S52" s="2707"/>
      <c r="T52" s="2707"/>
      <c r="U52" s="2707"/>
      <c r="V52" s="2707"/>
      <c r="W52" s="2707"/>
      <c r="X52" s="2707"/>
      <c r="Y52" s="2707"/>
      <c r="Z52" s="2707"/>
      <c r="AA52" s="2707"/>
      <c r="AB52" s="2707"/>
      <c r="AC52" s="2707"/>
      <c r="AD52" s="2707"/>
    </row>
    <row r="53" spans="1:30" ht="27.75" thickTop="1">
      <c r="A53" s="483"/>
      <c r="B53" s="487" t="s">
        <v>1687</v>
      </c>
      <c r="C53" s="532"/>
      <c r="D53" s="532"/>
      <c r="E53" s="532"/>
      <c r="F53" s="532"/>
      <c r="G53" s="532"/>
      <c r="H53" s="532"/>
      <c r="I53" s="532"/>
      <c r="J53" s="532"/>
      <c r="K53" s="533"/>
      <c r="L53" s="534"/>
      <c r="M53" s="535"/>
      <c r="N53" s="2735"/>
      <c r="O53" s="2735"/>
      <c r="P53" s="2760"/>
      <c r="Q53" s="2721"/>
      <c r="R53" s="2707"/>
      <c r="S53" s="2707"/>
      <c r="T53" s="2707"/>
      <c r="U53" s="2707"/>
      <c r="V53" s="2707"/>
      <c r="W53" s="2707"/>
      <c r="X53" s="2707"/>
      <c r="Y53" s="2707"/>
      <c r="Z53" s="2707"/>
      <c r="AA53" s="2707"/>
      <c r="AB53" s="2707"/>
      <c r="AC53" s="2707"/>
      <c r="AD53" s="2707"/>
    </row>
    <row r="54" spans="1:30" ht="15.75" thickBot="1">
      <c r="A54" s="483"/>
      <c r="B54" s="492"/>
      <c r="C54" s="485"/>
      <c r="D54" s="485"/>
      <c r="E54" s="485"/>
      <c r="F54" s="485"/>
      <c r="G54" s="485"/>
      <c r="H54" s="485"/>
      <c r="I54" s="485"/>
      <c r="J54" s="485"/>
      <c r="K54" s="485"/>
      <c r="L54" s="485"/>
      <c r="M54" s="486"/>
      <c r="N54" s="2736"/>
      <c r="O54" s="2736"/>
      <c r="P54" s="2760"/>
      <c r="Q54" s="2721"/>
      <c r="R54" s="2707"/>
      <c r="S54" s="2707"/>
      <c r="T54" s="2707"/>
      <c r="U54" s="2707"/>
      <c r="V54" s="2707"/>
      <c r="W54" s="2707"/>
      <c r="X54" s="2707"/>
      <c r="Y54" s="2707"/>
      <c r="Z54" s="2707"/>
      <c r="AA54" s="2707"/>
      <c r="AB54" s="2707"/>
      <c r="AC54" s="2707"/>
      <c r="AD54" s="2707"/>
    </row>
    <row r="55" spans="1:30" ht="15.75" thickTop="1">
      <c r="A55" s="483"/>
      <c r="B55" s="608">
        <f>B11</f>
        <v>111</v>
      </c>
      <c r="C55" s="498"/>
      <c r="D55" s="498"/>
      <c r="E55" s="498"/>
      <c r="F55" s="498"/>
      <c r="G55" s="498"/>
      <c r="H55" s="498"/>
      <c r="I55" s="498"/>
      <c r="J55" s="498"/>
      <c r="K55" s="499"/>
      <c r="L55" s="500"/>
      <c r="M55" s="501"/>
      <c r="N55" s="2735"/>
      <c r="O55" s="2735"/>
      <c r="P55" s="2760"/>
      <c r="Q55" s="2721"/>
      <c r="R55" s="2707"/>
      <c r="S55" s="2707"/>
      <c r="T55" s="2707"/>
      <c r="U55" s="2707"/>
      <c r="V55" s="2707"/>
      <c r="W55" s="2707"/>
      <c r="X55" s="2707"/>
      <c r="Y55" s="2707"/>
      <c r="Z55" s="2707"/>
      <c r="AA55" s="2707"/>
      <c r="AB55" s="2707"/>
      <c r="AC55" s="2707"/>
      <c r="AD55" s="2707"/>
    </row>
    <row r="56" spans="1:30" ht="15.75" thickBot="1">
      <c r="A56" s="483"/>
      <c r="B56" s="484"/>
      <c r="C56" s="509"/>
      <c r="D56" s="485"/>
      <c r="E56" s="485"/>
      <c r="F56" s="485"/>
      <c r="G56" s="485"/>
      <c r="H56" s="485"/>
      <c r="I56" s="485"/>
      <c r="J56" s="485"/>
      <c r="K56" s="485"/>
      <c r="L56" s="485"/>
      <c r="M56" s="486"/>
      <c r="N56" s="2736"/>
      <c r="O56" s="2736"/>
      <c r="P56" s="2760"/>
      <c r="Q56" s="2721"/>
      <c r="R56" s="2707"/>
      <c r="S56" s="2707"/>
      <c r="T56" s="2707"/>
      <c r="U56" s="2707"/>
      <c r="V56" s="2707"/>
      <c r="W56" s="2707"/>
      <c r="X56" s="2707"/>
      <c r="Y56" s="2707"/>
      <c r="Z56" s="2707"/>
      <c r="AA56" s="2707"/>
      <c r="AB56" s="2707"/>
      <c r="AC56" s="2707"/>
      <c r="AD56" s="2707"/>
    </row>
    <row r="57" spans="1:30" s="422" customFormat="1" ht="15.75" thickTop="1">
      <c r="A57" s="502"/>
      <c r="B57" s="487">
        <f>B12</f>
        <v>111</v>
      </c>
      <c r="C57" s="498"/>
      <c r="D57" s="498"/>
      <c r="E57" s="498"/>
      <c r="F57" s="498"/>
      <c r="G57" s="503"/>
      <c r="H57" s="504"/>
      <c r="I57" s="504"/>
      <c r="J57" s="504"/>
      <c r="K57" s="504"/>
      <c r="L57" s="505"/>
      <c r="M57" s="506"/>
      <c r="N57" s="2737"/>
      <c r="O57" s="2737"/>
      <c r="P57" s="2761"/>
      <c r="Q57" s="2728"/>
      <c r="R57" s="2729"/>
      <c r="S57" s="2729"/>
      <c r="T57" s="2729"/>
      <c r="U57" s="2729"/>
      <c r="V57" s="2729"/>
      <c r="W57" s="2729"/>
      <c r="X57" s="2729"/>
      <c r="Y57" s="2729"/>
      <c r="Z57" s="2729"/>
      <c r="AA57" s="2729"/>
      <c r="AB57" s="2729"/>
      <c r="AC57" s="2729"/>
      <c r="AD57" s="2729"/>
    </row>
    <row r="58" spans="1:30" s="422" customFormat="1" ht="15.75" thickBot="1">
      <c r="A58" s="502"/>
      <c r="B58" s="492"/>
      <c r="C58" s="509"/>
      <c r="D58" s="485"/>
      <c r="E58" s="485"/>
      <c r="F58" s="485"/>
      <c r="G58" s="485"/>
      <c r="H58" s="485"/>
      <c r="I58" s="485"/>
      <c r="J58" s="485"/>
      <c r="K58" s="485"/>
      <c r="L58" s="485"/>
      <c r="M58" s="486"/>
      <c r="N58" s="2736"/>
      <c r="O58" s="2736"/>
      <c r="P58" s="2761"/>
      <c r="Q58" s="2728"/>
      <c r="R58" s="2729"/>
      <c r="S58" s="2729"/>
      <c r="T58" s="2729"/>
      <c r="U58" s="2729"/>
      <c r="V58" s="2729"/>
      <c r="W58" s="2729"/>
      <c r="X58" s="2729"/>
      <c r="Y58" s="2729"/>
      <c r="Z58" s="2729"/>
      <c r="AA58" s="2729"/>
      <c r="AB58" s="2729"/>
      <c r="AC58" s="2729"/>
      <c r="AD58" s="2729"/>
    </row>
    <row r="59" spans="1:30" s="422" customFormat="1" ht="15.75" thickTop="1">
      <c r="A59" s="502"/>
      <c r="B59" s="487">
        <f>B13</f>
        <v>111</v>
      </c>
      <c r="C59" s="498"/>
      <c r="D59" s="498"/>
      <c r="E59" s="498"/>
      <c r="F59" s="498"/>
      <c r="G59" s="503"/>
      <c r="H59" s="504"/>
      <c r="I59" s="504"/>
      <c r="J59" s="504"/>
      <c r="K59" s="504"/>
      <c r="L59" s="505"/>
      <c r="M59" s="506"/>
      <c r="N59" s="2737"/>
      <c r="O59" s="2737"/>
      <c r="P59" s="2705"/>
      <c r="Q59" s="2731"/>
      <c r="R59" s="2729"/>
      <c r="S59" s="2729"/>
      <c r="T59" s="2729"/>
      <c r="U59" s="2729"/>
      <c r="V59" s="2729"/>
      <c r="W59" s="2729"/>
      <c r="X59" s="2729"/>
      <c r="Y59" s="2729"/>
      <c r="Z59" s="2729"/>
      <c r="AA59" s="2729"/>
      <c r="AB59" s="2729"/>
      <c r="AC59" s="2729"/>
      <c r="AD59" s="2729"/>
    </row>
    <row r="60" spans="1:30" s="422" customFormat="1" ht="15.75" thickBot="1">
      <c r="A60" s="502"/>
      <c r="B60" s="492"/>
      <c r="C60" s="509"/>
      <c r="D60" s="509"/>
      <c r="E60" s="509"/>
      <c r="F60" s="509"/>
      <c r="G60" s="509"/>
      <c r="H60" s="511"/>
      <c r="I60" s="511"/>
      <c r="J60" s="511"/>
      <c r="K60" s="511"/>
      <c r="L60" s="511"/>
      <c r="M60" s="512"/>
      <c r="N60" s="2737"/>
      <c r="O60" s="2737"/>
      <c r="P60" s="2761"/>
      <c r="Q60" s="2728"/>
      <c r="R60" s="2729"/>
      <c r="S60" s="2729"/>
      <c r="T60" s="2729"/>
      <c r="U60" s="2729"/>
      <c r="V60" s="2729"/>
      <c r="W60" s="2729"/>
      <c r="X60" s="2729"/>
      <c r="Y60" s="2729"/>
      <c r="Z60" s="2729"/>
      <c r="AA60" s="2729"/>
      <c r="AB60" s="2729"/>
      <c r="AC60" s="2729"/>
      <c r="AD60" s="2729"/>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35"/>
      <c r="O61" s="2735"/>
      <c r="P61" s="2762"/>
      <c r="Q61" s="2721"/>
      <c r="R61" s="2707"/>
      <c r="S61" s="2707"/>
      <c r="T61" s="2707"/>
      <c r="U61" s="2707"/>
      <c r="V61" s="2707"/>
      <c r="W61" s="2707"/>
      <c r="X61" s="2707"/>
      <c r="Y61" s="2707"/>
      <c r="Z61" s="2707"/>
      <c r="AA61" s="2707"/>
      <c r="AB61" s="2707"/>
      <c r="AC61" s="2707"/>
      <c r="AD61" s="270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6"/>
      <c r="O62" s="2736"/>
      <c r="P62" s="2760"/>
      <c r="Q62" s="2721"/>
      <c r="R62" s="2707"/>
      <c r="S62" s="2707"/>
      <c r="T62" s="2707"/>
      <c r="U62" s="2707"/>
      <c r="V62" s="2707"/>
      <c r="W62" s="2707"/>
      <c r="X62" s="2707"/>
      <c r="Y62" s="2707"/>
      <c r="Z62" s="2707"/>
      <c r="AA62" s="2707"/>
      <c r="AB62" s="2707"/>
      <c r="AC62" s="2707"/>
      <c r="AD62" s="2707"/>
    </row>
    <row r="63" spans="1:30" ht="27.75" thickTop="1">
      <c r="A63" s="483"/>
      <c r="B63" s="487" t="s">
        <v>1862</v>
      </c>
      <c r="C63" s="527" t="s">
        <v>1720</v>
      </c>
      <c r="D63" s="527" t="s">
        <v>1721</v>
      </c>
      <c r="E63" s="527" t="s">
        <v>1722</v>
      </c>
      <c r="F63" s="527" t="s">
        <v>1723</v>
      </c>
      <c r="G63" s="527" t="s">
        <v>1724</v>
      </c>
      <c r="H63" s="488"/>
      <c r="I63" s="488"/>
      <c r="J63" s="488"/>
      <c r="K63" s="489"/>
      <c r="L63" s="490"/>
      <c r="M63" s="491"/>
      <c r="N63" s="2735"/>
      <c r="O63" s="2735"/>
      <c r="P63" s="2760"/>
      <c r="Q63" s="2721"/>
      <c r="R63" s="2707"/>
      <c r="S63" s="2707"/>
      <c r="T63" s="2707"/>
      <c r="U63" s="2707"/>
      <c r="V63" s="2707"/>
      <c r="W63" s="2707"/>
      <c r="X63" s="2707"/>
      <c r="Y63" s="2707"/>
      <c r="Z63" s="2707"/>
      <c r="AA63" s="2707"/>
      <c r="AB63" s="2707"/>
      <c r="AC63" s="2707"/>
      <c r="AD63" s="270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6"/>
      <c r="O64" s="2736"/>
      <c r="P64" s="2760"/>
      <c r="Q64" s="2721"/>
      <c r="R64" s="2707"/>
      <c r="S64" s="2707"/>
      <c r="T64" s="2707"/>
      <c r="U64" s="2707"/>
      <c r="V64" s="2707"/>
      <c r="W64" s="2707"/>
      <c r="X64" s="2707"/>
      <c r="Y64" s="2707"/>
      <c r="Z64" s="2707"/>
      <c r="AA64" s="2707"/>
      <c r="AB64" s="2707"/>
      <c r="AC64" s="2707"/>
      <c r="AD64" s="2707"/>
    </row>
    <row r="65" spans="1:30" ht="15.75" thickTop="1">
      <c r="A65" s="483"/>
      <c r="B65" s="495" t="s">
        <v>1812</v>
      </c>
      <c r="C65" s="608" t="s">
        <v>1798</v>
      </c>
      <c r="D65" s="608" t="s">
        <v>1799</v>
      </c>
      <c r="E65" s="608" t="s">
        <v>1800</v>
      </c>
      <c r="F65" s="608" t="s">
        <v>1801</v>
      </c>
      <c r="G65" s="608" t="s">
        <v>1802</v>
      </c>
      <c r="H65" s="488"/>
      <c r="I65" s="488"/>
      <c r="J65" s="488"/>
      <c r="K65" s="488"/>
      <c r="L65" s="488"/>
      <c r="M65" s="1129"/>
      <c r="N65" s="2736"/>
      <c r="O65" s="2736"/>
      <c r="P65" s="2760"/>
      <c r="Q65" s="2721"/>
      <c r="R65" s="2707"/>
      <c r="S65" s="2707"/>
      <c r="T65" s="2707"/>
      <c r="U65" s="2707"/>
      <c r="V65" s="2707"/>
      <c r="W65" s="2707"/>
      <c r="X65" s="2707"/>
      <c r="Y65" s="2707"/>
      <c r="Z65" s="2707"/>
      <c r="AA65" s="2707"/>
      <c r="AB65" s="2707"/>
      <c r="AC65" s="2707"/>
      <c r="AD65" s="270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6"/>
      <c r="O66" s="2736"/>
      <c r="P66" s="2760"/>
      <c r="Q66" s="2721"/>
      <c r="R66" s="2707"/>
      <c r="S66" s="2707"/>
      <c r="T66" s="2707"/>
      <c r="U66" s="2707"/>
      <c r="V66" s="2707"/>
      <c r="W66" s="2707"/>
      <c r="X66" s="2707"/>
      <c r="Y66" s="2707"/>
      <c r="Z66" s="2707"/>
      <c r="AA66" s="2707"/>
      <c r="AB66" s="2707"/>
      <c r="AC66" s="2707"/>
      <c r="AD66" s="2707"/>
    </row>
    <row r="67" spans="1:30" ht="15.75" thickTop="1">
      <c r="A67" s="483"/>
      <c r="B67" s="487" t="s">
        <v>1732</v>
      </c>
      <c r="C67" s="527" t="s">
        <v>1720</v>
      </c>
      <c r="D67" s="527" t="s">
        <v>1721</v>
      </c>
      <c r="E67" s="527" t="s">
        <v>1722</v>
      </c>
      <c r="F67" s="527" t="s">
        <v>1723</v>
      </c>
      <c r="G67" s="527" t="s">
        <v>1724</v>
      </c>
      <c r="H67" s="488"/>
      <c r="I67" s="488"/>
      <c r="J67" s="488"/>
      <c r="K67" s="489"/>
      <c r="L67" s="490"/>
      <c r="M67" s="491"/>
      <c r="N67" s="2735"/>
      <c r="O67" s="2735"/>
      <c r="P67" s="2760"/>
      <c r="Q67" s="2721"/>
      <c r="R67" s="2707"/>
      <c r="S67" s="2707"/>
      <c r="T67" s="2707"/>
      <c r="U67" s="2707"/>
      <c r="V67" s="2707"/>
      <c r="W67" s="2707"/>
      <c r="X67" s="2707"/>
      <c r="Y67" s="2707"/>
      <c r="Z67" s="2707"/>
      <c r="AA67" s="2707"/>
      <c r="AB67" s="2707"/>
      <c r="AC67" s="2707"/>
      <c r="AD67" s="270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6"/>
      <c r="O68" s="2736"/>
      <c r="P68" s="2760"/>
      <c r="Q68" s="2721"/>
      <c r="R68" s="2707"/>
      <c r="S68" s="2707"/>
      <c r="T68" s="2707"/>
      <c r="U68" s="2707"/>
      <c r="V68" s="2707"/>
      <c r="W68" s="2707"/>
      <c r="X68" s="2707"/>
      <c r="Y68" s="2707"/>
      <c r="Z68" s="2707"/>
      <c r="AA68" s="2707"/>
      <c r="AB68" s="2707"/>
      <c r="AC68" s="2707"/>
      <c r="AD68" s="2707"/>
    </row>
    <row r="69" spans="1:30" ht="15.75" thickTop="1">
      <c r="A69" s="483"/>
      <c r="B69" s="487" t="s">
        <v>1851</v>
      </c>
      <c r="C69" s="503"/>
      <c r="D69" s="503"/>
      <c r="E69" s="503"/>
      <c r="F69" s="503"/>
      <c r="G69" s="503"/>
      <c r="H69" s="532"/>
      <c r="I69" s="532"/>
      <c r="J69" s="532"/>
      <c r="K69" s="533"/>
      <c r="L69" s="534"/>
      <c r="M69" s="535"/>
      <c r="N69" s="2735"/>
      <c r="O69" s="2735"/>
      <c r="P69" s="2760"/>
      <c r="Q69" s="2721"/>
      <c r="R69" s="2707"/>
      <c r="S69" s="2707"/>
      <c r="T69" s="2707"/>
      <c r="U69" s="2707"/>
      <c r="V69" s="2707"/>
      <c r="W69" s="2707"/>
      <c r="X69" s="2707"/>
      <c r="Y69" s="2707"/>
      <c r="Z69" s="2707"/>
      <c r="AA69" s="2707"/>
      <c r="AB69" s="2707"/>
      <c r="AC69" s="2707"/>
      <c r="AD69" s="2707"/>
    </row>
    <row r="70" spans="1:30" ht="15.75" thickBot="1">
      <c r="A70" s="483"/>
      <c r="B70" s="492"/>
      <c r="C70" s="493">
        <v>100</v>
      </c>
      <c r="D70" s="493">
        <f>C70-$K22</f>
        <v>100</v>
      </c>
      <c r="E70" s="493"/>
      <c r="F70" s="493"/>
      <c r="G70" s="493"/>
      <c r="H70" s="493"/>
      <c r="I70" s="493"/>
      <c r="J70" s="493"/>
      <c r="K70" s="493"/>
      <c r="L70" s="493"/>
      <c r="M70" s="494"/>
      <c r="N70" s="2736"/>
      <c r="O70" s="2736"/>
      <c r="P70" s="2760"/>
      <c r="Q70" s="2721"/>
      <c r="R70" s="2707"/>
      <c r="S70" s="2707"/>
      <c r="T70" s="2707"/>
      <c r="U70" s="2707"/>
      <c r="V70" s="2707"/>
      <c r="W70" s="2707"/>
      <c r="X70" s="2707"/>
      <c r="Y70" s="2707"/>
      <c r="Z70" s="2707"/>
      <c r="AA70" s="2707"/>
      <c r="AB70" s="2707"/>
      <c r="AC70" s="2707"/>
      <c r="AD70" s="2707"/>
    </row>
    <row r="71" spans="1:30" s="108" customFormat="1" ht="15.75" thickTop="1">
      <c r="A71" s="528"/>
      <c r="B71" s="487">
        <f>B23</f>
        <v>111</v>
      </c>
      <c r="C71" s="498"/>
      <c r="D71" s="498"/>
      <c r="E71" s="498"/>
      <c r="F71" s="498"/>
      <c r="G71" s="503"/>
      <c r="H71" s="503"/>
      <c r="I71" s="503"/>
      <c r="J71" s="503"/>
      <c r="K71" s="503"/>
      <c r="L71" s="529"/>
      <c r="M71" s="530"/>
      <c r="N71" s="2734"/>
      <c r="O71" s="2734"/>
      <c r="P71" s="2760"/>
      <c r="Q71" s="2721"/>
      <c r="R71" s="2643"/>
      <c r="S71" s="2643"/>
      <c r="T71" s="2643"/>
      <c r="U71" s="2643"/>
      <c r="V71" s="2643"/>
      <c r="W71" s="2643"/>
      <c r="X71" s="2643"/>
      <c r="Y71" s="2643"/>
      <c r="Z71" s="2643"/>
      <c r="AA71" s="2643"/>
      <c r="AB71" s="2643"/>
      <c r="AC71" s="2643"/>
      <c r="AD71" s="2643"/>
    </row>
    <row r="72" spans="1:30" s="108" customFormat="1" ht="15.75" thickBot="1">
      <c r="A72" s="528"/>
      <c r="B72" s="492"/>
      <c r="C72" s="509"/>
      <c r="D72" s="485"/>
      <c r="E72" s="485"/>
      <c r="F72" s="485"/>
      <c r="G72" s="485"/>
      <c r="H72" s="485"/>
      <c r="I72" s="485"/>
      <c r="J72" s="485"/>
      <c r="K72" s="485"/>
      <c r="L72" s="485"/>
      <c r="M72" s="486"/>
      <c r="N72" s="2736"/>
      <c r="O72" s="2736"/>
      <c r="P72" s="2760"/>
      <c r="Q72" s="2721"/>
      <c r="R72" s="2643"/>
      <c r="S72" s="2643"/>
      <c r="T72" s="2643"/>
      <c r="U72" s="2643"/>
      <c r="V72" s="2643"/>
      <c r="W72" s="2643"/>
      <c r="X72" s="2643"/>
      <c r="Y72" s="2643"/>
      <c r="Z72" s="2643"/>
      <c r="AA72" s="2643"/>
      <c r="AB72" s="2643"/>
      <c r="AC72" s="2643"/>
      <c r="AD72" s="2643"/>
    </row>
    <row r="73" spans="1:30" s="108" customFormat="1" ht="15.75" thickTop="1">
      <c r="A73" s="528"/>
      <c r="B73" s="487">
        <f>B24</f>
        <v>111</v>
      </c>
      <c r="C73" s="498"/>
      <c r="D73" s="498"/>
      <c r="E73" s="498"/>
      <c r="F73" s="498"/>
      <c r="G73" s="503"/>
      <c r="H73" s="503"/>
      <c r="I73" s="503"/>
      <c r="J73" s="503"/>
      <c r="K73" s="503"/>
      <c r="L73" s="503"/>
      <c r="M73" s="530"/>
      <c r="N73" s="2734"/>
      <c r="O73" s="2734"/>
      <c r="P73" s="2760"/>
      <c r="Q73" s="2721"/>
      <c r="R73" s="2643"/>
      <c r="S73" s="2643"/>
      <c r="T73" s="2643"/>
      <c r="U73" s="2643"/>
      <c r="V73" s="2643"/>
      <c r="W73" s="2643"/>
      <c r="X73" s="2643"/>
      <c r="Y73" s="2643"/>
      <c r="Z73" s="2643"/>
      <c r="AA73" s="2643"/>
      <c r="AB73" s="2643"/>
      <c r="AC73" s="2643"/>
      <c r="AD73" s="2643"/>
    </row>
    <row r="74" spans="1:30" s="108" customFormat="1" ht="15.75" thickBot="1">
      <c r="A74" s="528"/>
      <c r="B74" s="492"/>
      <c r="C74" s="509"/>
      <c r="D74" s="485"/>
      <c r="E74" s="485"/>
      <c r="F74" s="485"/>
      <c r="G74" s="485"/>
      <c r="H74" s="485"/>
      <c r="I74" s="485"/>
      <c r="J74" s="485"/>
      <c r="K74" s="485"/>
      <c r="L74" s="485"/>
      <c r="M74" s="486"/>
      <c r="N74" s="2736"/>
      <c r="O74" s="2736"/>
      <c r="P74" s="2760"/>
      <c r="Q74" s="2721"/>
      <c r="R74" s="2643"/>
      <c r="S74" s="2643"/>
      <c r="T74" s="2643"/>
      <c r="U74" s="2643"/>
      <c r="V74" s="2643"/>
      <c r="W74" s="2643"/>
      <c r="X74" s="2643"/>
      <c r="Y74" s="2643"/>
      <c r="Z74" s="2643"/>
      <c r="AA74" s="2643"/>
      <c r="AB74" s="2643"/>
      <c r="AC74" s="2643"/>
      <c r="AD74" s="2643"/>
    </row>
    <row r="75" spans="1:30" s="422" customFormat="1" ht="15.75" thickTop="1">
      <c r="A75" s="502"/>
      <c r="B75" s="487">
        <f>B25</f>
        <v>111</v>
      </c>
      <c r="C75" s="498"/>
      <c r="D75" s="498"/>
      <c r="E75" s="498"/>
      <c r="F75" s="498"/>
      <c r="G75" s="503"/>
      <c r="H75" s="504"/>
      <c r="I75" s="504"/>
      <c r="J75" s="504"/>
      <c r="K75" s="504"/>
      <c r="L75" s="505"/>
      <c r="M75" s="506"/>
      <c r="N75" s="2737"/>
      <c r="O75" s="2737"/>
      <c r="P75" s="2761"/>
      <c r="Q75" s="2728"/>
      <c r="R75" s="2729"/>
      <c r="S75" s="2729"/>
      <c r="T75" s="2729"/>
      <c r="U75" s="2729"/>
      <c r="V75" s="2729"/>
      <c r="W75" s="2729"/>
      <c r="X75" s="2729"/>
      <c r="Y75" s="2729"/>
      <c r="Z75" s="2729"/>
      <c r="AA75" s="2729"/>
      <c r="AB75" s="2729"/>
      <c r="AC75" s="2729"/>
      <c r="AD75" s="2729"/>
    </row>
    <row r="76" spans="1:30" s="422" customFormat="1" ht="15.75" thickBot="1">
      <c r="A76" s="502"/>
      <c r="B76" s="492"/>
      <c r="C76" s="509"/>
      <c r="D76" s="509"/>
      <c r="E76" s="509"/>
      <c r="F76" s="509"/>
      <c r="G76" s="485"/>
      <c r="H76" s="485"/>
      <c r="I76" s="485"/>
      <c r="J76" s="485"/>
      <c r="K76" s="485"/>
      <c r="L76" s="485"/>
      <c r="M76" s="486"/>
      <c r="N76" s="2737"/>
      <c r="O76" s="2737"/>
      <c r="P76" s="2761"/>
      <c r="Q76" s="2728"/>
      <c r="R76" s="2729"/>
      <c r="S76" s="2729"/>
      <c r="T76" s="2729"/>
      <c r="U76" s="2729"/>
      <c r="V76" s="2729"/>
      <c r="W76" s="2729"/>
      <c r="X76" s="2729"/>
      <c r="Y76" s="2729"/>
      <c r="Z76" s="2729"/>
      <c r="AA76" s="2729"/>
      <c r="AB76" s="2729"/>
      <c r="AC76" s="2729"/>
      <c r="AD76" s="2729"/>
    </row>
    <row r="77" spans="1:30" ht="15" thickTop="1">
      <c r="A77" s="476" t="s">
        <v>1693</v>
      </c>
      <c r="B77" s="477" t="s">
        <v>1739</v>
      </c>
      <c r="C77" s="503"/>
      <c r="D77" s="503"/>
      <c r="E77" s="479"/>
      <c r="F77" s="479"/>
      <c r="G77" s="479"/>
      <c r="H77" s="479"/>
      <c r="I77" s="479"/>
      <c r="J77" s="479"/>
      <c r="K77" s="480"/>
      <c r="L77" s="481"/>
      <c r="M77" s="482"/>
      <c r="N77" s="2735"/>
      <c r="O77" s="2735"/>
      <c r="P77" s="2760"/>
      <c r="Q77" s="2721"/>
      <c r="R77" s="2707"/>
      <c r="S77" s="2707"/>
      <c r="T77" s="2707"/>
      <c r="U77" s="2707"/>
      <c r="V77" s="2707"/>
      <c r="W77" s="2707"/>
      <c r="X77" s="2707"/>
      <c r="Y77" s="2707"/>
      <c r="Z77" s="2707"/>
      <c r="AA77" s="2707"/>
      <c r="AB77" s="2707"/>
      <c r="AC77" s="2707"/>
      <c r="AD77" s="270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6"/>
      <c r="O78" s="2736"/>
      <c r="P78" s="2760"/>
      <c r="Q78" s="2721"/>
      <c r="R78" s="2707"/>
      <c r="S78" s="2707"/>
      <c r="T78" s="2707"/>
      <c r="U78" s="2707"/>
      <c r="V78" s="2707"/>
      <c r="W78" s="2707"/>
      <c r="X78" s="2707"/>
      <c r="Y78" s="2707"/>
      <c r="Z78" s="2707"/>
      <c r="AA78" s="2707"/>
      <c r="AB78" s="2707"/>
      <c r="AC78" s="2707"/>
      <c r="AD78" s="2707"/>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4"/>
      <c r="O79" s="2734"/>
      <c r="P79" s="2760"/>
      <c r="Q79" s="2721"/>
      <c r="R79" s="2707"/>
      <c r="S79" s="2707"/>
      <c r="T79" s="2707"/>
      <c r="U79" s="2707"/>
      <c r="V79" s="2707"/>
      <c r="W79" s="2707"/>
      <c r="X79" s="2707"/>
      <c r="Y79" s="2707"/>
      <c r="Z79" s="2707"/>
      <c r="AA79" s="2707"/>
      <c r="AB79" s="2707"/>
      <c r="AC79" s="2707"/>
      <c r="AD79" s="2707"/>
    </row>
    <row r="80" spans="1:30" ht="15">
      <c r="A80" s="483"/>
      <c r="B80" s="495"/>
      <c r="C80" s="552">
        <v>0.5</v>
      </c>
      <c r="D80" s="552">
        <v>0.6</v>
      </c>
      <c r="E80" s="552">
        <v>0.7</v>
      </c>
      <c r="F80" s="552">
        <v>0.8</v>
      </c>
      <c r="G80" s="552">
        <v>0.9</v>
      </c>
      <c r="H80" s="552">
        <v>1.0001</v>
      </c>
      <c r="I80" s="608"/>
      <c r="J80" s="608"/>
      <c r="K80" s="616"/>
      <c r="L80" s="617"/>
      <c r="M80" s="618"/>
      <c r="N80" s="2734"/>
      <c r="O80" s="2734"/>
      <c r="P80" s="2760"/>
      <c r="Q80" s="2721"/>
      <c r="R80" s="2707"/>
      <c r="S80" s="2707"/>
      <c r="T80" s="2707"/>
      <c r="U80" s="2707"/>
      <c r="V80" s="2707"/>
      <c r="W80" s="2707"/>
      <c r="X80" s="2707"/>
      <c r="Y80" s="2707"/>
      <c r="Z80" s="2707"/>
      <c r="AA80" s="2707"/>
      <c r="AB80" s="2707"/>
      <c r="AC80" s="2707"/>
      <c r="AD80" s="270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6"/>
      <c r="O81" s="2736"/>
      <c r="P81" s="2761"/>
      <c r="Q81" s="2728"/>
      <c r="R81" s="2729"/>
      <c r="S81" s="2729"/>
      <c r="T81" s="2729"/>
      <c r="U81" s="2729"/>
      <c r="V81" s="2729"/>
      <c r="W81" s="2729"/>
      <c r="X81" s="2729"/>
      <c r="Y81" s="2729"/>
      <c r="Z81" s="2729"/>
      <c r="AA81" s="2729"/>
      <c r="AB81" s="2729"/>
      <c r="AC81" s="2729"/>
      <c r="AD81" s="2729"/>
    </row>
    <row r="82" spans="1:30" ht="15" thickTop="1">
      <c r="A82" s="548"/>
      <c r="B82" s="495" t="s">
        <v>1855</v>
      </c>
      <c r="C82" s="503"/>
      <c r="D82" s="503"/>
      <c r="E82" s="532"/>
      <c r="F82" s="532"/>
      <c r="G82" s="532"/>
      <c r="H82" s="532"/>
      <c r="I82" s="532"/>
      <c r="J82" s="532"/>
      <c r="K82" s="533"/>
      <c r="L82" s="534"/>
      <c r="M82" s="535"/>
      <c r="N82" s="2735"/>
      <c r="O82" s="2735"/>
      <c r="P82" s="2760"/>
      <c r="Q82" s="2721"/>
      <c r="R82" s="2707"/>
      <c r="S82" s="2707"/>
      <c r="T82" s="2707"/>
      <c r="U82" s="2707"/>
      <c r="V82" s="2707"/>
      <c r="W82" s="2707"/>
      <c r="X82" s="2707"/>
      <c r="Y82" s="2707"/>
      <c r="Z82" s="2707"/>
      <c r="AA82" s="2707"/>
      <c r="AB82" s="2707"/>
      <c r="AC82" s="2707"/>
      <c r="AD82" s="270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6"/>
      <c r="O83" s="2736"/>
      <c r="P83" s="2760"/>
      <c r="Q83" s="2721"/>
      <c r="R83" s="2707"/>
      <c r="S83" s="2707"/>
      <c r="T83" s="2707"/>
      <c r="U83" s="2707"/>
      <c r="V83" s="2707"/>
      <c r="W83" s="2707"/>
      <c r="X83" s="2707"/>
      <c r="Y83" s="2707"/>
      <c r="Z83" s="2707"/>
      <c r="AA83" s="2707"/>
      <c r="AB83" s="2707"/>
      <c r="AC83" s="2707"/>
      <c r="AD83" s="2707"/>
    </row>
    <row r="84" spans="1:30" ht="15" thickTop="1">
      <c r="A84" s="548"/>
      <c r="B84" s="487" t="s">
        <v>1863</v>
      </c>
      <c r="C84" s="503"/>
      <c r="D84" s="503"/>
      <c r="E84" s="503"/>
      <c r="F84" s="503"/>
      <c r="G84" s="503"/>
      <c r="H84" s="503"/>
      <c r="I84" s="532"/>
      <c r="J84" s="532"/>
      <c r="K84" s="533"/>
      <c r="L84" s="534"/>
      <c r="M84" s="535"/>
      <c r="N84" s="2735"/>
      <c r="O84" s="2735"/>
      <c r="P84" s="2760"/>
      <c r="Q84" s="2721"/>
      <c r="R84" s="2707"/>
      <c r="S84" s="2707"/>
      <c r="T84" s="2707"/>
      <c r="U84" s="2707"/>
      <c r="V84" s="2707"/>
      <c r="W84" s="2707"/>
      <c r="X84" s="2707"/>
      <c r="Y84" s="2707"/>
      <c r="Z84" s="2707"/>
      <c r="AA84" s="2707"/>
      <c r="AB84" s="2707"/>
      <c r="AC84" s="2707"/>
      <c r="AD84" s="270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6"/>
      <c r="O85" s="2736"/>
      <c r="P85" s="2760"/>
      <c r="Q85" s="2721"/>
      <c r="R85" s="2707"/>
      <c r="S85" s="2707"/>
      <c r="T85" s="2707"/>
      <c r="U85" s="2707"/>
      <c r="V85" s="2707"/>
      <c r="W85" s="2707"/>
      <c r="X85" s="2707"/>
      <c r="Y85" s="2707"/>
      <c r="Z85" s="2707"/>
      <c r="AA85" s="2707"/>
      <c r="AB85" s="2707"/>
      <c r="AC85" s="2707"/>
      <c r="AD85" s="2707"/>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5"/>
      <c r="O86" s="2735"/>
      <c r="P86" s="2760"/>
      <c r="Q86" s="2721"/>
      <c r="R86" s="2707"/>
      <c r="S86" s="2707"/>
      <c r="T86" s="2707"/>
      <c r="U86" s="2707"/>
      <c r="V86" s="2707"/>
      <c r="W86" s="2707"/>
      <c r="X86" s="2707"/>
      <c r="Y86" s="2707"/>
      <c r="Z86" s="2707"/>
      <c r="AA86" s="2707"/>
      <c r="AB86" s="2707"/>
      <c r="AC86" s="2707"/>
      <c r="AD86" s="2707"/>
    </row>
    <row r="87" spans="1:30">
      <c r="A87" s="548"/>
      <c r="B87" s="495"/>
      <c r="C87" s="544"/>
      <c r="D87" s="544"/>
      <c r="E87" s="544"/>
      <c r="F87" s="544"/>
      <c r="G87" s="544"/>
      <c r="H87" s="544"/>
      <c r="I87" s="544"/>
      <c r="J87" s="545"/>
      <c r="K87" s="545"/>
      <c r="L87" s="546"/>
      <c r="M87" s="547"/>
      <c r="N87" s="2735"/>
      <c r="O87" s="2735"/>
      <c r="P87" s="2760"/>
      <c r="Q87" s="2721"/>
      <c r="R87" s="2707"/>
      <c r="S87" s="2707"/>
      <c r="T87" s="2707"/>
      <c r="U87" s="2707"/>
      <c r="V87" s="2707"/>
      <c r="W87" s="2707"/>
      <c r="X87" s="2707"/>
      <c r="Y87" s="2707"/>
      <c r="Z87" s="2707"/>
      <c r="AA87" s="2707"/>
      <c r="AB87" s="2707"/>
      <c r="AC87" s="2707"/>
      <c r="AD87" s="2707"/>
    </row>
    <row r="88" spans="1:30" ht="15.75" thickBot="1">
      <c r="A88" s="483"/>
      <c r="B88" s="492"/>
      <c r="C88" s="509"/>
      <c r="D88" s="485"/>
      <c r="E88" s="485"/>
      <c r="F88" s="485"/>
      <c r="G88" s="485"/>
      <c r="H88" s="485"/>
      <c r="I88" s="485"/>
      <c r="J88" s="485"/>
      <c r="K88" s="485"/>
      <c r="L88" s="485"/>
      <c r="M88" s="485"/>
      <c r="N88" s="2736"/>
      <c r="O88" s="2736"/>
      <c r="P88" s="2760"/>
      <c r="Q88" s="2721"/>
      <c r="R88" s="2707"/>
      <c r="S88" s="2707"/>
      <c r="T88" s="2707"/>
      <c r="U88" s="2707"/>
      <c r="V88" s="2707"/>
      <c r="W88" s="2707"/>
      <c r="X88" s="2707"/>
      <c r="Y88" s="2707"/>
      <c r="Z88" s="2707"/>
      <c r="AA88" s="2707"/>
      <c r="AB88" s="2707"/>
      <c r="AC88" s="2707"/>
      <c r="AD88" s="2707"/>
    </row>
    <row r="89" spans="1:30" s="422" customFormat="1" ht="15" thickTop="1">
      <c r="A89" s="542"/>
      <c r="B89" s="487" t="s">
        <v>1865</v>
      </c>
      <c r="C89" s="503"/>
      <c r="D89" s="503"/>
      <c r="E89" s="503"/>
      <c r="F89" s="503"/>
      <c r="G89" s="503"/>
      <c r="H89" s="503"/>
      <c r="I89" s="503"/>
      <c r="J89" s="503"/>
      <c r="K89" s="503"/>
      <c r="L89" s="503"/>
      <c r="M89" s="530"/>
      <c r="N89" s="2737"/>
      <c r="O89" s="2737"/>
      <c r="P89" s="2761"/>
      <c r="Q89" s="2728"/>
      <c r="R89" s="2729"/>
      <c r="S89" s="2729"/>
      <c r="T89" s="2729"/>
      <c r="U89" s="2729"/>
      <c r="V89" s="2729"/>
      <c r="W89" s="2729"/>
      <c r="X89" s="2729"/>
      <c r="Y89" s="2729"/>
      <c r="Z89" s="2729"/>
      <c r="AA89" s="2729"/>
      <c r="AB89" s="2729"/>
      <c r="AC89" s="2729"/>
      <c r="AD89" s="2729"/>
    </row>
    <row r="90" spans="1:30" s="422" customFormat="1" ht="15.75" thickBot="1">
      <c r="A90" s="502"/>
      <c r="B90" s="492"/>
      <c r="C90" s="509"/>
      <c r="D90" s="485"/>
      <c r="E90" s="485"/>
      <c r="F90" s="485"/>
      <c r="G90" s="485"/>
      <c r="H90" s="485"/>
      <c r="I90" s="485"/>
      <c r="J90" s="485"/>
      <c r="K90" s="485"/>
      <c r="L90" s="485"/>
      <c r="M90" s="486"/>
      <c r="N90" s="2737"/>
      <c r="O90" s="2737"/>
      <c r="P90" s="2761"/>
      <c r="Q90" s="2728"/>
      <c r="R90" s="2729"/>
      <c r="S90" s="2729"/>
      <c r="T90" s="2729"/>
      <c r="U90" s="2729"/>
      <c r="V90" s="2729"/>
      <c r="W90" s="2729"/>
      <c r="X90" s="2729"/>
      <c r="Y90" s="2729"/>
      <c r="Z90" s="2729"/>
      <c r="AA90" s="2729"/>
      <c r="AB90" s="2729"/>
      <c r="AC90" s="2729"/>
      <c r="AD90" s="2729"/>
    </row>
    <row r="91" spans="1:30" ht="15" thickTop="1">
      <c r="A91" s="548"/>
      <c r="B91" s="487">
        <f>B32</f>
        <v>111</v>
      </c>
      <c r="C91" s="498"/>
      <c r="D91" s="498"/>
      <c r="E91" s="498"/>
      <c r="F91" s="498"/>
      <c r="G91" s="503"/>
      <c r="H91" s="504"/>
      <c r="I91" s="504"/>
      <c r="J91" s="504"/>
      <c r="K91" s="504"/>
      <c r="L91" s="505"/>
      <c r="M91" s="506"/>
      <c r="N91" s="2735"/>
      <c r="O91" s="2735"/>
      <c r="P91" s="2760"/>
      <c r="Q91" s="2721"/>
      <c r="R91" s="2707"/>
      <c r="S91" s="2707"/>
      <c r="T91" s="2707"/>
      <c r="U91" s="2707"/>
      <c r="V91" s="2707"/>
      <c r="W91" s="2707"/>
      <c r="X91" s="2707"/>
      <c r="Y91" s="2707"/>
      <c r="Z91" s="2707"/>
      <c r="AA91" s="2707"/>
      <c r="AB91" s="2707"/>
      <c r="AC91" s="2707"/>
      <c r="AD91" s="2707"/>
    </row>
    <row r="92" spans="1:30" ht="15.75" thickBot="1">
      <c r="A92" s="483"/>
      <c r="B92" s="492"/>
      <c r="C92" s="509"/>
      <c r="D92" s="485"/>
      <c r="E92" s="485"/>
      <c r="F92" s="485"/>
      <c r="G92" s="509"/>
      <c r="H92" s="511"/>
      <c r="I92" s="511"/>
      <c r="J92" s="511"/>
      <c r="K92" s="511"/>
      <c r="L92" s="511"/>
      <c r="M92" s="512"/>
      <c r="N92" s="2736"/>
      <c r="O92" s="2736"/>
      <c r="P92" s="2760"/>
      <c r="Q92" s="2721"/>
      <c r="R92" s="2707"/>
      <c r="S92" s="2707"/>
      <c r="T92" s="2707"/>
      <c r="U92" s="2707"/>
      <c r="V92" s="2707"/>
      <c r="W92" s="2707"/>
      <c r="X92" s="2707"/>
      <c r="Y92" s="2707"/>
      <c r="Z92" s="2707"/>
      <c r="AA92" s="2707"/>
      <c r="AB92" s="2707"/>
      <c r="AC92" s="2707"/>
      <c r="AD92" s="2707"/>
    </row>
    <row r="93" spans="1:30" ht="15" thickTop="1">
      <c r="A93" s="548"/>
      <c r="B93" s="487">
        <f>B33</f>
        <v>111</v>
      </c>
      <c r="C93" s="498"/>
      <c r="D93" s="498"/>
      <c r="E93" s="498"/>
      <c r="F93" s="498"/>
      <c r="G93" s="503"/>
      <c r="H93" s="504"/>
      <c r="I93" s="504"/>
      <c r="J93" s="504"/>
      <c r="K93" s="504"/>
      <c r="L93" s="505"/>
      <c r="M93" s="506"/>
      <c r="N93" s="2735"/>
      <c r="O93" s="2735"/>
      <c r="P93" s="2760"/>
      <c r="Q93" s="2721"/>
      <c r="R93" s="2707"/>
      <c r="S93" s="2707"/>
      <c r="T93" s="2707"/>
      <c r="U93" s="2707"/>
      <c r="V93" s="2707"/>
      <c r="W93" s="2707"/>
      <c r="X93" s="2707"/>
      <c r="Y93" s="2707"/>
      <c r="Z93" s="2707"/>
      <c r="AA93" s="2707"/>
      <c r="AB93" s="2707"/>
      <c r="AC93" s="2707"/>
      <c r="AD93" s="2707"/>
    </row>
    <row r="94" spans="1:30" ht="15.75" thickBot="1">
      <c r="A94" s="483"/>
      <c r="B94" s="492"/>
      <c r="C94" s="509"/>
      <c r="D94" s="485"/>
      <c r="E94" s="485"/>
      <c r="F94" s="485"/>
      <c r="G94" s="509"/>
      <c r="H94" s="511"/>
      <c r="I94" s="511"/>
      <c r="J94" s="511"/>
      <c r="K94" s="511"/>
      <c r="L94" s="511"/>
      <c r="M94" s="512"/>
      <c r="N94" s="2736"/>
      <c r="O94" s="2736"/>
      <c r="P94" s="2760"/>
      <c r="Q94" s="2721"/>
      <c r="R94" s="2707"/>
      <c r="S94" s="2707"/>
      <c r="T94" s="2707"/>
      <c r="U94" s="2707"/>
      <c r="V94" s="2707"/>
      <c r="W94" s="2707"/>
      <c r="X94" s="2707"/>
      <c r="Y94" s="2707"/>
      <c r="Z94" s="2707"/>
      <c r="AA94" s="2707"/>
      <c r="AB94" s="2707"/>
      <c r="AC94" s="2707"/>
      <c r="AD94" s="2707"/>
    </row>
    <row r="95" spans="1:30" ht="15" thickTop="1">
      <c r="A95" s="548"/>
      <c r="B95" s="584">
        <f>B34</f>
        <v>111</v>
      </c>
      <c r="C95" s="498"/>
      <c r="D95" s="498"/>
      <c r="E95" s="498"/>
      <c r="F95" s="498"/>
      <c r="G95" s="503"/>
      <c r="H95" s="504"/>
      <c r="I95" s="504"/>
      <c r="J95" s="504"/>
      <c r="K95" s="504"/>
      <c r="L95" s="505"/>
      <c r="M95" s="506"/>
      <c r="N95" s="2736"/>
      <c r="O95" s="2736"/>
      <c r="P95" s="2763"/>
      <c r="Q95" s="2750"/>
      <c r="R95" s="2707"/>
      <c r="S95" s="2707"/>
      <c r="T95" s="2707"/>
      <c r="U95" s="2707"/>
      <c r="V95" s="2707"/>
      <c r="W95" s="2707"/>
      <c r="X95" s="2707"/>
      <c r="Y95" s="2707"/>
      <c r="Z95" s="2707"/>
      <c r="AA95" s="2707"/>
      <c r="AB95" s="2707"/>
      <c r="AC95" s="2707"/>
      <c r="AD95" s="2707"/>
    </row>
    <row r="96" spans="1:30" ht="15.75" thickBot="1">
      <c r="A96" s="483"/>
      <c r="B96" s="492"/>
      <c r="C96" s="509"/>
      <c r="D96" s="509"/>
      <c r="E96" s="509"/>
      <c r="F96" s="509"/>
      <c r="G96" s="509"/>
      <c r="H96" s="511"/>
      <c r="I96" s="511"/>
      <c r="J96" s="511"/>
      <c r="K96" s="511"/>
      <c r="L96" s="511"/>
      <c r="M96" s="512"/>
      <c r="N96" s="2736"/>
      <c r="O96" s="2736"/>
      <c r="P96" s="2760"/>
      <c r="Q96" s="2721"/>
      <c r="R96" s="2707"/>
      <c r="S96" s="2707"/>
      <c r="T96" s="2707"/>
      <c r="U96" s="2707"/>
      <c r="V96" s="2707"/>
      <c r="W96" s="2707"/>
      <c r="X96" s="2707"/>
      <c r="Y96" s="2707"/>
      <c r="Z96" s="2707"/>
      <c r="AA96" s="2707"/>
      <c r="AB96" s="2707"/>
      <c r="AC96" s="2707"/>
      <c r="AD96" s="2707"/>
    </row>
    <row r="97" spans="1:30" ht="15" thickTop="1">
      <c r="N97" s="2707"/>
      <c r="O97" s="2707"/>
      <c r="P97" s="2707"/>
      <c r="Q97" s="2707"/>
      <c r="R97" s="2707"/>
      <c r="S97" s="2707"/>
      <c r="T97" s="2707"/>
      <c r="U97" s="2707"/>
      <c r="V97" s="2707"/>
      <c r="W97" s="2707"/>
      <c r="X97" s="2707"/>
      <c r="Y97" s="2707"/>
      <c r="Z97" s="2707"/>
      <c r="AA97" s="2707"/>
      <c r="AB97" s="2707"/>
      <c r="AC97" s="2707"/>
      <c r="AD97" s="2707"/>
    </row>
    <row r="98" spans="1:30">
      <c r="A98" s="936"/>
      <c r="B98" s="936"/>
      <c r="C98" s="936"/>
      <c r="D98" s="936"/>
      <c r="E98" s="936"/>
      <c r="F98" s="936"/>
      <c r="G98" s="936"/>
      <c r="H98" s="936"/>
      <c r="I98" s="936"/>
      <c r="J98" s="936"/>
      <c r="K98" s="937"/>
      <c r="L98" s="938"/>
      <c r="M98" s="936"/>
      <c r="N98" s="2707"/>
      <c r="O98" s="2707"/>
      <c r="P98" s="2707"/>
      <c r="Q98" s="2707"/>
      <c r="R98" s="2707"/>
      <c r="S98" s="2707"/>
      <c r="T98" s="2707"/>
      <c r="U98" s="2707"/>
      <c r="V98" s="2707"/>
      <c r="W98" s="2707"/>
      <c r="X98" s="2707"/>
      <c r="Y98" s="2707"/>
      <c r="Z98" s="2707"/>
      <c r="AA98" s="2707"/>
      <c r="AB98" s="2707"/>
      <c r="AC98" s="2707"/>
      <c r="AD98" s="2707"/>
    </row>
    <row r="99" spans="1:30">
      <c r="A99" s="936"/>
      <c r="B99" s="936"/>
      <c r="C99" s="936"/>
      <c r="D99" s="936"/>
      <c r="E99" s="936"/>
      <c r="F99" s="936"/>
      <c r="G99" s="936"/>
      <c r="H99" s="936"/>
      <c r="I99" s="936"/>
      <c r="J99" s="936"/>
      <c r="K99" s="937"/>
      <c r="L99" s="938"/>
      <c r="M99" s="936"/>
      <c r="N99" s="2707"/>
      <c r="O99" s="2707"/>
      <c r="P99" s="2707"/>
      <c r="Q99" s="2707"/>
      <c r="R99" s="2707"/>
      <c r="S99" s="2707"/>
      <c r="T99" s="2707"/>
      <c r="U99" s="2707"/>
      <c r="V99" s="2707"/>
      <c r="W99" s="2707"/>
      <c r="X99" s="2707"/>
      <c r="Y99" s="2707"/>
      <c r="Z99" s="2707"/>
      <c r="AA99" s="2707"/>
      <c r="AB99" s="2707"/>
      <c r="AC99" s="2707"/>
      <c r="AD99" s="2707"/>
    </row>
    <row r="100" spans="1:30">
      <c r="A100" s="936"/>
      <c r="B100" s="936"/>
      <c r="C100" s="936"/>
      <c r="D100" s="936"/>
      <c r="E100" s="936"/>
      <c r="F100" s="936"/>
      <c r="G100" s="936"/>
      <c r="H100" s="936"/>
      <c r="I100" s="936"/>
      <c r="J100" s="936"/>
      <c r="K100" s="937"/>
      <c r="L100" s="938"/>
      <c r="M100" s="936"/>
      <c r="N100" s="2707"/>
      <c r="O100" s="2707"/>
      <c r="P100" s="2707"/>
      <c r="Q100" s="2707"/>
      <c r="R100" s="2707"/>
      <c r="S100" s="2707"/>
      <c r="T100" s="2707"/>
      <c r="U100" s="2707"/>
      <c r="V100" s="2707"/>
      <c r="W100" s="2707"/>
      <c r="X100" s="2707"/>
      <c r="Y100" s="2707"/>
      <c r="Z100" s="2707"/>
      <c r="AA100" s="2707"/>
      <c r="AB100" s="2707"/>
      <c r="AC100" s="2707"/>
      <c r="AD100" s="2707"/>
    </row>
    <row r="101" spans="1:30">
      <c r="A101" s="936"/>
      <c r="B101" s="936"/>
      <c r="C101" s="936"/>
      <c r="D101" s="936"/>
      <c r="E101" s="936"/>
      <c r="F101" s="936"/>
      <c r="G101" s="936"/>
      <c r="H101" s="936"/>
      <c r="I101" s="936"/>
      <c r="J101" s="936"/>
      <c r="K101" s="937"/>
      <c r="L101" s="938"/>
      <c r="M101" s="936"/>
      <c r="N101" s="2707"/>
      <c r="O101" s="2707"/>
      <c r="P101" s="2707"/>
      <c r="Q101" s="2707"/>
      <c r="R101" s="2707"/>
      <c r="S101" s="2707"/>
      <c r="T101" s="2707"/>
      <c r="U101" s="2707"/>
      <c r="V101" s="2707"/>
      <c r="W101" s="2707"/>
      <c r="X101" s="2707"/>
      <c r="Y101" s="2707"/>
      <c r="Z101" s="2707"/>
      <c r="AA101" s="2707"/>
      <c r="AB101" s="2707"/>
      <c r="AC101" s="2707"/>
      <c r="AD101" s="2707"/>
    </row>
    <row r="102" spans="1:30">
      <c r="A102" s="936"/>
      <c r="B102" s="936"/>
      <c r="C102" s="936"/>
      <c r="D102" s="936"/>
      <c r="E102" s="936"/>
      <c r="F102" s="936"/>
      <c r="G102" s="936"/>
      <c r="H102" s="936"/>
      <c r="I102" s="936"/>
      <c r="J102" s="936"/>
      <c r="K102" s="937"/>
      <c r="L102" s="938"/>
      <c r="M102" s="936"/>
      <c r="N102" s="2707"/>
      <c r="O102" s="2707"/>
      <c r="P102" s="2707"/>
      <c r="Q102" s="2707"/>
      <c r="R102" s="2707"/>
      <c r="S102" s="2707"/>
      <c r="T102" s="2707"/>
      <c r="U102" s="2707"/>
      <c r="V102" s="2707"/>
      <c r="W102" s="2707"/>
      <c r="X102" s="2707"/>
      <c r="Y102" s="2707"/>
      <c r="Z102" s="2707"/>
      <c r="AA102" s="2707"/>
      <c r="AB102" s="2707"/>
      <c r="AC102" s="2707"/>
      <c r="AD102" s="2707"/>
    </row>
    <row r="103" spans="1:30">
      <c r="A103" s="936"/>
      <c r="B103" s="936"/>
      <c r="C103" s="936"/>
      <c r="D103" s="936"/>
      <c r="E103" s="936"/>
      <c r="F103" s="936"/>
      <c r="G103" s="936"/>
      <c r="H103" s="936"/>
      <c r="I103" s="936"/>
      <c r="J103" s="936"/>
      <c r="K103" s="937"/>
      <c r="L103" s="938"/>
      <c r="M103" s="936"/>
      <c r="N103" s="936"/>
      <c r="O103" s="936"/>
      <c r="P103" s="2707"/>
      <c r="Q103" s="2707"/>
      <c r="R103" s="2707"/>
      <c r="S103" s="2707"/>
      <c r="T103" s="2707"/>
      <c r="U103" s="2707"/>
      <c r="V103" s="2707"/>
      <c r="W103" s="2707"/>
      <c r="X103" s="2707"/>
      <c r="Y103" s="2707"/>
      <c r="Z103" s="2707"/>
      <c r="AA103" s="2707"/>
      <c r="AB103" s="2707"/>
      <c r="AC103" s="2707"/>
      <c r="AD103" s="2707"/>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31" priority="18" stopIfTrue="1" operator="containsText" text="超过">
      <formula>NOT(ISERROR(SEARCH("超过",F40)))</formula>
    </cfRule>
  </conditionalFormatting>
  <conditionalFormatting sqref="J42">
    <cfRule type="containsText" dxfId="430" priority="17" stopIfTrue="1" operator="containsText" text="超过">
      <formula>NOT(ISERROR(SEARCH("超过",J42)))</formula>
    </cfRule>
  </conditionalFormatting>
  <conditionalFormatting sqref="H42">
    <cfRule type="containsText" dxfId="429" priority="16" stopIfTrue="1" operator="containsText" text="超过">
      <formula>NOT(ISERROR(SEARCH("超过",H42)))</formula>
    </cfRule>
  </conditionalFormatting>
  <conditionalFormatting sqref="F42">
    <cfRule type="containsText" dxfId="428" priority="15" stopIfTrue="1" operator="containsText" text="超过">
      <formula>NOT(ISERROR(SEARCH("超过",F42)))</formula>
    </cfRule>
  </conditionalFormatting>
  <conditionalFormatting sqref="F41 H41 J41">
    <cfRule type="containsText" dxfId="427" priority="14" stopIfTrue="1" operator="containsText" text="超过">
      <formula>NOT(ISERROR(SEARCH("超过",F41)))</formula>
    </cfRule>
  </conditionalFormatting>
  <conditionalFormatting sqref="E40">
    <cfRule type="expression" dxfId="426" priority="13" stopIfTrue="1">
      <formula>$F$40="超过30%"</formula>
    </cfRule>
  </conditionalFormatting>
  <conditionalFormatting sqref="G42">
    <cfRule type="expression" dxfId="425" priority="12" stopIfTrue="1">
      <formula>$H$54+$H$42="超过30%"</formula>
    </cfRule>
  </conditionalFormatting>
  <conditionalFormatting sqref="E41">
    <cfRule type="expression" dxfId="424" priority="11" stopIfTrue="1">
      <formula>$F$41="超过20%"</formula>
    </cfRule>
  </conditionalFormatting>
  <conditionalFormatting sqref="E42">
    <cfRule type="expression" dxfId="423" priority="10" stopIfTrue="1">
      <formula>$F$42="超过30%"</formula>
    </cfRule>
  </conditionalFormatting>
  <conditionalFormatting sqref="G40">
    <cfRule type="expression" dxfId="422" priority="9" stopIfTrue="1">
      <formula>$H$52+$H$40="超过30%"</formula>
    </cfRule>
  </conditionalFormatting>
  <conditionalFormatting sqref="G41">
    <cfRule type="expression" dxfId="421" priority="8" stopIfTrue="1">
      <formula>$H$53+$H$41="超过20%"</formula>
    </cfRule>
  </conditionalFormatting>
  <conditionalFormatting sqref="I40">
    <cfRule type="expression" dxfId="420" priority="7" stopIfTrue="1">
      <formula>$J$40="超过30%"</formula>
    </cfRule>
  </conditionalFormatting>
  <conditionalFormatting sqref="I41">
    <cfRule type="expression" dxfId="419" priority="6" stopIfTrue="1">
      <formula>$J$41="超过20%"</formula>
    </cfRule>
  </conditionalFormatting>
  <conditionalFormatting sqref="I42">
    <cfRule type="expression" dxfId="418" priority="5" stopIfTrue="1">
      <formula>$J$42="超过30%"</formula>
    </cfRule>
  </conditionalFormatting>
  <conditionalFormatting sqref="F36">
    <cfRule type="expression" dxfId="417" priority="4">
      <formula>$D$36="简单平均"</formula>
    </cfRule>
  </conditionalFormatting>
  <conditionalFormatting sqref="H36">
    <cfRule type="expression" dxfId="416" priority="3">
      <formula>$D$36="简单平均"</formula>
    </cfRule>
  </conditionalFormatting>
  <conditionalFormatting sqref="J36">
    <cfRule type="expression" dxfId="415" priority="2">
      <formula>$D$36="简单平均"</formula>
    </cfRule>
  </conditionalFormatting>
  <conditionalFormatting sqref="F7:F34 H7:H34 J7:J34">
    <cfRule type="cellIs" dxfId="41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16"/>
      <c r="M2" s="2717"/>
      <c r="N2" s="2717"/>
      <c r="O2" s="2717"/>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16"/>
      <c r="M3" s="2717"/>
      <c r="N3" s="2717"/>
      <c r="O3" s="2717"/>
      <c r="P3" s="699"/>
      <c r="Q3" s="699"/>
      <c r="R3" s="699"/>
      <c r="S3" s="699"/>
      <c r="T3" s="699"/>
      <c r="U3" s="699"/>
      <c r="V3" s="699"/>
      <c r="W3" s="699"/>
      <c r="X3" s="699"/>
      <c r="Y3" s="699"/>
      <c r="Z3" s="699"/>
      <c r="AA3" s="699"/>
      <c r="AB3" s="716"/>
      <c r="AC3" s="713"/>
    </row>
    <row r="4" spans="1:30" ht="15">
      <c r="A4" s="355" t="s">
        <v>1768</v>
      </c>
      <c r="B4" s="356"/>
      <c r="C4" s="3742" t="s">
        <v>1769</v>
      </c>
      <c r="D4" s="3743"/>
      <c r="E4" s="3744" t="s">
        <v>1770</v>
      </c>
      <c r="F4" s="3745"/>
      <c r="G4" s="3742" t="s">
        <v>1771</v>
      </c>
      <c r="H4" s="3743"/>
      <c r="I4" s="3742" t="s">
        <v>1772</v>
      </c>
      <c r="J4" s="3743"/>
      <c r="K4" s="559" t="s">
        <v>1773</v>
      </c>
      <c r="L4" s="2697"/>
      <c r="M4" s="2698"/>
      <c r="N4" s="2698"/>
      <c r="O4" s="2698"/>
      <c r="P4" s="3746" t="s">
        <v>1774</v>
      </c>
      <c r="Q4" s="3747"/>
      <c r="R4" s="3729" t="s">
        <v>1770</v>
      </c>
      <c r="S4" s="3730"/>
      <c r="T4" s="3729" t="s">
        <v>1771</v>
      </c>
      <c r="U4" s="3730"/>
      <c r="V4" s="3726" t="s">
        <v>1772</v>
      </c>
      <c r="W4" s="3726"/>
      <c r="X4" s="1355"/>
      <c r="Y4" s="3729" t="s">
        <v>1774</v>
      </c>
      <c r="Z4" s="3730"/>
      <c r="AA4" s="3723" t="s">
        <v>1770</v>
      </c>
      <c r="AB4" s="3724" t="s">
        <v>1771</v>
      </c>
      <c r="AC4" s="3723" t="s">
        <v>1772</v>
      </c>
    </row>
    <row r="5" spans="1:30" ht="15">
      <c r="A5" s="358"/>
      <c r="B5" s="359"/>
      <c r="C5" s="3735" t="s">
        <v>1672</v>
      </c>
      <c r="D5" s="3736"/>
      <c r="E5" s="3733" t="s">
        <v>1673</v>
      </c>
      <c r="F5" s="3734"/>
      <c r="G5" s="3735" t="s">
        <v>1674</v>
      </c>
      <c r="H5" s="3736"/>
      <c r="I5" s="3735" t="s">
        <v>1675</v>
      </c>
      <c r="J5" s="3736"/>
      <c r="K5" s="559"/>
      <c r="L5" s="2697"/>
      <c r="M5" s="2698"/>
      <c r="N5" s="2698"/>
      <c r="O5" s="2698"/>
      <c r="P5" s="3748"/>
      <c r="Q5" s="3749"/>
      <c r="R5" s="3731"/>
      <c r="S5" s="3732"/>
      <c r="T5" s="3731"/>
      <c r="U5" s="3732"/>
      <c r="V5" s="3726"/>
      <c r="W5" s="3726"/>
      <c r="X5" s="1355"/>
      <c r="Y5" s="3731"/>
      <c r="Z5" s="3732"/>
      <c r="AA5" s="3724"/>
      <c r="AB5" s="3724"/>
      <c r="AC5" s="3724"/>
    </row>
    <row r="6" spans="1:30" ht="15.75" thickBot="1">
      <c r="A6" s="360"/>
      <c r="B6" s="361"/>
      <c r="C6" s="3737" t="s">
        <v>1676</v>
      </c>
      <c r="D6" s="3738"/>
      <c r="E6" s="3739" t="s">
        <v>1676</v>
      </c>
      <c r="F6" s="3740"/>
      <c r="G6" s="3737" t="s">
        <v>1676</v>
      </c>
      <c r="H6" s="3738"/>
      <c r="I6" s="3737" t="s">
        <v>1676</v>
      </c>
      <c r="J6" s="3738"/>
      <c r="K6" s="559" t="s">
        <v>1677</v>
      </c>
      <c r="L6" s="2697"/>
      <c r="M6" s="2698"/>
      <c r="N6" s="2698"/>
      <c r="O6" s="2698"/>
      <c r="P6" s="3750"/>
      <c r="Q6" s="3751"/>
      <c r="R6" s="3731"/>
      <c r="S6" s="3732"/>
      <c r="T6" s="3752"/>
      <c r="U6" s="3753"/>
      <c r="V6" s="3726"/>
      <c r="W6" s="3726"/>
      <c r="X6" s="1355"/>
      <c r="Y6" s="3752"/>
      <c r="Z6" s="3753"/>
      <c r="AA6" s="3725"/>
      <c r="AB6" s="3725"/>
      <c r="AC6" s="3725"/>
    </row>
    <row r="7" spans="1:30" s="108" customFormat="1" ht="15.75" thickBot="1">
      <c r="A7" s="362" t="s">
        <v>1678</v>
      </c>
      <c r="B7" s="363"/>
      <c r="C7" s="364">
        <f>'数据-取费表'!B2</f>
        <v>45009</v>
      </c>
      <c r="D7" s="365">
        <v>100</v>
      </c>
      <c r="E7" s="366"/>
      <c r="F7" s="367">
        <f>SUMIF(69:69,YEAR(E7)&amp;"-"&amp;INT((MONTH(E7)+2)/3),70:70)</f>
        <v>0</v>
      </c>
      <c r="G7" s="1974"/>
      <c r="H7" s="365">
        <f>SUMIF(69:69,YEAR(G7)&amp;"-"&amp;INT((MONTH(G7)+2)/3),70:70)</f>
        <v>0</v>
      </c>
      <c r="I7" s="1974"/>
      <c r="J7" s="365">
        <f>SUMIF(69:69,YEAR(I7)&amp;"-"&amp;INT((MONTH(I7)+2)/3),70:70)</f>
        <v>0</v>
      </c>
      <c r="K7" s="560"/>
      <c r="L7" s="2699"/>
      <c r="M7" s="2700"/>
      <c r="N7" s="2700"/>
      <c r="O7" s="2700"/>
      <c r="P7" s="3727" t="s">
        <v>1679</v>
      </c>
      <c r="Q7" s="3754"/>
      <c r="R7" s="701" t="s">
        <v>14</v>
      </c>
      <c r="S7" s="702">
        <f t="shared" ref="S7:S15" si="0">F7</f>
        <v>0</v>
      </c>
      <c r="T7" s="701" t="s">
        <v>14</v>
      </c>
      <c r="U7" s="702">
        <f t="shared" ref="U7:U15" si="1">H7</f>
        <v>0</v>
      </c>
      <c r="V7" s="701" t="s">
        <v>14</v>
      </c>
      <c r="W7" s="702">
        <f t="shared" ref="W7:W15" si="2">J7</f>
        <v>0</v>
      </c>
      <c r="X7" s="703"/>
      <c r="Y7" s="3727" t="s">
        <v>1679</v>
      </c>
      <c r="Z7" s="3728"/>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699"/>
      <c r="M8" s="2700"/>
      <c r="N8" s="2700"/>
      <c r="O8" s="2700"/>
      <c r="P8" s="3727" t="s">
        <v>1682</v>
      </c>
      <c r="Q8" s="3728"/>
      <c r="R8" s="701" t="s">
        <v>14</v>
      </c>
      <c r="S8" s="702">
        <f t="shared" si="0"/>
        <v>0</v>
      </c>
      <c r="T8" s="701" t="s">
        <v>14</v>
      </c>
      <c r="U8" s="702">
        <f t="shared" si="1"/>
        <v>0</v>
      </c>
      <c r="V8" s="701" t="s">
        <v>14</v>
      </c>
      <c r="W8" s="702">
        <f t="shared" si="2"/>
        <v>0</v>
      </c>
      <c r="X8" s="703"/>
      <c r="Y8" s="3727" t="s">
        <v>1682</v>
      </c>
      <c r="Z8" s="3728"/>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699"/>
      <c r="M9" s="2700"/>
      <c r="N9" s="2700"/>
      <c r="O9" s="2754"/>
      <c r="P9" s="3764" t="s">
        <v>1685</v>
      </c>
      <c r="Q9" s="1343" t="str">
        <f t="shared" ref="Q9:Q15" si="6">B9</f>
        <v>用途</v>
      </c>
      <c r="R9" s="701" t="s">
        <v>14</v>
      </c>
      <c r="S9" s="702">
        <f t="shared" si="0"/>
        <v>100</v>
      </c>
      <c r="T9" s="701" t="s">
        <v>14</v>
      </c>
      <c r="U9" s="702">
        <f t="shared" si="1"/>
        <v>100</v>
      </c>
      <c r="V9" s="701" t="s">
        <v>14</v>
      </c>
      <c r="W9" s="702">
        <f t="shared" si="2"/>
        <v>100</v>
      </c>
      <c r="X9" s="703"/>
      <c r="Y9" s="3696"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140</v>
      </c>
      <c r="G10" s="414"/>
      <c r="H10" s="127">
        <f>ROUND(100/'数据-取费表'!G16,0)</f>
        <v>140</v>
      </c>
      <c r="I10" s="414"/>
      <c r="J10" s="127">
        <f>ROUND(100/'数据-取费表'!G16,0)</f>
        <v>140</v>
      </c>
      <c r="K10" s="620"/>
      <c r="L10" s="2701"/>
      <c r="M10" s="2702"/>
      <c r="N10" s="2702"/>
      <c r="O10" s="2755"/>
      <c r="P10" s="3764"/>
      <c r="Q10" s="1343" t="str">
        <f t="shared" si="6"/>
        <v>土地使用年限（年）</v>
      </c>
      <c r="R10" s="701" t="s">
        <v>14</v>
      </c>
      <c r="S10" s="702">
        <f t="shared" si="0"/>
        <v>140</v>
      </c>
      <c r="T10" s="701" t="s">
        <v>14</v>
      </c>
      <c r="U10" s="702">
        <f t="shared" si="1"/>
        <v>140</v>
      </c>
      <c r="V10" s="701" t="s">
        <v>14</v>
      </c>
      <c r="W10" s="702">
        <f t="shared" si="2"/>
        <v>140</v>
      </c>
      <c r="X10" s="703"/>
      <c r="Y10" s="3696"/>
      <c r="Z10" s="52" t="str">
        <f t="shared" si="7"/>
        <v>土地使用年限（年）</v>
      </c>
      <c r="AA10" s="704">
        <f t="shared" si="3"/>
        <v>0.7142857142857143</v>
      </c>
      <c r="AB10" s="704">
        <f t="shared" si="4"/>
        <v>0.7142857142857143</v>
      </c>
      <c r="AC10" s="704">
        <f t="shared" si="5"/>
        <v>0.7142857142857143</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3"/>
      <c r="M11" s="2698"/>
      <c r="N11" s="2698"/>
      <c r="O11" s="2756"/>
      <c r="P11" s="3764"/>
      <c r="Q11" s="1343" t="str">
        <f t="shared" si="6"/>
        <v>容积率</v>
      </c>
      <c r="R11" s="701" t="s">
        <v>14</v>
      </c>
      <c r="S11" s="702" t="e">
        <f t="shared" si="0"/>
        <v>#N/A</v>
      </c>
      <c r="T11" s="701" t="s">
        <v>14</v>
      </c>
      <c r="U11" s="702" t="e">
        <f t="shared" si="1"/>
        <v>#N/A</v>
      </c>
      <c r="V11" s="701" t="s">
        <v>14</v>
      </c>
      <c r="W11" s="702" t="e">
        <f t="shared" si="2"/>
        <v>#N/A</v>
      </c>
      <c r="X11" s="703"/>
      <c r="Y11" s="3696"/>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699"/>
      <c r="M12" s="2700"/>
      <c r="N12" s="2700"/>
      <c r="O12" s="2754"/>
      <c r="P12" s="3764"/>
      <c r="Q12" s="1343" t="str">
        <f t="shared" si="6"/>
        <v>配建</v>
      </c>
      <c r="R12" s="701" t="s">
        <v>14</v>
      </c>
      <c r="S12" s="702">
        <f t="shared" si="0"/>
        <v>100</v>
      </c>
      <c r="T12" s="701" t="s">
        <v>14</v>
      </c>
      <c r="U12" s="702">
        <f t="shared" si="1"/>
        <v>100</v>
      </c>
      <c r="V12" s="701" t="s">
        <v>14</v>
      </c>
      <c r="W12" s="702">
        <f t="shared" si="2"/>
        <v>100</v>
      </c>
      <c r="X12" s="703"/>
      <c r="Y12" s="369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04"/>
      <c r="M13" s="2698"/>
      <c r="N13" s="2698"/>
      <c r="O13" s="2756"/>
      <c r="P13" s="3764"/>
      <c r="Q13" s="1343">
        <f t="shared" si="6"/>
        <v>111</v>
      </c>
      <c r="R13" s="701" t="s">
        <v>14</v>
      </c>
      <c r="S13" s="702">
        <f t="shared" si="0"/>
        <v>100</v>
      </c>
      <c r="T13" s="701" t="s">
        <v>14</v>
      </c>
      <c r="U13" s="702">
        <f t="shared" si="1"/>
        <v>100</v>
      </c>
      <c r="V13" s="701" t="s">
        <v>14</v>
      </c>
      <c r="W13" s="702">
        <f t="shared" si="2"/>
        <v>100</v>
      </c>
      <c r="X13" s="703"/>
      <c r="Y13" s="369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04"/>
      <c r="M14" s="2698"/>
      <c r="N14" s="2698"/>
      <c r="O14" s="2756"/>
      <c r="P14" s="3764"/>
      <c r="Q14" s="1343">
        <f t="shared" si="6"/>
        <v>111</v>
      </c>
      <c r="R14" s="701" t="s">
        <v>14</v>
      </c>
      <c r="S14" s="702">
        <f t="shared" si="0"/>
        <v>100</v>
      </c>
      <c r="T14" s="701" t="s">
        <v>14</v>
      </c>
      <c r="U14" s="702">
        <f t="shared" si="1"/>
        <v>100</v>
      </c>
      <c r="V14" s="701" t="s">
        <v>14</v>
      </c>
      <c r="W14" s="702">
        <f t="shared" si="2"/>
        <v>100</v>
      </c>
      <c r="X14" s="703"/>
      <c r="Y14" s="3696"/>
      <c r="Z14" s="52">
        <f t="shared" si="7"/>
        <v>111</v>
      </c>
      <c r="AA14" s="704">
        <f>D14/F14</f>
        <v>1</v>
      </c>
      <c r="AB14" s="704">
        <f>D14/H14</f>
        <v>1</v>
      </c>
      <c r="AC14" s="704">
        <f>D14/J14</f>
        <v>1</v>
      </c>
    </row>
    <row r="15" spans="1:30" ht="99.75">
      <c r="A15" s="391" t="s">
        <v>1689</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4"/>
      <c r="M15" s="2698"/>
      <c r="N15" s="2698"/>
      <c r="O15" s="2756"/>
      <c r="P15" s="3757" t="s">
        <v>1690</v>
      </c>
      <c r="Q15" s="1352" t="str">
        <f t="shared" si="6"/>
        <v>居住社区成熟度</v>
      </c>
      <c r="R15" s="705" t="s">
        <v>14</v>
      </c>
      <c r="S15" s="706">
        <f t="shared" si="0"/>
        <v>100</v>
      </c>
      <c r="T15" s="705" t="s">
        <v>14</v>
      </c>
      <c r="U15" s="706">
        <f t="shared" si="1"/>
        <v>100</v>
      </c>
      <c r="V15" s="705" t="s">
        <v>14</v>
      </c>
      <c r="W15" s="706">
        <f t="shared" si="2"/>
        <v>100</v>
      </c>
      <c r="X15" s="1355"/>
      <c r="Y15" s="3757"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04"/>
      <c r="M16" s="2698"/>
      <c r="N16" s="2698"/>
      <c r="O16" s="2756"/>
      <c r="P16" s="3758"/>
      <c r="Q16" s="1352"/>
      <c r="R16" s="705"/>
      <c r="S16" s="706"/>
      <c r="T16" s="705"/>
      <c r="U16" s="706"/>
      <c r="V16" s="705"/>
      <c r="W16" s="706"/>
      <c r="X16" s="1355"/>
      <c r="Y16" s="3758"/>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4"/>
      <c r="M17" s="2698"/>
      <c r="N17" s="2698"/>
      <c r="O17" s="2756"/>
      <c r="P17" s="3758"/>
      <c r="Q17" s="1352" t="str">
        <f>B17</f>
        <v>商业繁华度</v>
      </c>
      <c r="R17" s="705" t="s">
        <v>14</v>
      </c>
      <c r="S17" s="706">
        <f>F17</f>
        <v>100</v>
      </c>
      <c r="T17" s="705" t="s">
        <v>14</v>
      </c>
      <c r="U17" s="706">
        <f>H17</f>
        <v>100</v>
      </c>
      <c r="V17" s="705" t="s">
        <v>14</v>
      </c>
      <c r="W17" s="706">
        <f>J17</f>
        <v>100</v>
      </c>
      <c r="X17" s="1355"/>
      <c r="Y17" s="375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04"/>
      <c r="M18" s="2698"/>
      <c r="N18" s="2698"/>
      <c r="O18" s="2756"/>
      <c r="P18" s="3758"/>
      <c r="Q18" s="1352"/>
      <c r="R18" s="705"/>
      <c r="S18" s="706"/>
      <c r="T18" s="705"/>
      <c r="U18" s="706"/>
      <c r="V18" s="705"/>
      <c r="W18" s="706"/>
      <c r="X18" s="1355"/>
      <c r="Y18" s="3758"/>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4"/>
      <c r="M19" s="2698"/>
      <c r="N19" s="2698"/>
      <c r="O19" s="2756"/>
      <c r="P19" s="3758"/>
      <c r="Q19" s="1352" t="str">
        <f>B19</f>
        <v>办公集聚程度</v>
      </c>
      <c r="R19" s="705" t="s">
        <v>14</v>
      </c>
      <c r="S19" s="706">
        <f>F19</f>
        <v>100</v>
      </c>
      <c r="T19" s="705" t="s">
        <v>14</v>
      </c>
      <c r="U19" s="706">
        <f>H19</f>
        <v>100</v>
      </c>
      <c r="V19" s="705" t="s">
        <v>14</v>
      </c>
      <c r="W19" s="706">
        <f>J19</f>
        <v>100</v>
      </c>
      <c r="X19" s="1355"/>
      <c r="Y19" s="375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04"/>
      <c r="M20" s="2698"/>
      <c r="N20" s="2698"/>
      <c r="O20" s="2756"/>
      <c r="P20" s="3758"/>
      <c r="Q20" s="1352"/>
      <c r="R20" s="705"/>
      <c r="S20" s="706"/>
      <c r="T20" s="705"/>
      <c r="U20" s="706"/>
      <c r="V20" s="705"/>
      <c r="W20" s="706"/>
      <c r="X20" s="1355"/>
      <c r="Y20" s="3758"/>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4"/>
      <c r="M21" s="2698"/>
      <c r="N21" s="2698"/>
      <c r="O21" s="2756"/>
      <c r="P21" s="3758"/>
      <c r="Q21" s="1352" t="str">
        <f>B21</f>
        <v>交通便捷度</v>
      </c>
      <c r="R21" s="705" t="s">
        <v>14</v>
      </c>
      <c r="S21" s="706">
        <f>F21</f>
        <v>100</v>
      </c>
      <c r="T21" s="705" t="s">
        <v>14</v>
      </c>
      <c r="U21" s="706">
        <f>H21</f>
        <v>100</v>
      </c>
      <c r="V21" s="705" t="s">
        <v>14</v>
      </c>
      <c r="W21" s="706">
        <f>J21</f>
        <v>100</v>
      </c>
      <c r="X21" s="1355"/>
      <c r="Y21" s="375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04"/>
      <c r="M22" s="2698"/>
      <c r="N22" s="2698"/>
      <c r="O22" s="2756"/>
      <c r="P22" s="3758"/>
      <c r="Q22" s="1352"/>
      <c r="R22" s="705"/>
      <c r="S22" s="706"/>
      <c r="T22" s="705"/>
      <c r="U22" s="706"/>
      <c r="V22" s="705"/>
      <c r="W22" s="706"/>
      <c r="X22" s="1355"/>
      <c r="Y22" s="3758"/>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4"/>
      <c r="M23" s="2698"/>
      <c r="N23" s="2698"/>
      <c r="O23" s="2756"/>
      <c r="P23" s="3758"/>
      <c r="Q23" s="1352" t="str">
        <f t="shared" ref="Q23:Q37" si="8">B23</f>
        <v>区域土地利用方向</v>
      </c>
      <c r="R23" s="705" t="s">
        <v>14</v>
      </c>
      <c r="S23" s="706">
        <f>F23</f>
        <v>100</v>
      </c>
      <c r="T23" s="705" t="s">
        <v>14</v>
      </c>
      <c r="U23" s="706">
        <f>H23</f>
        <v>100</v>
      </c>
      <c r="V23" s="705" t="s">
        <v>14</v>
      </c>
      <c r="W23" s="706">
        <f>J23</f>
        <v>100</v>
      </c>
      <c r="X23" s="1355"/>
      <c r="Y23" s="375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04"/>
      <c r="M24" s="2698"/>
      <c r="N24" s="2698"/>
      <c r="O24" s="2756"/>
      <c r="P24" s="3758"/>
      <c r="Q24" s="1352"/>
      <c r="R24" s="705"/>
      <c r="S24" s="706"/>
      <c r="T24" s="705"/>
      <c r="U24" s="706"/>
      <c r="V24" s="705"/>
      <c r="W24" s="706"/>
      <c r="X24" s="1355"/>
      <c r="Y24" s="3758"/>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4"/>
      <c r="M25" s="2698"/>
      <c r="N25" s="2698"/>
      <c r="O25" s="2756"/>
      <c r="P25" s="3758"/>
      <c r="Q25" s="1352" t="str">
        <f t="shared" si="8"/>
        <v>自然及人文环境状况</v>
      </c>
      <c r="R25" s="705" t="s">
        <v>14</v>
      </c>
      <c r="S25" s="706">
        <f>F25</f>
        <v>100</v>
      </c>
      <c r="T25" s="705" t="s">
        <v>14</v>
      </c>
      <c r="U25" s="706">
        <f>H25</f>
        <v>100</v>
      </c>
      <c r="V25" s="705" t="s">
        <v>14</v>
      </c>
      <c r="W25" s="706">
        <f>J25</f>
        <v>100</v>
      </c>
      <c r="X25" s="1355"/>
      <c r="Y25" s="375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04"/>
      <c r="M26" s="2698"/>
      <c r="N26" s="2698"/>
      <c r="O26" s="2756"/>
      <c r="P26" s="3758"/>
      <c r="Q26" s="1352"/>
      <c r="R26" s="705"/>
      <c r="S26" s="706"/>
      <c r="T26" s="705"/>
      <c r="U26" s="706"/>
      <c r="V26" s="705"/>
      <c r="W26" s="706"/>
      <c r="X26" s="1355"/>
      <c r="Y26" s="3758"/>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99"/>
      <c r="M27" s="2700"/>
      <c r="N27" s="2700"/>
      <c r="O27" s="2754"/>
      <c r="P27" s="3758"/>
      <c r="Q27" s="1343" t="str">
        <f t="shared" si="8"/>
        <v>公共配套设施</v>
      </c>
      <c r="R27" s="701" t="s">
        <v>14</v>
      </c>
      <c r="S27" s="702">
        <f>F27</f>
        <v>100</v>
      </c>
      <c r="T27" s="701" t="s">
        <v>14</v>
      </c>
      <c r="U27" s="702">
        <f>H27</f>
        <v>100</v>
      </c>
      <c r="V27" s="701" t="s">
        <v>14</v>
      </c>
      <c r="W27" s="702">
        <f>J27</f>
        <v>100</v>
      </c>
      <c r="X27" s="703"/>
      <c r="Y27" s="375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9"/>
      <c r="M28" s="2700"/>
      <c r="N28" s="2700"/>
      <c r="O28" s="2754"/>
      <c r="P28" s="3758"/>
      <c r="Q28" s="1343"/>
      <c r="R28" s="701"/>
      <c r="S28" s="702"/>
      <c r="T28" s="701"/>
      <c r="U28" s="702"/>
      <c r="V28" s="701"/>
      <c r="W28" s="702"/>
      <c r="X28" s="703"/>
      <c r="Y28" s="3758"/>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9"/>
      <c r="M29" s="2700"/>
      <c r="N29" s="2700"/>
      <c r="O29" s="2754"/>
      <c r="P29" s="3758"/>
      <c r="Q29" s="1343" t="str">
        <f t="shared" ref="Q29" si="9">B29</f>
        <v>基础设施水平</v>
      </c>
      <c r="R29" s="701" t="s">
        <v>14</v>
      </c>
      <c r="S29" s="702">
        <f>F29</f>
        <v>100</v>
      </c>
      <c r="T29" s="701" t="s">
        <v>14</v>
      </c>
      <c r="U29" s="702">
        <f>H29</f>
        <v>100</v>
      </c>
      <c r="V29" s="701" t="s">
        <v>14</v>
      </c>
      <c r="W29" s="702">
        <f>J29</f>
        <v>100</v>
      </c>
      <c r="X29" s="703"/>
      <c r="Y29" s="375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9"/>
      <c r="M30" s="2700"/>
      <c r="N30" s="2700"/>
      <c r="O30" s="2754"/>
      <c r="P30" s="3758"/>
      <c r="Q30" s="1343"/>
      <c r="R30" s="701"/>
      <c r="S30" s="702"/>
      <c r="T30" s="701"/>
      <c r="U30" s="702"/>
      <c r="V30" s="701"/>
      <c r="W30" s="702"/>
      <c r="X30" s="703"/>
      <c r="Y30" s="3758"/>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4"/>
      <c r="M31" s="2698"/>
      <c r="N31" s="2698"/>
      <c r="O31" s="2756"/>
      <c r="P31" s="375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8"/>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4"/>
      <c r="M32" s="2698"/>
      <c r="N32" s="2698"/>
      <c r="O32" s="2756"/>
      <c r="P32" s="3758"/>
      <c r="Q32" s="1352" t="str">
        <f t="shared" si="8"/>
        <v>毗邻道路的类型与等级</v>
      </c>
      <c r="R32" s="705" t="s">
        <v>14</v>
      </c>
      <c r="S32" s="706">
        <f t="shared" si="10"/>
        <v>100</v>
      </c>
      <c r="T32" s="705" t="s">
        <v>14</v>
      </c>
      <c r="U32" s="706">
        <f t="shared" si="11"/>
        <v>100</v>
      </c>
      <c r="V32" s="705" t="s">
        <v>14</v>
      </c>
      <c r="W32" s="706">
        <f t="shared" si="12"/>
        <v>100</v>
      </c>
      <c r="X32" s="1355"/>
      <c r="Y32" s="375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04"/>
      <c r="M33" s="2698"/>
      <c r="N33" s="2698"/>
      <c r="O33" s="2756"/>
      <c r="P33" s="3758"/>
      <c r="Q33" s="1352"/>
      <c r="R33" s="705"/>
      <c r="S33" s="706"/>
      <c r="T33" s="705"/>
      <c r="U33" s="706"/>
      <c r="V33" s="705"/>
      <c r="W33" s="706"/>
      <c r="X33" s="1355"/>
      <c r="Y33" s="3758"/>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4"/>
      <c r="M34" s="2698"/>
      <c r="N34" s="2698"/>
      <c r="O34" s="2756"/>
      <c r="P34" s="3758"/>
      <c r="Q34" s="1352" t="str">
        <f t="shared" si="8"/>
        <v>土地级别</v>
      </c>
      <c r="R34" s="705" t="s">
        <v>14</v>
      </c>
      <c r="S34" s="706">
        <f t="shared" si="10"/>
        <v>100</v>
      </c>
      <c r="T34" s="705" t="s">
        <v>14</v>
      </c>
      <c r="U34" s="706">
        <f t="shared" si="11"/>
        <v>100</v>
      </c>
      <c r="V34" s="705" t="s">
        <v>14</v>
      </c>
      <c r="W34" s="706">
        <f t="shared" si="12"/>
        <v>100</v>
      </c>
      <c r="X34" s="1355"/>
      <c r="Y34" s="375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4"/>
      <c r="M35" s="2698"/>
      <c r="N35" s="2698"/>
      <c r="O35" s="2756"/>
      <c r="P35" s="3758"/>
      <c r="Q35" s="1352">
        <f t="shared" si="8"/>
        <v>111</v>
      </c>
      <c r="R35" s="705" t="s">
        <v>14</v>
      </c>
      <c r="S35" s="706">
        <f t="shared" si="10"/>
        <v>100</v>
      </c>
      <c r="T35" s="705" t="s">
        <v>14</v>
      </c>
      <c r="U35" s="706">
        <f t="shared" si="11"/>
        <v>100</v>
      </c>
      <c r="V35" s="705" t="s">
        <v>14</v>
      </c>
      <c r="W35" s="706">
        <f t="shared" si="12"/>
        <v>100</v>
      </c>
      <c r="X35" s="1355"/>
      <c r="Y35" s="375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4"/>
      <c r="M36" s="2698"/>
      <c r="N36" s="2698"/>
      <c r="O36" s="2756"/>
      <c r="P36" s="3810" t="s">
        <v>1695</v>
      </c>
      <c r="Q36" s="1352">
        <f t="shared" si="8"/>
        <v>111</v>
      </c>
      <c r="R36" s="705" t="s">
        <v>14</v>
      </c>
      <c r="S36" s="706">
        <f t="shared" si="10"/>
        <v>100</v>
      </c>
      <c r="T36" s="705" t="s">
        <v>14</v>
      </c>
      <c r="U36" s="706">
        <f t="shared" si="11"/>
        <v>100</v>
      </c>
      <c r="V36" s="705" t="s">
        <v>14</v>
      </c>
      <c r="W36" s="706">
        <f t="shared" si="12"/>
        <v>100</v>
      </c>
      <c r="X36" s="1355"/>
      <c r="Y36" s="3762"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3"/>
      <c r="M37" s="2705"/>
      <c r="N37" s="2705"/>
      <c r="O37" s="2757"/>
      <c r="P37" s="3762"/>
      <c r="Q37" s="1352">
        <f t="shared" si="8"/>
        <v>111</v>
      </c>
      <c r="R37" s="708" t="s">
        <v>14</v>
      </c>
      <c r="S37" s="709">
        <f t="shared" si="10"/>
        <v>100</v>
      </c>
      <c r="T37" s="708" t="s">
        <v>14</v>
      </c>
      <c r="U37" s="709">
        <f t="shared" si="11"/>
        <v>100</v>
      </c>
      <c r="V37" s="708" t="s">
        <v>14</v>
      </c>
      <c r="W37" s="709">
        <f t="shared" si="12"/>
        <v>100</v>
      </c>
      <c r="X37" s="710"/>
      <c r="Y37" s="3762"/>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4"/>
      <c r="M38" s="2698"/>
      <c r="N38" s="2698"/>
      <c r="O38" s="2756"/>
      <c r="P38" s="3762"/>
      <c r="Q38" s="1352" t="str">
        <f>B38</f>
        <v>宗地面积</v>
      </c>
      <c r="R38" s="705" t="s">
        <v>14</v>
      </c>
      <c r="S38" s="706" t="e">
        <f t="shared" si="10"/>
        <v>#N/A</v>
      </c>
      <c r="T38" s="705" t="s">
        <v>14</v>
      </c>
      <c r="U38" s="706" t="e">
        <f t="shared" si="11"/>
        <v>#N/A</v>
      </c>
      <c r="V38" s="705" t="s">
        <v>14</v>
      </c>
      <c r="W38" s="706" t="e">
        <f t="shared" si="12"/>
        <v>#N/A</v>
      </c>
      <c r="X38" s="1355"/>
      <c r="Y38" s="3762"/>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04"/>
      <c r="M39" s="2698"/>
      <c r="N39" s="2698"/>
      <c r="O39" s="2756"/>
      <c r="P39" s="3762"/>
      <c r="Q39" s="1352" t="str">
        <f t="shared" ref="Q39:Q45" si="14">B39</f>
        <v>宗地形状</v>
      </c>
      <c r="R39" s="705" t="s">
        <v>14</v>
      </c>
      <c r="S39" s="706">
        <f t="shared" si="10"/>
        <v>100</v>
      </c>
      <c r="T39" s="705" t="s">
        <v>14</v>
      </c>
      <c r="U39" s="706">
        <f t="shared" si="11"/>
        <v>100</v>
      </c>
      <c r="V39" s="705" t="s">
        <v>14</v>
      </c>
      <c r="W39" s="706">
        <f t="shared" si="12"/>
        <v>100</v>
      </c>
      <c r="X39" s="1355"/>
      <c r="Y39" s="3762"/>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04"/>
      <c r="M40" s="2698"/>
      <c r="N40" s="2698"/>
      <c r="O40" s="2756"/>
      <c r="P40" s="3762"/>
      <c r="Q40" s="1352" t="str">
        <f t="shared" si="14"/>
        <v>临街宽度及深度</v>
      </c>
      <c r="R40" s="705" t="s">
        <v>14</v>
      </c>
      <c r="S40" s="706">
        <f t="shared" si="10"/>
        <v>100</v>
      </c>
      <c r="T40" s="705" t="s">
        <v>14</v>
      </c>
      <c r="U40" s="706">
        <f t="shared" si="11"/>
        <v>100</v>
      </c>
      <c r="V40" s="705" t="s">
        <v>14</v>
      </c>
      <c r="W40" s="706">
        <f t="shared" si="12"/>
        <v>100</v>
      </c>
      <c r="X40" s="1355"/>
      <c r="Y40" s="3762"/>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9"/>
      <c r="M41" s="2700"/>
      <c r="N41" s="2700"/>
      <c r="O41" s="2754"/>
      <c r="P41" s="3762"/>
      <c r="Q41" s="1352" t="str">
        <f t="shared" si="14"/>
        <v>宗地开发程度</v>
      </c>
      <c r="R41" s="701" t="s">
        <v>14</v>
      </c>
      <c r="S41" s="702">
        <f t="shared" si="10"/>
        <v>100</v>
      </c>
      <c r="T41" s="701" t="s">
        <v>14</v>
      </c>
      <c r="U41" s="702">
        <f t="shared" si="11"/>
        <v>100</v>
      </c>
      <c r="V41" s="701" t="s">
        <v>14</v>
      </c>
      <c r="W41" s="702">
        <f t="shared" si="12"/>
        <v>100</v>
      </c>
      <c r="X41" s="703"/>
      <c r="Y41" s="3762"/>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04"/>
      <c r="M42" s="2698"/>
      <c r="N42" s="2698"/>
      <c r="O42" s="2756"/>
      <c r="P42" s="3762" t="s">
        <v>1695</v>
      </c>
      <c r="Q42" s="1352" t="str">
        <f t="shared" si="14"/>
        <v>工程地质条件</v>
      </c>
      <c r="R42" s="705" t="s">
        <v>14</v>
      </c>
      <c r="S42" s="706">
        <f t="shared" si="10"/>
        <v>100</v>
      </c>
      <c r="T42" s="705" t="s">
        <v>14</v>
      </c>
      <c r="U42" s="706">
        <f t="shared" si="11"/>
        <v>100</v>
      </c>
      <c r="V42" s="705" t="s">
        <v>14</v>
      </c>
      <c r="W42" s="706">
        <f t="shared" si="12"/>
        <v>100</v>
      </c>
      <c r="X42" s="1355"/>
      <c r="Y42" s="3762"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4"/>
      <c r="M43" s="2698"/>
      <c r="N43" s="2698"/>
      <c r="O43" s="2756"/>
      <c r="P43" s="3762"/>
      <c r="Q43" s="1352">
        <f t="shared" si="14"/>
        <v>111</v>
      </c>
      <c r="R43" s="705" t="s">
        <v>14</v>
      </c>
      <c r="S43" s="706">
        <f t="shared" si="10"/>
        <v>100</v>
      </c>
      <c r="T43" s="705" t="s">
        <v>14</v>
      </c>
      <c r="U43" s="706">
        <f t="shared" si="11"/>
        <v>100</v>
      </c>
      <c r="V43" s="705" t="s">
        <v>14</v>
      </c>
      <c r="W43" s="706">
        <f t="shared" si="12"/>
        <v>100</v>
      </c>
      <c r="X43" s="1355"/>
      <c r="Y43" s="376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4"/>
      <c r="M44" s="2698"/>
      <c r="N44" s="2698"/>
      <c r="O44" s="2756"/>
      <c r="P44" s="3762"/>
      <c r="Q44" s="1352">
        <f t="shared" si="14"/>
        <v>111</v>
      </c>
      <c r="R44" s="705" t="s">
        <v>14</v>
      </c>
      <c r="S44" s="706">
        <f t="shared" si="10"/>
        <v>100</v>
      </c>
      <c r="T44" s="705" t="s">
        <v>14</v>
      </c>
      <c r="U44" s="706">
        <f t="shared" si="11"/>
        <v>100</v>
      </c>
      <c r="V44" s="705" t="s">
        <v>14</v>
      </c>
      <c r="W44" s="706">
        <f t="shared" si="12"/>
        <v>100</v>
      </c>
      <c r="X44" s="1355"/>
      <c r="Y44" s="376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03"/>
      <c r="M45" s="2705"/>
      <c r="N45" s="2705"/>
      <c r="O45" s="2757"/>
      <c r="P45" s="3762"/>
      <c r="Q45" s="1352">
        <f t="shared" si="14"/>
        <v>111</v>
      </c>
      <c r="R45" s="708" t="s">
        <v>14</v>
      </c>
      <c r="S45" s="709">
        <f t="shared" si="10"/>
        <v>100</v>
      </c>
      <c r="T45" s="708" t="s">
        <v>14</v>
      </c>
      <c r="U45" s="709">
        <f t="shared" si="11"/>
        <v>100</v>
      </c>
      <c r="V45" s="708" t="s">
        <v>14</v>
      </c>
      <c r="W45" s="709">
        <f t="shared" si="12"/>
        <v>100</v>
      </c>
      <c r="X45" s="710"/>
      <c r="Y45" s="3762"/>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06"/>
      <c r="M46" s="2707"/>
      <c r="N46" s="2698"/>
      <c r="O46" s="2707"/>
      <c r="P46" s="3764" t="str">
        <f>A46</f>
        <v>成交单价</v>
      </c>
      <c r="Q46" s="3764"/>
      <c r="R46" s="3726">
        <f>E46</f>
        <v>0</v>
      </c>
      <c r="S46" s="3726"/>
      <c r="T46" s="3726">
        <f>G46</f>
        <v>0</v>
      </c>
      <c r="U46" s="3726"/>
      <c r="V46" s="3726">
        <f>I46</f>
        <v>0</v>
      </c>
      <c r="W46" s="3726"/>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06"/>
      <c r="M47" s="2707"/>
      <c r="N47" s="2707"/>
      <c r="O47" s="2707"/>
      <c r="P47" s="3764" t="str">
        <f>A47</f>
        <v>比较价值（元/平方米）</v>
      </c>
      <c r="Q47" s="3764"/>
      <c r="R47" s="3812" t="e">
        <f>ROUND(PRODUCT(R46,AA7:AA45),0)</f>
        <v>#DIV/0!</v>
      </c>
      <c r="S47" s="3812"/>
      <c r="T47" s="3812" t="e">
        <f>ROUND(PRODUCT(T46,AB7:AB45),0)</f>
        <v>#DIV/0!</v>
      </c>
      <c r="U47" s="3812"/>
      <c r="V47" s="3812" t="e">
        <f>ROUND(PRODUCT(V46,AC7:AC45),0)</f>
        <v>#DIV/0!</v>
      </c>
      <c r="W47" s="3812"/>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06"/>
      <c r="M48" s="2707"/>
      <c r="N48" s="2707"/>
      <c r="O48" s="2707"/>
      <c r="P48" s="3766" t="str">
        <f>A48</f>
        <v>估价对象XX用房的比较价值（楼面单价，元/平方米）</v>
      </c>
      <c r="Q48" s="3767"/>
      <c r="R48" s="3813" t="e">
        <f>ROUND(IF(D47="简单平均",AVERAGE(R47:W47),R47*F47+T47*H47+V47*J47),0)</f>
        <v>#DIV/0!</v>
      </c>
      <c r="S48" s="3813"/>
      <c r="T48" s="3813"/>
      <c r="U48" s="3813"/>
      <c r="V48" s="3813"/>
      <c r="W48" s="3813"/>
      <c r="X48" s="690"/>
      <c r="Y48" s="690"/>
      <c r="Z48" s="690"/>
      <c r="AA48" s="690"/>
      <c r="AB48" s="690"/>
      <c r="AC48" s="690"/>
    </row>
    <row r="49" spans="1:29">
      <c r="A49" s="2707"/>
      <c r="B49" s="2707"/>
      <c r="C49" s="2707"/>
      <c r="D49" s="2707"/>
      <c r="E49" s="2707"/>
      <c r="F49" s="2707"/>
      <c r="G49" s="2711"/>
      <c r="H49" s="2707"/>
      <c r="I49" s="2707"/>
      <c r="J49" s="2707"/>
      <c r="K49" s="2712"/>
      <c r="L49" s="2708"/>
      <c r="M49" s="2707"/>
      <c r="N49" s="2707"/>
      <c r="O49" s="2707"/>
      <c r="P49" s="2707"/>
      <c r="Q49" s="2707"/>
      <c r="R49" s="2707"/>
      <c r="S49" s="2707"/>
      <c r="T49" s="2707"/>
      <c r="U49" s="2707"/>
      <c r="V49" s="2707"/>
      <c r="W49" s="2707"/>
      <c r="X49" s="2707"/>
      <c r="Y49" s="2707"/>
      <c r="Z49" s="2707"/>
      <c r="AA49" s="2707"/>
      <c r="AB49" s="2707"/>
      <c r="AC49" s="2707"/>
    </row>
    <row r="50" spans="1:29">
      <c r="A50" s="2707"/>
      <c r="B50" s="2707"/>
      <c r="C50" s="2707"/>
      <c r="D50" s="2707"/>
      <c r="E50" s="2707"/>
      <c r="F50" s="2707"/>
      <c r="G50" s="2707"/>
      <c r="H50" s="2707"/>
      <c r="I50" s="2707"/>
      <c r="J50" s="2707"/>
      <c r="K50" s="2712"/>
      <c r="L50" s="2708"/>
      <c r="M50" s="2707"/>
      <c r="N50" s="2707"/>
      <c r="O50" s="2707"/>
      <c r="P50" s="2707"/>
      <c r="Q50" s="2707"/>
      <c r="R50" s="2707"/>
      <c r="S50" s="2707"/>
      <c r="T50" s="2707"/>
      <c r="U50" s="2707"/>
      <c r="V50" s="2707"/>
      <c r="W50" s="2707"/>
      <c r="X50" s="2707"/>
      <c r="Y50" s="2707"/>
      <c r="Z50" s="2707"/>
      <c r="AA50" s="2707"/>
      <c r="AB50" s="2707"/>
      <c r="AC50" s="2707"/>
    </row>
    <row r="51" spans="1:29" ht="13.5" customHeight="1">
      <c r="A51" s="2707"/>
      <c r="B51" s="2707"/>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12"/>
      <c r="L51" s="2708"/>
      <c r="M51" s="2707"/>
      <c r="N51" s="2707"/>
      <c r="O51" s="2707"/>
      <c r="P51" s="2707"/>
      <c r="Q51" s="2707"/>
      <c r="R51" s="2707"/>
      <c r="S51" s="2707"/>
      <c r="T51" s="2707"/>
      <c r="U51" s="2707"/>
      <c r="V51" s="2707"/>
      <c r="W51" s="2707"/>
      <c r="X51" s="2707"/>
      <c r="Y51" s="2707"/>
      <c r="Z51" s="2707"/>
      <c r="AA51" s="2707"/>
      <c r="AB51" s="2707"/>
      <c r="AC51" s="2707"/>
    </row>
    <row r="52" spans="1:29" ht="13.5" customHeight="1">
      <c r="A52" s="2707"/>
      <c r="B52" s="2707"/>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12"/>
      <c r="L52" s="2708"/>
      <c r="M52" s="2707"/>
      <c r="N52" s="2707"/>
      <c r="O52" s="2707"/>
      <c r="P52" s="2707"/>
      <c r="Q52" s="2707"/>
      <c r="R52" s="2707"/>
      <c r="S52" s="2707"/>
      <c r="T52" s="2707"/>
      <c r="U52" s="2707"/>
      <c r="V52" s="2707"/>
      <c r="W52" s="2707"/>
      <c r="X52" s="2707"/>
      <c r="Y52" s="2707"/>
      <c r="Z52" s="2707"/>
      <c r="AA52" s="2707"/>
      <c r="AB52" s="2707"/>
      <c r="AC52" s="2707"/>
    </row>
    <row r="53" spans="1:29" s="451" customFormat="1" ht="13.5" customHeight="1">
      <c r="A53" s="2710"/>
      <c r="B53" s="2710"/>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5"/>
      <c r="L53" s="2709"/>
      <c r="M53" s="2710"/>
      <c r="N53" s="2710"/>
      <c r="O53" s="2710"/>
      <c r="P53" s="2710"/>
      <c r="Q53" s="2710"/>
      <c r="R53" s="2710"/>
      <c r="S53" s="2710"/>
      <c r="T53" s="2710"/>
      <c r="U53" s="2710"/>
      <c r="V53" s="2710"/>
      <c r="W53" s="2710"/>
      <c r="X53" s="2710"/>
      <c r="Y53" s="2710"/>
      <c r="Z53" s="2710"/>
      <c r="AA53" s="2710"/>
      <c r="AB53" s="2710"/>
      <c r="AC53" s="2710"/>
    </row>
    <row r="54" spans="1:29" s="451" customFormat="1" ht="15" thickBot="1">
      <c r="A54" s="2710"/>
      <c r="B54" s="2713"/>
      <c r="C54" s="693"/>
      <c r="D54" s="691"/>
      <c r="E54" s="691"/>
      <c r="F54" s="691"/>
      <c r="G54" s="691"/>
      <c r="H54" s="691"/>
      <c r="I54" s="691"/>
      <c r="J54" s="691"/>
      <c r="K54" s="2715"/>
      <c r="L54" s="2709"/>
      <c r="M54" s="2710"/>
      <c r="N54" s="2710"/>
      <c r="O54" s="2710"/>
      <c r="P54" s="2710"/>
      <c r="Q54" s="2710"/>
      <c r="R54" s="2710"/>
      <c r="S54" s="2710"/>
      <c r="T54" s="2710"/>
      <c r="U54" s="2710"/>
      <c r="V54" s="2710"/>
      <c r="W54" s="2710"/>
      <c r="X54" s="2710"/>
      <c r="Y54" s="2710"/>
      <c r="Z54" s="2710"/>
      <c r="AA54" s="2710"/>
      <c r="AB54" s="2710"/>
      <c r="AC54" s="2710"/>
    </row>
    <row r="55" spans="1:29" ht="27" customHeight="1">
      <c r="A55" s="632" t="s">
        <v>1880</v>
      </c>
      <c r="B55" s="633" t="s">
        <v>1881</v>
      </c>
      <c r="C55" s="1983" t="s">
        <v>1882</v>
      </c>
      <c r="D55" s="1984" t="s">
        <v>1883</v>
      </c>
      <c r="E55" s="634" t="s">
        <v>1884</v>
      </c>
      <c r="F55" s="890" t="s">
        <v>1885</v>
      </c>
      <c r="G55" s="3742" t="s">
        <v>1886</v>
      </c>
      <c r="H55" s="3814"/>
      <c r="I55" s="135" t="s">
        <v>1887</v>
      </c>
      <c r="J55" s="1985">
        <f>项目基本情况!F35</f>
        <v>0</v>
      </c>
      <c r="K55" s="1986" t="s">
        <v>1888</v>
      </c>
      <c r="L55" s="2708"/>
      <c r="M55" s="2707"/>
      <c r="N55" s="2707"/>
      <c r="O55" s="2707"/>
      <c r="P55" s="2707"/>
      <c r="Q55" s="2707"/>
      <c r="R55" s="2707"/>
      <c r="S55" s="2707"/>
      <c r="T55" s="2707"/>
      <c r="U55" s="2707"/>
      <c r="V55" s="2707"/>
      <c r="W55" s="2707"/>
      <c r="X55" s="2707"/>
      <c r="Y55" s="2707"/>
      <c r="Z55" s="2707"/>
      <c r="AA55" s="2707"/>
      <c r="AB55" s="2707"/>
      <c r="AC55" s="2707"/>
    </row>
    <row r="56" spans="1:29" s="640" customFormat="1">
      <c r="A56" s="636" t="s">
        <v>1889</v>
      </c>
      <c r="B56" s="637" t="e">
        <f>C48</f>
        <v>#DIV/0!</v>
      </c>
      <c r="C56" s="638">
        <v>1</v>
      </c>
      <c r="D56" s="944">
        <v>1</v>
      </c>
      <c r="E56" s="638">
        <f>'数据-汇总表'!E8+'数据-汇总表'!E9</f>
        <v>14866.55</v>
      </c>
      <c r="F56" s="886" t="e">
        <f t="shared" ref="F56:F64" si="15">ROUND(B56*E56/10000,0)</f>
        <v>#DIV/0!</v>
      </c>
      <c r="G56" s="3741"/>
      <c r="H56" s="3764"/>
      <c r="I56" s="891">
        <v>1</v>
      </c>
      <c r="J56" s="894">
        <v>1</v>
      </c>
      <c r="K56" s="2710"/>
      <c r="L56" s="2764"/>
      <c r="M56" s="2764"/>
      <c r="N56" s="2764"/>
      <c r="O56" s="2764"/>
      <c r="P56" s="2764"/>
      <c r="Q56" s="2764"/>
      <c r="R56" s="2764"/>
      <c r="S56" s="2764"/>
      <c r="T56" s="2764"/>
      <c r="U56" s="2764"/>
      <c r="V56" s="2764"/>
      <c r="W56" s="2764"/>
      <c r="X56" s="2764"/>
      <c r="Y56" s="2764"/>
      <c r="Z56" s="2764"/>
      <c r="AA56" s="2764"/>
      <c r="AB56" s="2764"/>
      <c r="AC56" s="2764"/>
    </row>
    <row r="57" spans="1:29" s="640" customFormat="1">
      <c r="A57" s="641" t="s">
        <v>1890</v>
      </c>
      <c r="B57" s="218" t="e">
        <f>ROUND($C$48*C57*D57,0)</f>
        <v>#DIV/0!</v>
      </c>
      <c r="C57" s="171">
        <f t="shared" ref="C57:C64" si="16">IF($C$55="北京市系数",I57,J57)</f>
        <v>0.7</v>
      </c>
      <c r="D57" s="945">
        <v>0.25</v>
      </c>
      <c r="E57" s="642"/>
      <c r="F57" s="886" t="e">
        <f t="shared" si="15"/>
        <v>#DIV/0!</v>
      </c>
      <c r="G57" s="2988" t="s">
        <v>1891</v>
      </c>
      <c r="H57" s="887" t="str">
        <f>项目基本情况!B37</f>
        <v>二级</v>
      </c>
      <c r="I57" s="891">
        <f>SUMIF(修正!A57:A68,H57,修正!B57:B68)</f>
        <v>0.7</v>
      </c>
      <c r="J57" s="895"/>
      <c r="K57" s="2707"/>
      <c r="L57" s="2764"/>
      <c r="M57" s="2764"/>
      <c r="N57" s="2764"/>
      <c r="O57" s="2764"/>
      <c r="P57" s="2764"/>
      <c r="Q57" s="2764"/>
      <c r="R57" s="2764"/>
      <c r="S57" s="2764"/>
      <c r="T57" s="2764"/>
      <c r="U57" s="2764"/>
      <c r="V57" s="2764"/>
      <c r="W57" s="2764"/>
      <c r="X57" s="2764"/>
      <c r="Y57" s="2764"/>
      <c r="Z57" s="2764"/>
      <c r="AA57" s="2764"/>
      <c r="AB57" s="2764"/>
      <c r="AC57" s="2764"/>
    </row>
    <row r="58" spans="1:29" s="640" customFormat="1">
      <c r="A58" s="641" t="s">
        <v>1892</v>
      </c>
      <c r="B58" s="218" t="e">
        <f t="shared" ref="B58:B64" si="17">ROUND($C$48*C58*D58,0)</f>
        <v>#DIV/0!</v>
      </c>
      <c r="C58" s="171">
        <f t="shared" si="16"/>
        <v>0.4</v>
      </c>
      <c r="D58" s="945">
        <v>0.25</v>
      </c>
      <c r="E58" s="642"/>
      <c r="F58" s="886" t="e">
        <f t="shared" si="15"/>
        <v>#DIV/0!</v>
      </c>
      <c r="G58" s="2989"/>
      <c r="H58" s="887" t="str">
        <f>项目基本情况!B37</f>
        <v>二级</v>
      </c>
      <c r="I58" s="891">
        <f>SUMIF(修正!A57:A68,H58,修正!C57:C68)</f>
        <v>0.4</v>
      </c>
      <c r="J58" s="895"/>
      <c r="K58" s="2710"/>
      <c r="L58" s="2764"/>
      <c r="M58" s="2764"/>
      <c r="N58" s="2764"/>
      <c r="O58" s="2764"/>
      <c r="P58" s="2764"/>
      <c r="Q58" s="2764"/>
      <c r="R58" s="2764"/>
      <c r="S58" s="2764"/>
      <c r="T58" s="2764"/>
      <c r="U58" s="2764"/>
      <c r="V58" s="2764"/>
      <c r="W58" s="2764"/>
      <c r="X58" s="2764"/>
      <c r="Y58" s="2764"/>
      <c r="Z58" s="2764"/>
      <c r="AA58" s="2764"/>
      <c r="AB58" s="2764"/>
      <c r="AC58" s="2764"/>
    </row>
    <row r="59" spans="1:29" s="640" customFormat="1">
      <c r="A59" s="641" t="s">
        <v>1893</v>
      </c>
      <c r="B59" s="218" t="e">
        <f t="shared" si="17"/>
        <v>#DIV/0!</v>
      </c>
      <c r="C59" s="171">
        <f t="shared" si="16"/>
        <v>0.3</v>
      </c>
      <c r="D59" s="945">
        <v>0.25</v>
      </c>
      <c r="E59" s="642"/>
      <c r="F59" s="886" t="e">
        <f t="shared" si="15"/>
        <v>#DIV/0!</v>
      </c>
      <c r="G59" s="2989"/>
      <c r="H59" s="887" t="str">
        <f>项目基本情况!B37</f>
        <v>二级</v>
      </c>
      <c r="I59" s="891">
        <f>SUMIF(修正!A57:A68,H59,修正!D57:D68)</f>
        <v>0.3</v>
      </c>
      <c r="J59" s="895"/>
      <c r="K59" s="2707"/>
      <c r="L59" s="2764"/>
      <c r="M59" s="2764"/>
      <c r="N59" s="2764"/>
      <c r="O59" s="2764"/>
      <c r="P59" s="2764"/>
      <c r="Q59" s="2764"/>
      <c r="R59" s="2764"/>
      <c r="S59" s="2764"/>
      <c r="T59" s="2764"/>
      <c r="U59" s="2764"/>
      <c r="V59" s="2764"/>
      <c r="W59" s="2764"/>
      <c r="X59" s="2764"/>
      <c r="Y59" s="2764"/>
      <c r="Z59" s="2764"/>
      <c r="AA59" s="2764"/>
      <c r="AB59" s="2764"/>
      <c r="AC59" s="2764"/>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07"/>
      <c r="L60" s="2764"/>
      <c r="M60" s="2764"/>
      <c r="N60" s="2764"/>
      <c r="O60" s="2764"/>
      <c r="P60" s="2764"/>
      <c r="Q60" s="2764"/>
      <c r="R60" s="2764"/>
      <c r="S60" s="2764"/>
      <c r="T60" s="2764"/>
      <c r="U60" s="2764"/>
      <c r="V60" s="2764"/>
      <c r="W60" s="2764"/>
      <c r="X60" s="2764"/>
      <c r="Y60" s="2764"/>
      <c r="Z60" s="2764"/>
      <c r="AA60" s="2764"/>
      <c r="AB60" s="2764"/>
      <c r="AC60" s="2764"/>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10"/>
      <c r="L61" s="2764"/>
      <c r="M61" s="2764"/>
      <c r="N61" s="2764"/>
      <c r="O61" s="2764"/>
      <c r="P61" s="2764"/>
      <c r="Q61" s="2764"/>
      <c r="R61" s="2764"/>
      <c r="S61" s="2764"/>
      <c r="T61" s="2764"/>
      <c r="U61" s="2764"/>
      <c r="V61" s="2764"/>
      <c r="W61" s="2764"/>
      <c r="X61" s="2764"/>
      <c r="Y61" s="2764"/>
      <c r="Z61" s="2764"/>
      <c r="AA61" s="2764"/>
      <c r="AB61" s="2764"/>
      <c r="AC61" s="2764"/>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07"/>
      <c r="L62" s="2764"/>
      <c r="M62" s="2764"/>
      <c r="N62" s="2764"/>
      <c r="O62" s="2764"/>
      <c r="P62" s="2764"/>
      <c r="Q62" s="2764"/>
      <c r="R62" s="2764"/>
      <c r="S62" s="2764"/>
      <c r="T62" s="2764"/>
      <c r="U62" s="2764"/>
      <c r="V62" s="2764"/>
      <c r="W62" s="2764"/>
      <c r="X62" s="2764"/>
      <c r="Y62" s="2764"/>
      <c r="Z62" s="2764"/>
      <c r="AA62" s="2764"/>
      <c r="AB62" s="2764"/>
      <c r="AC62" s="2764"/>
    </row>
    <row r="63" spans="1:29" s="640" customFormat="1">
      <c r="A63" s="641" t="s">
        <v>1900</v>
      </c>
      <c r="B63" s="218" t="e">
        <f t="shared" si="17"/>
        <v>#DIV/0!</v>
      </c>
      <c r="C63" s="171">
        <f t="shared" si="16"/>
        <v>0.2</v>
      </c>
      <c r="D63" s="945">
        <v>0.25</v>
      </c>
      <c r="E63" s="217">
        <f>'数据-汇总表'!E14</f>
        <v>8609.76</v>
      </c>
      <c r="F63" s="886" t="e">
        <f t="shared" si="15"/>
        <v>#DIV/0!</v>
      </c>
      <c r="G63" s="1987" t="s">
        <v>1891</v>
      </c>
      <c r="H63" s="887" t="str">
        <f>项目基本情况!B37</f>
        <v>二级</v>
      </c>
      <c r="I63" s="891">
        <f>SUMIF(修正!A57:A68,H63,修正!G57:G68)</f>
        <v>0.2</v>
      </c>
      <c r="J63" s="895"/>
      <c r="K63" s="2710"/>
      <c r="L63" s="2764"/>
      <c r="M63" s="2764"/>
      <c r="N63" s="2764"/>
      <c r="O63" s="2764"/>
      <c r="P63" s="2764"/>
      <c r="Q63" s="2764"/>
      <c r="R63" s="2764"/>
      <c r="S63" s="2764"/>
      <c r="T63" s="2764"/>
      <c r="U63" s="2764"/>
      <c r="V63" s="2764"/>
      <c r="W63" s="2764"/>
      <c r="X63" s="2764"/>
      <c r="Y63" s="2764"/>
      <c r="Z63" s="2764"/>
      <c r="AA63" s="2764"/>
      <c r="AB63" s="2764"/>
      <c r="AC63" s="2764"/>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07"/>
      <c r="L64" s="2764"/>
      <c r="M64" s="2764"/>
      <c r="N64" s="2764"/>
      <c r="O64" s="2764"/>
      <c r="P64" s="2764"/>
      <c r="Q64" s="2764"/>
      <c r="R64" s="2764"/>
      <c r="S64" s="2764"/>
      <c r="T64" s="2764"/>
      <c r="U64" s="2764"/>
      <c r="V64" s="2764"/>
      <c r="W64" s="2764"/>
      <c r="X64" s="2764"/>
      <c r="Y64" s="2764"/>
      <c r="Z64" s="2764"/>
      <c r="AA64" s="2764"/>
      <c r="AB64" s="2764"/>
      <c r="AC64" s="2764"/>
    </row>
    <row r="65" spans="1:29" s="640" customFormat="1" ht="13.5" thickBot="1">
      <c r="A65" s="643" t="s">
        <v>1902</v>
      </c>
      <c r="B65" s="644" t="s">
        <v>22</v>
      </c>
      <c r="C65" s="644" t="s">
        <v>23</v>
      </c>
      <c r="D65" s="644" t="s">
        <v>392</v>
      </c>
      <c r="E65" s="644">
        <f>IF(B46="楼面地价",SUM(E56:E64),'数据-汇总表'!D3)</f>
        <v>23476.309999999998</v>
      </c>
      <c r="F65" s="645" t="e">
        <f>IF(B46="楼面地价",SUM(F56:F64),ROUND(C48*E65/10000,0))</f>
        <v>#DIV/0!</v>
      </c>
      <c r="G65" s="717"/>
      <c r="H65" s="717"/>
      <c r="I65" s="717"/>
      <c r="J65" s="717"/>
      <c r="K65" s="2765"/>
      <c r="L65" s="2764"/>
      <c r="M65" s="2764"/>
      <c r="N65" s="2764"/>
      <c r="O65" s="2764"/>
      <c r="P65" s="2764"/>
      <c r="Q65" s="2764"/>
      <c r="R65" s="2764"/>
      <c r="S65" s="2764"/>
      <c r="T65" s="2764"/>
      <c r="U65" s="2764"/>
      <c r="V65" s="2764"/>
      <c r="W65" s="2764"/>
      <c r="X65" s="2764"/>
      <c r="Y65" s="2764"/>
      <c r="Z65" s="2764"/>
      <c r="AA65" s="2764"/>
      <c r="AB65" s="2764"/>
      <c r="AC65" s="2764"/>
    </row>
    <row r="66" spans="1:29">
      <c r="A66" s="690"/>
      <c r="B66" s="692"/>
      <c r="C66" s="693"/>
      <c r="D66" s="690"/>
      <c r="E66" s="690"/>
      <c r="F66" s="690"/>
      <c r="G66" s="690"/>
      <c r="H66" s="690"/>
      <c r="I66" s="690"/>
      <c r="J66" s="927"/>
      <c r="K66" s="888"/>
      <c r="L66" s="889"/>
      <c r="M66" s="927"/>
      <c r="N66" s="927"/>
      <c r="O66" s="927"/>
      <c r="P66" s="2707"/>
      <c r="Q66" s="2707"/>
      <c r="R66" s="2707"/>
      <c r="S66" s="2707"/>
      <c r="T66" s="2707"/>
      <c r="U66" s="2707"/>
      <c r="V66" s="2707"/>
      <c r="W66" s="2707"/>
      <c r="X66" s="2707"/>
      <c r="Y66" s="2707"/>
      <c r="Z66" s="2707"/>
      <c r="AA66" s="2707"/>
      <c r="AB66" s="2707"/>
      <c r="AC66" s="2707"/>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07"/>
      <c r="Q67" s="2707"/>
      <c r="R67" s="2707"/>
      <c r="S67" s="2707"/>
      <c r="T67" s="2707"/>
      <c r="U67" s="2707"/>
      <c r="V67" s="2707"/>
      <c r="W67" s="2707"/>
      <c r="X67" s="2707"/>
      <c r="Y67" s="2707"/>
      <c r="Z67" s="2707"/>
      <c r="AA67" s="2707"/>
      <c r="AB67" s="2707"/>
      <c r="AC67" s="2707"/>
    </row>
    <row r="68" spans="1:29" ht="21.75" thickBot="1">
      <c r="A68" s="694" t="s">
        <v>1797</v>
      </c>
      <c r="B68" s="690"/>
      <c r="C68" s="695"/>
      <c r="D68" s="695"/>
      <c r="E68" s="695"/>
      <c r="F68" s="696"/>
      <c r="G68" s="696"/>
      <c r="H68" s="695"/>
      <c r="I68" s="695"/>
      <c r="J68" s="940"/>
      <c r="K68" s="941"/>
      <c r="L68" s="942"/>
      <c r="M68" s="940"/>
      <c r="N68" s="2751"/>
      <c r="O68" s="2751"/>
      <c r="P68" s="2751"/>
      <c r="Q68" s="2721"/>
      <c r="R68" s="2707"/>
      <c r="S68" s="2707"/>
      <c r="T68" s="2707"/>
      <c r="U68" s="2707"/>
      <c r="V68" s="2707"/>
      <c r="W68" s="2707"/>
      <c r="X68" s="2707"/>
      <c r="Y68" s="2707"/>
      <c r="Z68" s="2707"/>
      <c r="AA68" s="2707"/>
      <c r="AB68" s="2707"/>
      <c r="AC68" s="2707"/>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58"/>
      <c r="Q69" s="2723"/>
      <c r="R69" s="2723"/>
      <c r="S69" s="2723"/>
      <c r="T69" s="2723"/>
      <c r="U69" s="2723"/>
      <c r="V69" s="2723"/>
      <c r="W69" s="2723"/>
      <c r="X69" s="2723"/>
      <c r="Y69" s="2723"/>
      <c r="Z69" s="2723"/>
      <c r="AA69" s="2723"/>
      <c r="AB69" s="2723"/>
      <c r="AC69" s="2723"/>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21"/>
      <c r="Q70" s="2643"/>
      <c r="R70" s="2643"/>
      <c r="S70" s="2643"/>
      <c r="T70" s="2643"/>
      <c r="U70" s="2643"/>
      <c r="V70" s="2643"/>
      <c r="W70" s="2643"/>
      <c r="X70" s="2643"/>
      <c r="Y70" s="2643"/>
      <c r="Z70" s="2643"/>
      <c r="AA70" s="2643"/>
      <c r="AB70" s="2643"/>
      <c r="AC70" s="2643"/>
    </row>
    <row r="71" spans="1:29" s="108" customFormat="1" ht="15.75" thickBot="1">
      <c r="A71" s="464" t="s">
        <v>1715</v>
      </c>
      <c r="B71" s="465"/>
      <c r="C71" s="466"/>
      <c r="D71" s="467"/>
      <c r="E71" s="467"/>
      <c r="F71" s="467"/>
      <c r="G71" s="467"/>
      <c r="H71" s="467"/>
      <c r="I71" s="467"/>
      <c r="J71" s="467"/>
      <c r="K71" s="467"/>
      <c r="L71" s="467"/>
      <c r="M71" s="468"/>
      <c r="N71" s="467"/>
      <c r="O71" s="943"/>
      <c r="P71" s="2721"/>
      <c r="Q71" s="2721"/>
      <c r="R71" s="2643"/>
      <c r="S71" s="2643"/>
      <c r="T71" s="2643"/>
      <c r="U71" s="2643"/>
      <c r="V71" s="2643"/>
      <c r="W71" s="2643"/>
      <c r="X71" s="2643"/>
      <c r="Y71" s="2643"/>
      <c r="Z71" s="2643"/>
      <c r="AA71" s="2643"/>
      <c r="AB71" s="2643"/>
      <c r="AC71" s="2643"/>
    </row>
    <row r="72" spans="1:29" s="108" customFormat="1" ht="15">
      <c r="A72" s="470" t="s">
        <v>1680</v>
      </c>
      <c r="B72" s="459"/>
      <c r="C72" s="471" t="s">
        <v>1775</v>
      </c>
      <c r="D72" s="472"/>
      <c r="E72" s="472"/>
      <c r="F72" s="472"/>
      <c r="G72" s="472"/>
      <c r="H72" s="472"/>
      <c r="I72" s="472"/>
      <c r="J72" s="472"/>
      <c r="K72" s="472"/>
      <c r="L72" s="473"/>
      <c r="M72" s="474"/>
      <c r="N72" s="2734"/>
      <c r="O72" s="2734"/>
      <c r="P72" s="2759"/>
      <c r="Q72" s="2721"/>
      <c r="R72" s="2643"/>
      <c r="S72" s="2643"/>
      <c r="T72" s="2643"/>
      <c r="U72" s="2643"/>
      <c r="V72" s="2643"/>
      <c r="W72" s="2643"/>
      <c r="X72" s="2643"/>
      <c r="Y72" s="2643"/>
      <c r="Z72" s="2643"/>
      <c r="AA72" s="2643"/>
      <c r="AB72" s="2643"/>
      <c r="AC72" s="2643"/>
    </row>
    <row r="73" spans="1:29" s="108" customFormat="1" ht="15.75" thickBot="1">
      <c r="A73" s="470"/>
      <c r="B73" s="459"/>
      <c r="C73" s="587">
        <v>100</v>
      </c>
      <c r="D73" s="461"/>
      <c r="E73" s="461"/>
      <c r="F73" s="461"/>
      <c r="G73" s="461"/>
      <c r="H73" s="461"/>
      <c r="I73" s="461"/>
      <c r="J73" s="461"/>
      <c r="K73" s="461"/>
      <c r="L73" s="461"/>
      <c r="M73" s="463"/>
      <c r="N73" s="2734"/>
      <c r="O73" s="2734"/>
      <c r="P73" s="2721"/>
      <c r="Q73" s="2721"/>
      <c r="R73" s="2643"/>
      <c r="S73" s="2643"/>
      <c r="T73" s="2643"/>
      <c r="U73" s="2643"/>
      <c r="V73" s="2643"/>
      <c r="W73" s="2643"/>
      <c r="X73" s="2643"/>
      <c r="Y73" s="2643"/>
      <c r="Z73" s="2643"/>
      <c r="AA73" s="2643"/>
      <c r="AB73" s="2643"/>
      <c r="AC73" s="2643"/>
    </row>
    <row r="74" spans="1:29">
      <c r="A74" s="476" t="s">
        <v>1718</v>
      </c>
      <c r="B74" s="477" t="s">
        <v>1684</v>
      </c>
      <c r="C74" s="479"/>
      <c r="D74" s="479"/>
      <c r="E74" s="479"/>
      <c r="F74" s="479"/>
      <c r="G74" s="479"/>
      <c r="H74" s="479"/>
      <c r="I74" s="479"/>
      <c r="J74" s="479"/>
      <c r="K74" s="480"/>
      <c r="L74" s="481"/>
      <c r="M74" s="482"/>
      <c r="N74" s="2735"/>
      <c r="O74" s="2735"/>
      <c r="P74" s="2760"/>
      <c r="Q74" s="2721"/>
      <c r="R74" s="2707"/>
      <c r="S74" s="2707"/>
      <c r="T74" s="2707"/>
      <c r="U74" s="2707"/>
      <c r="V74" s="2707"/>
      <c r="W74" s="2707"/>
      <c r="X74" s="2707"/>
      <c r="Y74" s="2707"/>
      <c r="Z74" s="2707"/>
      <c r="AA74" s="2707"/>
      <c r="AB74" s="2707"/>
      <c r="AC74" s="2707"/>
    </row>
    <row r="75" spans="1:29" ht="15.75" thickBot="1">
      <c r="A75" s="483"/>
      <c r="B75" s="484"/>
      <c r="C75" s="485"/>
      <c r="D75" s="485"/>
      <c r="E75" s="485"/>
      <c r="F75" s="485"/>
      <c r="G75" s="485"/>
      <c r="H75" s="485"/>
      <c r="I75" s="485"/>
      <c r="J75" s="485"/>
      <c r="K75" s="485"/>
      <c r="L75" s="485"/>
      <c r="M75" s="486"/>
      <c r="N75" s="2736"/>
      <c r="O75" s="2736"/>
      <c r="P75" s="2760"/>
      <c r="Q75" s="2721"/>
      <c r="R75" s="2707"/>
      <c r="S75" s="2707"/>
      <c r="T75" s="2707"/>
      <c r="U75" s="2707"/>
      <c r="V75" s="2707"/>
      <c r="W75" s="2707"/>
      <c r="X75" s="2707"/>
      <c r="Y75" s="2707"/>
      <c r="Z75" s="2707"/>
      <c r="AA75" s="2707"/>
      <c r="AB75" s="2707"/>
      <c r="AC75" s="2707"/>
    </row>
    <row r="76" spans="1:29" ht="27.75" thickTop="1">
      <c r="A76" s="483"/>
      <c r="B76" s="487" t="s">
        <v>1687</v>
      </c>
      <c r="C76" s="488"/>
      <c r="D76" s="488"/>
      <c r="E76" s="488"/>
      <c r="F76" s="488"/>
      <c r="G76" s="488"/>
      <c r="H76" s="488"/>
      <c r="I76" s="488"/>
      <c r="J76" s="488"/>
      <c r="K76" s="489"/>
      <c r="L76" s="490"/>
      <c r="M76" s="491"/>
      <c r="N76" s="2735"/>
      <c r="O76" s="2735"/>
      <c r="P76" s="2760"/>
      <c r="Q76" s="2721"/>
      <c r="R76" s="2707"/>
      <c r="S76" s="2707"/>
      <c r="T76" s="2707"/>
      <c r="U76" s="2707"/>
      <c r="V76" s="2707"/>
      <c r="W76" s="2707"/>
      <c r="X76" s="2707"/>
      <c r="Y76" s="2707"/>
      <c r="Z76" s="2707"/>
      <c r="AA76" s="2707"/>
      <c r="AB76" s="2707"/>
      <c r="AC76" s="2707"/>
    </row>
    <row r="77" spans="1:29" ht="15.75" thickBot="1">
      <c r="A77" s="483"/>
      <c r="B77" s="492"/>
      <c r="C77" s="493"/>
      <c r="D77" s="493"/>
      <c r="E77" s="493"/>
      <c r="F77" s="493"/>
      <c r="G77" s="493"/>
      <c r="H77" s="493"/>
      <c r="I77" s="493"/>
      <c r="J77" s="493"/>
      <c r="K77" s="493"/>
      <c r="L77" s="493"/>
      <c r="M77" s="494"/>
      <c r="N77" s="2736"/>
      <c r="O77" s="2736"/>
      <c r="P77" s="2760"/>
      <c r="Q77" s="2721"/>
      <c r="R77" s="2707"/>
      <c r="S77" s="2707"/>
      <c r="T77" s="2707"/>
      <c r="U77" s="2707"/>
      <c r="V77" s="2707"/>
      <c r="W77" s="2707"/>
      <c r="X77" s="2707"/>
      <c r="Y77" s="2707"/>
      <c r="Z77" s="2707"/>
      <c r="AA77" s="2707"/>
      <c r="AB77" s="2707"/>
      <c r="AC77" s="2707"/>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6"/>
      <c r="O78" s="2736"/>
      <c r="P78" s="2760"/>
      <c r="Q78" s="2721"/>
      <c r="R78" s="2707"/>
      <c r="S78" s="2707"/>
      <c r="T78" s="2707"/>
      <c r="U78" s="2707"/>
      <c r="V78" s="2707"/>
      <c r="W78" s="2707"/>
      <c r="X78" s="2707"/>
      <c r="Y78" s="2707"/>
      <c r="Z78" s="2707"/>
      <c r="AA78" s="2707"/>
      <c r="AB78" s="2707"/>
      <c r="AC78" s="2707"/>
    </row>
    <row r="79" spans="1:29" ht="15">
      <c r="A79" s="483"/>
      <c r="B79" s="497"/>
      <c r="C79" s="498"/>
      <c r="D79" s="498"/>
      <c r="E79" s="498"/>
      <c r="F79" s="498"/>
      <c r="G79" s="498"/>
      <c r="H79" s="498"/>
      <c r="I79" s="498"/>
      <c r="J79" s="498"/>
      <c r="K79" s="499"/>
      <c r="L79" s="500"/>
      <c r="M79" s="501"/>
      <c r="N79" s="2735"/>
      <c r="O79" s="2735"/>
      <c r="P79" s="2760"/>
      <c r="Q79" s="2721"/>
      <c r="R79" s="2707"/>
      <c r="S79" s="2707"/>
      <c r="T79" s="2707"/>
      <c r="U79" s="2707"/>
      <c r="V79" s="2707"/>
      <c r="W79" s="2707"/>
      <c r="X79" s="2707"/>
      <c r="Y79" s="2707"/>
      <c r="Z79" s="2707"/>
      <c r="AA79" s="2707"/>
      <c r="AB79" s="2707"/>
      <c r="AC79" s="2707"/>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6"/>
      <c r="O80" s="2736"/>
      <c r="P80" s="2760"/>
      <c r="Q80" s="2721"/>
      <c r="R80" s="2707"/>
      <c r="S80" s="2707"/>
      <c r="T80" s="2707"/>
      <c r="U80" s="2707"/>
      <c r="V80" s="2707"/>
      <c r="W80" s="2707"/>
      <c r="X80" s="2707"/>
      <c r="Y80" s="2707"/>
      <c r="Z80" s="2707"/>
      <c r="AA80" s="2707"/>
      <c r="AB80" s="2707"/>
      <c r="AC80" s="2707"/>
    </row>
    <row r="81" spans="1:29" s="422" customFormat="1" ht="15.75" thickTop="1">
      <c r="A81" s="502"/>
      <c r="B81" s="487" t="str">
        <f>B12</f>
        <v>配建</v>
      </c>
      <c r="C81" s="503"/>
      <c r="D81" s="503"/>
      <c r="E81" s="503"/>
      <c r="F81" s="503"/>
      <c r="G81" s="503"/>
      <c r="H81" s="504"/>
      <c r="I81" s="504"/>
      <c r="J81" s="504"/>
      <c r="K81" s="504"/>
      <c r="L81" s="505"/>
      <c r="M81" s="506"/>
      <c r="N81" s="2737"/>
      <c r="O81" s="2737"/>
      <c r="P81" s="2761"/>
      <c r="Q81" s="2728"/>
      <c r="R81" s="2729"/>
      <c r="S81" s="2729"/>
      <c r="T81" s="2729"/>
      <c r="U81" s="2729"/>
      <c r="V81" s="2729"/>
      <c r="W81" s="2729"/>
      <c r="X81" s="2729"/>
      <c r="Y81" s="2729"/>
      <c r="Z81" s="2729"/>
      <c r="AA81" s="2729"/>
      <c r="AB81" s="2729"/>
      <c r="AC81" s="2729"/>
    </row>
    <row r="82" spans="1:29" s="422" customFormat="1" ht="15.75" thickBot="1">
      <c r="A82" s="502"/>
      <c r="B82" s="492"/>
      <c r="C82" s="509"/>
      <c r="D82" s="485"/>
      <c r="E82" s="485"/>
      <c r="F82" s="485"/>
      <c r="G82" s="485"/>
      <c r="H82" s="485"/>
      <c r="I82" s="485"/>
      <c r="J82" s="485"/>
      <c r="K82" s="485"/>
      <c r="L82" s="485"/>
      <c r="M82" s="486"/>
      <c r="N82" s="2736"/>
      <c r="O82" s="2736"/>
      <c r="P82" s="2761"/>
      <c r="Q82" s="2728"/>
      <c r="R82" s="2729"/>
      <c r="S82" s="2729"/>
      <c r="T82" s="2729"/>
      <c r="U82" s="2729"/>
      <c r="V82" s="2729"/>
      <c r="W82" s="2729"/>
      <c r="X82" s="2729"/>
      <c r="Y82" s="2729"/>
      <c r="Z82" s="2729"/>
      <c r="AA82" s="2729"/>
      <c r="AB82" s="2729"/>
      <c r="AC82" s="2729"/>
    </row>
    <row r="83" spans="1:29" s="422" customFormat="1" ht="15.75" thickTop="1">
      <c r="A83" s="502"/>
      <c r="B83" s="487">
        <f>B13</f>
        <v>111</v>
      </c>
      <c r="C83" s="503"/>
      <c r="D83" s="503"/>
      <c r="E83" s="503"/>
      <c r="F83" s="503"/>
      <c r="G83" s="503"/>
      <c r="H83" s="504"/>
      <c r="I83" s="504"/>
      <c r="J83" s="504"/>
      <c r="K83" s="504"/>
      <c r="L83" s="505"/>
      <c r="M83" s="506"/>
      <c r="N83" s="2737"/>
      <c r="O83" s="2737"/>
      <c r="P83" s="2705"/>
      <c r="Q83" s="2731"/>
      <c r="R83" s="2729"/>
      <c r="S83" s="2729"/>
      <c r="T83" s="2729"/>
      <c r="U83" s="2729"/>
      <c r="V83" s="2729"/>
      <c r="W83" s="2729"/>
      <c r="X83" s="2729"/>
      <c r="Y83" s="2729"/>
      <c r="Z83" s="2729"/>
      <c r="AA83" s="2729"/>
      <c r="AB83" s="2729"/>
      <c r="AC83" s="2729"/>
    </row>
    <row r="84" spans="1:29" s="422" customFormat="1" ht="15.75" thickBot="1">
      <c r="A84" s="502"/>
      <c r="B84" s="492"/>
      <c r="C84" s="509"/>
      <c r="D84" s="509"/>
      <c r="E84" s="509"/>
      <c r="F84" s="509"/>
      <c r="G84" s="509"/>
      <c r="H84" s="511"/>
      <c r="I84" s="511"/>
      <c r="J84" s="511"/>
      <c r="K84" s="511"/>
      <c r="L84" s="511"/>
      <c r="M84" s="512"/>
      <c r="N84" s="2737"/>
      <c r="O84" s="2737"/>
      <c r="P84" s="2761"/>
      <c r="Q84" s="2728"/>
      <c r="R84" s="2729"/>
      <c r="S84" s="2729"/>
      <c r="T84" s="2729"/>
      <c r="U84" s="2729"/>
      <c r="V84" s="2729"/>
      <c r="W84" s="2729"/>
      <c r="X84" s="2729"/>
      <c r="Y84" s="2729"/>
      <c r="Z84" s="2729"/>
      <c r="AA84" s="2729"/>
      <c r="AB84" s="2729"/>
      <c r="AC84" s="2729"/>
    </row>
    <row r="85" spans="1:29" s="422" customFormat="1" ht="15.75" thickTop="1">
      <c r="A85" s="502"/>
      <c r="B85" s="495">
        <f>B14</f>
        <v>111</v>
      </c>
      <c r="C85" s="472"/>
      <c r="D85" s="472"/>
      <c r="E85" s="472"/>
      <c r="F85" s="472"/>
      <c r="G85" s="472"/>
      <c r="H85" s="513"/>
      <c r="I85" s="513"/>
      <c r="J85" s="513"/>
      <c r="K85" s="513"/>
      <c r="L85" s="514"/>
      <c r="M85" s="515"/>
      <c r="N85" s="2737"/>
      <c r="O85" s="2737"/>
      <c r="P85" s="2766"/>
      <c r="Q85" s="2728"/>
      <c r="R85" s="2729"/>
      <c r="S85" s="2729"/>
      <c r="T85" s="2729"/>
      <c r="U85" s="2729"/>
      <c r="V85" s="2729"/>
      <c r="W85" s="2729"/>
      <c r="X85" s="2729"/>
      <c r="Y85" s="2729"/>
      <c r="Z85" s="2729"/>
      <c r="AA85" s="2729"/>
      <c r="AB85" s="2729"/>
      <c r="AC85" s="2729"/>
    </row>
    <row r="86" spans="1:29" s="422" customFormat="1" ht="15.75" thickBot="1">
      <c r="A86" s="517"/>
      <c r="B86" s="518"/>
      <c r="C86" s="519"/>
      <c r="D86" s="519"/>
      <c r="E86" s="519"/>
      <c r="F86" s="519"/>
      <c r="G86" s="519"/>
      <c r="H86" s="520"/>
      <c r="I86" s="520"/>
      <c r="J86" s="520"/>
      <c r="K86" s="520"/>
      <c r="L86" s="520"/>
      <c r="M86" s="521"/>
      <c r="N86" s="2737"/>
      <c r="O86" s="2737"/>
      <c r="P86" s="2761"/>
      <c r="Q86" s="2728"/>
      <c r="R86" s="2729"/>
      <c r="S86" s="2729"/>
      <c r="T86" s="2729"/>
      <c r="U86" s="2729"/>
      <c r="V86" s="2729"/>
      <c r="W86" s="2729"/>
      <c r="X86" s="2729"/>
      <c r="Y86" s="2729"/>
      <c r="Z86" s="2729"/>
      <c r="AA86" s="2729"/>
      <c r="AB86" s="2729"/>
      <c r="AC86" s="2729"/>
    </row>
    <row r="87" spans="1:29">
      <c r="A87" s="476" t="s">
        <v>1689</v>
      </c>
      <c r="B87" s="477" t="s">
        <v>1719</v>
      </c>
      <c r="C87" s="522" t="s">
        <v>1720</v>
      </c>
      <c r="D87" s="522" t="s">
        <v>1721</v>
      </c>
      <c r="E87" s="522" t="s">
        <v>1722</v>
      </c>
      <c r="F87" s="522" t="s">
        <v>1723</v>
      </c>
      <c r="G87" s="522" t="s">
        <v>1724</v>
      </c>
      <c r="H87" s="478"/>
      <c r="I87" s="478"/>
      <c r="J87" s="478"/>
      <c r="K87" s="523"/>
      <c r="L87" s="524"/>
      <c r="M87" s="525"/>
      <c r="N87" s="2735"/>
      <c r="O87" s="2735"/>
      <c r="P87" s="2762"/>
      <c r="Q87" s="2721"/>
      <c r="R87" s="2707"/>
      <c r="S87" s="2707"/>
      <c r="T87" s="2707"/>
      <c r="U87" s="2707"/>
      <c r="V87" s="2707"/>
      <c r="W87" s="2707"/>
      <c r="X87" s="2707"/>
      <c r="Y87" s="2707"/>
      <c r="Z87" s="2707"/>
      <c r="AA87" s="2707"/>
      <c r="AB87" s="2707"/>
      <c r="AC87" s="270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6"/>
      <c r="O88" s="2736"/>
      <c r="P88" s="2760"/>
      <c r="Q88" s="2721"/>
      <c r="R88" s="2707"/>
      <c r="S88" s="2707"/>
      <c r="T88" s="2707"/>
      <c r="U88" s="2707"/>
      <c r="V88" s="2707"/>
      <c r="W88" s="2707"/>
      <c r="X88" s="2707"/>
      <c r="Y88" s="2707"/>
      <c r="Z88" s="2707"/>
      <c r="AA88" s="2707"/>
      <c r="AB88" s="2707"/>
      <c r="AC88" s="2707"/>
    </row>
    <row r="89" spans="1:29" ht="15.75" thickTop="1">
      <c r="A89" s="483"/>
      <c r="B89" s="487" t="s">
        <v>1905</v>
      </c>
      <c r="C89" s="527" t="s">
        <v>1720</v>
      </c>
      <c r="D89" s="527" t="s">
        <v>1721</v>
      </c>
      <c r="E89" s="527" t="s">
        <v>1722</v>
      </c>
      <c r="F89" s="527" t="s">
        <v>1723</v>
      </c>
      <c r="G89" s="527" t="s">
        <v>1724</v>
      </c>
      <c r="H89" s="488"/>
      <c r="I89" s="488"/>
      <c r="J89" s="488"/>
      <c r="K89" s="489"/>
      <c r="L89" s="490"/>
      <c r="M89" s="491"/>
      <c r="N89" s="2735"/>
      <c r="O89" s="2735"/>
      <c r="P89" s="2760"/>
      <c r="Q89" s="2721"/>
      <c r="R89" s="2707"/>
      <c r="S89" s="2707"/>
      <c r="T89" s="2707"/>
      <c r="U89" s="2707"/>
      <c r="V89" s="2707"/>
      <c r="W89" s="2707"/>
      <c r="X89" s="2707"/>
      <c r="Y89" s="2707"/>
      <c r="Z89" s="2707"/>
      <c r="AA89" s="2707"/>
      <c r="AB89" s="2707"/>
      <c r="AC89" s="270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6"/>
      <c r="O90" s="2736"/>
      <c r="P90" s="2760"/>
      <c r="Q90" s="2721"/>
      <c r="R90" s="2707"/>
      <c r="S90" s="2707"/>
      <c r="T90" s="2707"/>
      <c r="U90" s="2707"/>
      <c r="V90" s="2707"/>
      <c r="W90" s="2707"/>
      <c r="X90" s="2707"/>
      <c r="Y90" s="2707"/>
      <c r="Z90" s="2707"/>
      <c r="AA90" s="2707"/>
      <c r="AB90" s="2707"/>
      <c r="AC90" s="2707"/>
    </row>
    <row r="91" spans="1:29" ht="15.75" thickTop="1">
      <c r="A91" s="483"/>
      <c r="B91" s="487" t="s">
        <v>1820</v>
      </c>
      <c r="C91" s="527" t="s">
        <v>1720</v>
      </c>
      <c r="D91" s="527" t="s">
        <v>1721</v>
      </c>
      <c r="E91" s="527" t="s">
        <v>1722</v>
      </c>
      <c r="F91" s="527" t="s">
        <v>1723</v>
      </c>
      <c r="G91" s="527" t="s">
        <v>1724</v>
      </c>
      <c r="H91" s="488"/>
      <c r="I91" s="488"/>
      <c r="J91" s="488"/>
      <c r="K91" s="489"/>
      <c r="L91" s="490"/>
      <c r="M91" s="491"/>
      <c r="N91" s="2735"/>
      <c r="O91" s="2735"/>
      <c r="P91" s="2760"/>
      <c r="Q91" s="2721"/>
      <c r="R91" s="2707"/>
      <c r="S91" s="2707"/>
      <c r="T91" s="2707"/>
      <c r="U91" s="2707"/>
      <c r="V91" s="2707"/>
      <c r="W91" s="2707"/>
      <c r="X91" s="2707"/>
      <c r="Y91" s="2707"/>
      <c r="Z91" s="2707"/>
      <c r="AA91" s="2707"/>
      <c r="AB91" s="2707"/>
      <c r="AC91" s="2707"/>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6"/>
      <c r="O92" s="2736"/>
      <c r="P92" s="2760"/>
      <c r="Q92" s="2721"/>
      <c r="R92" s="2707"/>
      <c r="S92" s="2707"/>
      <c r="T92" s="2707"/>
      <c r="U92" s="2707"/>
      <c r="V92" s="2707"/>
      <c r="W92" s="2707"/>
      <c r="X92" s="2707"/>
      <c r="Y92" s="2707"/>
      <c r="Z92" s="2707"/>
      <c r="AA92" s="2707"/>
      <c r="AB92" s="2707"/>
      <c r="AC92" s="2707"/>
    </row>
    <row r="93" spans="1:29" ht="15.75" thickTop="1">
      <c r="A93" s="483"/>
      <c r="B93" s="487" t="s">
        <v>1725</v>
      </c>
      <c r="C93" s="527" t="s">
        <v>1720</v>
      </c>
      <c r="D93" s="527" t="s">
        <v>1721</v>
      </c>
      <c r="E93" s="527" t="s">
        <v>1722</v>
      </c>
      <c r="F93" s="527" t="s">
        <v>1723</v>
      </c>
      <c r="G93" s="527" t="s">
        <v>1724</v>
      </c>
      <c r="H93" s="488"/>
      <c r="I93" s="488"/>
      <c r="J93" s="488"/>
      <c r="K93" s="489"/>
      <c r="L93" s="490"/>
      <c r="M93" s="491"/>
      <c r="N93" s="2735"/>
      <c r="O93" s="2735"/>
      <c r="P93" s="2760"/>
      <c r="Q93" s="2721"/>
      <c r="R93" s="2707"/>
      <c r="S93" s="2707"/>
      <c r="T93" s="2707"/>
      <c r="U93" s="2707"/>
      <c r="V93" s="2707"/>
      <c r="W93" s="2707"/>
      <c r="X93" s="2707"/>
      <c r="Y93" s="2707"/>
      <c r="Z93" s="2707"/>
      <c r="AA93" s="2707"/>
      <c r="AB93" s="2707"/>
      <c r="AC93" s="2707"/>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6"/>
      <c r="O94" s="2736"/>
      <c r="P94" s="2760"/>
      <c r="Q94" s="2721"/>
      <c r="R94" s="2707"/>
      <c r="S94" s="2707"/>
      <c r="T94" s="2707"/>
      <c r="U94" s="2707"/>
      <c r="V94" s="2707"/>
      <c r="W94" s="2707"/>
      <c r="X94" s="2707"/>
      <c r="Y94" s="2707"/>
      <c r="Z94" s="2707"/>
      <c r="AA94" s="2707"/>
      <c r="AB94" s="2707"/>
      <c r="AC94" s="2707"/>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34"/>
      <c r="O95" s="2734"/>
      <c r="P95" s="2760"/>
      <c r="Q95" s="2721"/>
      <c r="R95" s="2643"/>
      <c r="S95" s="2643"/>
      <c r="T95" s="2643"/>
      <c r="U95" s="2643"/>
      <c r="V95" s="2643"/>
      <c r="W95" s="2643"/>
      <c r="X95" s="2643"/>
      <c r="Y95" s="2643"/>
      <c r="Z95" s="2643"/>
      <c r="AA95" s="2643"/>
      <c r="AB95" s="2643"/>
      <c r="AC95" s="2643"/>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6"/>
      <c r="O96" s="2736"/>
      <c r="P96" s="2760"/>
      <c r="Q96" s="2721"/>
      <c r="R96" s="2643"/>
      <c r="S96" s="2643"/>
      <c r="T96" s="2643"/>
      <c r="U96" s="2643"/>
      <c r="V96" s="2643"/>
      <c r="W96" s="2643"/>
      <c r="X96" s="2643"/>
      <c r="Y96" s="2643"/>
      <c r="Z96" s="2643"/>
      <c r="AA96" s="2643"/>
      <c r="AB96" s="2643"/>
      <c r="AC96" s="2643"/>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34"/>
      <c r="O97" s="2734"/>
      <c r="P97" s="2760"/>
      <c r="Q97" s="2721"/>
      <c r="R97" s="2643"/>
      <c r="S97" s="2643"/>
      <c r="T97" s="2643"/>
      <c r="U97" s="2643"/>
      <c r="V97" s="2643"/>
      <c r="W97" s="2643"/>
      <c r="X97" s="2643"/>
      <c r="Y97" s="2643"/>
      <c r="Z97" s="2643"/>
      <c r="AA97" s="2643"/>
      <c r="AB97" s="2643"/>
      <c r="AC97" s="2643"/>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6"/>
      <c r="O98" s="2736"/>
      <c r="P98" s="2760"/>
      <c r="Q98" s="2721"/>
      <c r="R98" s="2643"/>
      <c r="S98" s="2643"/>
      <c r="T98" s="2643"/>
      <c r="U98" s="2643"/>
      <c r="V98" s="2643"/>
      <c r="W98" s="2643"/>
      <c r="X98" s="2643"/>
      <c r="Y98" s="2643"/>
      <c r="Z98" s="2643"/>
      <c r="AA98" s="2643"/>
      <c r="AB98" s="2643"/>
      <c r="AC98" s="2643"/>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37"/>
      <c r="O99" s="2737"/>
      <c r="P99" s="2761"/>
      <c r="Q99" s="2728"/>
      <c r="R99" s="2729"/>
      <c r="S99" s="2729"/>
      <c r="T99" s="2729"/>
      <c r="U99" s="2729"/>
      <c r="V99" s="2729"/>
      <c r="W99" s="2729"/>
      <c r="X99" s="2729"/>
      <c r="Y99" s="2729"/>
      <c r="Z99" s="2729"/>
      <c r="AA99" s="2729"/>
      <c r="AB99" s="2729"/>
      <c r="AC99" s="272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7"/>
      <c r="O100" s="2737"/>
      <c r="P100" s="2761"/>
      <c r="Q100" s="2728"/>
      <c r="R100" s="2729"/>
      <c r="S100" s="2729"/>
      <c r="T100" s="2729"/>
      <c r="U100" s="2729"/>
      <c r="V100" s="2729"/>
      <c r="W100" s="2729"/>
      <c r="X100" s="2729"/>
      <c r="Y100" s="2729"/>
      <c r="Z100" s="2729"/>
      <c r="AA100" s="2729"/>
      <c r="AB100" s="2729"/>
      <c r="AC100" s="2729"/>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37"/>
      <c r="O101" s="2737"/>
      <c r="P101" s="2761"/>
      <c r="Q101" s="2728"/>
      <c r="R101" s="2729"/>
      <c r="S101" s="2729"/>
      <c r="T101" s="2729"/>
      <c r="U101" s="2729"/>
      <c r="V101" s="2729"/>
      <c r="W101" s="2729"/>
      <c r="X101" s="2729"/>
      <c r="Y101" s="2729"/>
      <c r="Z101" s="2729"/>
      <c r="AA101" s="2729"/>
      <c r="AB101" s="2729"/>
      <c r="AC101" s="272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7"/>
      <c r="O102" s="2737"/>
      <c r="P102" s="2761"/>
      <c r="Q102" s="2728"/>
      <c r="R102" s="2729"/>
      <c r="S102" s="2729"/>
      <c r="T102" s="2729"/>
      <c r="U102" s="2729"/>
      <c r="V102" s="2729"/>
      <c r="W102" s="2729"/>
      <c r="X102" s="2729"/>
      <c r="Y102" s="2729"/>
      <c r="Z102" s="2729"/>
      <c r="AA102" s="2729"/>
      <c r="AB102" s="2729"/>
      <c r="AC102" s="2729"/>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35"/>
      <c r="O103" s="2735"/>
      <c r="P103" s="2760"/>
      <c r="Q103" s="2721"/>
      <c r="R103" s="2707"/>
      <c r="S103" s="2707"/>
      <c r="T103" s="2707"/>
      <c r="U103" s="2707"/>
      <c r="V103" s="2707"/>
      <c r="W103" s="2707"/>
      <c r="X103" s="2707"/>
      <c r="Y103" s="2707"/>
      <c r="Z103" s="2707"/>
      <c r="AA103" s="2707"/>
      <c r="AB103" s="2707"/>
      <c r="AC103" s="2707"/>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6"/>
      <c r="O104" s="2736"/>
      <c r="P104" s="2760"/>
      <c r="Q104" s="2721"/>
      <c r="R104" s="2707"/>
      <c r="S104" s="2707"/>
      <c r="T104" s="2707"/>
      <c r="U104" s="2707"/>
      <c r="V104" s="2707"/>
      <c r="W104" s="2707"/>
      <c r="X104" s="2707"/>
      <c r="Y104" s="2707"/>
      <c r="Z104" s="2707"/>
      <c r="AA104" s="2707"/>
      <c r="AB104" s="2707"/>
      <c r="AC104" s="2707"/>
    </row>
    <row r="105" spans="1:29" ht="27.75" thickTop="1">
      <c r="A105" s="483"/>
      <c r="B105" s="487" t="s">
        <v>1814</v>
      </c>
      <c r="C105" s="503"/>
      <c r="D105" s="503"/>
      <c r="E105" s="503"/>
      <c r="F105" s="503"/>
      <c r="G105" s="503"/>
      <c r="H105" s="532"/>
      <c r="I105" s="532"/>
      <c r="J105" s="532"/>
      <c r="K105" s="533"/>
      <c r="L105" s="534"/>
      <c r="M105" s="535"/>
      <c r="N105" s="2735"/>
      <c r="O105" s="2735"/>
      <c r="P105" s="2760"/>
      <c r="Q105" s="2721"/>
      <c r="R105" s="2707"/>
      <c r="S105" s="2707"/>
      <c r="T105" s="2707"/>
      <c r="U105" s="2707"/>
      <c r="V105" s="2707"/>
      <c r="W105" s="2707"/>
      <c r="X105" s="2707"/>
      <c r="Y105" s="2707"/>
      <c r="Z105" s="2707"/>
      <c r="AA105" s="2707"/>
      <c r="AB105" s="2707"/>
      <c r="AC105" s="2707"/>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6"/>
      <c r="O106" s="2736"/>
      <c r="P106" s="2760"/>
      <c r="Q106" s="2721"/>
      <c r="R106" s="2707"/>
      <c r="S106" s="2707"/>
      <c r="T106" s="2707"/>
      <c r="U106" s="2707"/>
      <c r="V106" s="2707"/>
      <c r="W106" s="2707"/>
      <c r="X106" s="2707"/>
      <c r="Y106" s="2707"/>
      <c r="Z106" s="2707"/>
      <c r="AA106" s="2707"/>
      <c r="AB106" s="2707"/>
      <c r="AC106" s="2707"/>
    </row>
    <row r="107" spans="1:29" ht="15.75" thickTop="1">
      <c r="A107" s="483"/>
      <c r="B107" s="487" t="s">
        <v>1872</v>
      </c>
      <c r="C107" s="532"/>
      <c r="D107" s="532"/>
      <c r="E107" s="532"/>
      <c r="F107" s="532"/>
      <c r="G107" s="532"/>
      <c r="H107" s="532"/>
      <c r="I107" s="532"/>
      <c r="J107" s="532"/>
      <c r="K107" s="533"/>
      <c r="L107" s="534"/>
      <c r="M107" s="535"/>
      <c r="N107" s="2735"/>
      <c r="O107" s="2735"/>
      <c r="P107" s="2760"/>
      <c r="Q107" s="2721"/>
      <c r="R107" s="2707"/>
      <c r="S107" s="2707"/>
      <c r="T107" s="2707"/>
      <c r="U107" s="2707"/>
      <c r="V107" s="2707"/>
      <c r="W107" s="2707"/>
      <c r="X107" s="2707"/>
      <c r="Y107" s="2707"/>
      <c r="Z107" s="2707"/>
      <c r="AA107" s="2707"/>
      <c r="AB107" s="2707"/>
      <c r="AC107" s="2707"/>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6"/>
      <c r="O108" s="2736"/>
      <c r="P108" s="2760"/>
      <c r="Q108" s="2721"/>
      <c r="R108" s="2707"/>
      <c r="S108" s="2707"/>
      <c r="T108" s="2707"/>
      <c r="U108" s="2707"/>
      <c r="V108" s="2707"/>
      <c r="W108" s="2707"/>
      <c r="X108" s="2707"/>
      <c r="Y108" s="2707"/>
      <c r="Z108" s="2707"/>
      <c r="AA108" s="2707"/>
      <c r="AB108" s="2707"/>
      <c r="AC108" s="2707"/>
    </row>
    <row r="109" spans="1:29" ht="15.75" thickTop="1">
      <c r="A109" s="483"/>
      <c r="B109" s="495">
        <f>B35</f>
        <v>111</v>
      </c>
      <c r="C109" s="503"/>
      <c r="D109" s="503"/>
      <c r="E109" s="503"/>
      <c r="F109" s="503"/>
      <c r="G109" s="536"/>
      <c r="H109" s="536"/>
      <c r="I109" s="536"/>
      <c r="J109" s="536"/>
      <c r="K109" s="537"/>
      <c r="L109" s="538"/>
      <c r="M109" s="539"/>
      <c r="N109" s="2735"/>
      <c r="O109" s="2735"/>
      <c r="P109" s="2760"/>
      <c r="Q109" s="2721"/>
      <c r="R109" s="2707"/>
      <c r="S109" s="2707"/>
      <c r="T109" s="2707"/>
      <c r="U109" s="2707"/>
      <c r="V109" s="2707"/>
      <c r="W109" s="2707"/>
      <c r="X109" s="2707"/>
      <c r="Y109" s="2707"/>
      <c r="Z109" s="2707"/>
      <c r="AA109" s="2707"/>
      <c r="AB109" s="2707"/>
      <c r="AC109" s="2707"/>
    </row>
    <row r="110" spans="1:29" ht="15.75" thickBot="1">
      <c r="A110" s="483"/>
      <c r="B110" s="518"/>
      <c r="C110" s="509"/>
      <c r="D110" s="509"/>
      <c r="E110" s="509"/>
      <c r="F110" s="509"/>
      <c r="G110" s="540"/>
      <c r="H110" s="540"/>
      <c r="I110" s="540"/>
      <c r="J110" s="540"/>
      <c r="K110" s="540"/>
      <c r="L110" s="540"/>
      <c r="M110" s="541"/>
      <c r="N110" s="2736"/>
      <c r="O110" s="2736"/>
      <c r="P110" s="2760"/>
      <c r="Q110" s="2721"/>
      <c r="R110" s="2707"/>
      <c r="S110" s="2707"/>
      <c r="T110" s="2707"/>
      <c r="U110" s="2707"/>
      <c r="V110" s="2707"/>
      <c r="W110" s="2707"/>
      <c r="X110" s="2707"/>
      <c r="Y110" s="2707"/>
      <c r="Z110" s="2707"/>
      <c r="AA110" s="2707"/>
      <c r="AB110" s="2707"/>
      <c r="AC110" s="2707"/>
    </row>
    <row r="111" spans="1:29" ht="15" thickTop="1">
      <c r="A111" s="623"/>
      <c r="B111" s="487">
        <f>B36</f>
        <v>111</v>
      </c>
      <c r="C111" s="472"/>
      <c r="D111" s="472"/>
      <c r="E111" s="472"/>
      <c r="F111" s="472"/>
      <c r="G111" s="532"/>
      <c r="H111" s="532"/>
      <c r="I111" s="532"/>
      <c r="J111" s="532"/>
      <c r="K111" s="533"/>
      <c r="L111" s="534"/>
      <c r="M111" s="535"/>
      <c r="N111" s="2735"/>
      <c r="O111" s="2735"/>
      <c r="P111" s="2760"/>
      <c r="Q111" s="2721"/>
      <c r="R111" s="2707"/>
      <c r="S111" s="2707"/>
      <c r="T111" s="2707"/>
      <c r="U111" s="2707"/>
      <c r="V111" s="2707"/>
      <c r="W111" s="2707"/>
      <c r="X111" s="2707"/>
      <c r="Y111" s="2707"/>
      <c r="Z111" s="2707"/>
      <c r="AA111" s="2707"/>
      <c r="AB111" s="2707"/>
      <c r="AC111" s="2707"/>
    </row>
    <row r="112" spans="1:29" ht="15.75" thickBot="1">
      <c r="A112" s="483"/>
      <c r="B112" s="492"/>
      <c r="C112" s="519"/>
      <c r="D112" s="519"/>
      <c r="E112" s="519"/>
      <c r="F112" s="519"/>
      <c r="G112" s="485"/>
      <c r="H112" s="485"/>
      <c r="I112" s="485"/>
      <c r="J112" s="485"/>
      <c r="K112" s="485"/>
      <c r="L112" s="485"/>
      <c r="M112" s="486"/>
      <c r="N112" s="2736"/>
      <c r="O112" s="2736"/>
      <c r="P112" s="2760"/>
      <c r="Q112" s="2721"/>
      <c r="R112" s="2707"/>
      <c r="S112" s="2707"/>
      <c r="T112" s="2707"/>
      <c r="U112" s="2707"/>
      <c r="V112" s="2707"/>
      <c r="W112" s="2707"/>
      <c r="X112" s="2707"/>
      <c r="Y112" s="2707"/>
      <c r="Z112" s="2707"/>
      <c r="AA112" s="2707"/>
      <c r="AB112" s="2707"/>
      <c r="AC112" s="2707"/>
    </row>
    <row r="113" spans="1:29" s="422" customFormat="1" ht="15" thickTop="1">
      <c r="A113" s="542"/>
      <c r="B113" s="543">
        <f>B37</f>
        <v>111</v>
      </c>
      <c r="C113" s="544"/>
      <c r="D113" s="544"/>
      <c r="E113" s="544"/>
      <c r="F113" s="544"/>
      <c r="G113" s="544"/>
      <c r="H113" s="544"/>
      <c r="I113" s="544"/>
      <c r="J113" s="545"/>
      <c r="K113" s="545"/>
      <c r="L113" s="546"/>
      <c r="M113" s="547"/>
      <c r="N113" s="2737"/>
      <c r="O113" s="2737"/>
      <c r="P113" s="2761"/>
      <c r="Q113" s="2728"/>
      <c r="R113" s="2729"/>
      <c r="S113" s="2729"/>
      <c r="T113" s="2729"/>
      <c r="U113" s="2729"/>
      <c r="V113" s="2729"/>
      <c r="W113" s="2729"/>
      <c r="X113" s="2729"/>
      <c r="Y113" s="2729"/>
      <c r="Z113" s="2729"/>
      <c r="AA113" s="2729"/>
      <c r="AB113" s="2729"/>
      <c r="AC113" s="2729"/>
    </row>
    <row r="114" spans="1:29" s="422" customFormat="1" ht="15.75" thickBot="1">
      <c r="A114" s="502"/>
      <c r="B114" s="495"/>
      <c r="C114" s="461"/>
      <c r="D114" s="625"/>
      <c r="E114" s="625"/>
      <c r="F114" s="625"/>
      <c r="G114" s="625"/>
      <c r="H114" s="625"/>
      <c r="I114" s="625"/>
      <c r="J114" s="625"/>
      <c r="K114" s="625"/>
      <c r="L114" s="625"/>
      <c r="M114" s="647"/>
      <c r="N114" s="2736"/>
      <c r="O114" s="2736"/>
      <c r="P114" s="2761"/>
      <c r="Q114" s="2728"/>
      <c r="R114" s="2729"/>
      <c r="S114" s="2729"/>
      <c r="T114" s="2729"/>
      <c r="U114" s="2729"/>
      <c r="V114" s="2729"/>
      <c r="W114" s="2729"/>
      <c r="X114" s="2729"/>
      <c r="Y114" s="2729"/>
      <c r="Z114" s="2729"/>
      <c r="AA114" s="2729"/>
      <c r="AB114" s="2729"/>
      <c r="AC114" s="2729"/>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5"/>
      <c r="O115" s="2735"/>
      <c r="P115" s="2760"/>
      <c r="Q115" s="2721"/>
      <c r="R115" s="2707"/>
      <c r="S115" s="2707"/>
      <c r="T115" s="2707"/>
      <c r="U115" s="2707"/>
      <c r="V115" s="2707"/>
      <c r="W115" s="2707"/>
      <c r="X115" s="2707"/>
      <c r="Y115" s="2707"/>
      <c r="Z115" s="2707"/>
      <c r="AA115" s="2707"/>
      <c r="AB115" s="2707"/>
      <c r="AC115" s="2707"/>
    </row>
    <row r="116" spans="1:29" ht="15">
      <c r="A116" s="483"/>
      <c r="B116" s="495"/>
      <c r="C116" s="544"/>
      <c r="D116" s="544"/>
      <c r="E116" s="544"/>
      <c r="F116" s="544"/>
      <c r="G116" s="544"/>
      <c r="H116" s="544"/>
      <c r="I116" s="544"/>
      <c r="J116" s="545"/>
      <c r="K116" s="545"/>
      <c r="L116" s="546"/>
      <c r="M116" s="547"/>
      <c r="N116" s="2735"/>
      <c r="O116" s="2735"/>
      <c r="P116" s="2760"/>
      <c r="Q116" s="2721"/>
      <c r="R116" s="2707"/>
      <c r="S116" s="2707"/>
      <c r="T116" s="2707"/>
      <c r="U116" s="2707"/>
      <c r="V116" s="2707"/>
      <c r="W116" s="2707"/>
      <c r="X116" s="2707"/>
      <c r="Y116" s="2707"/>
      <c r="Z116" s="2707"/>
      <c r="AA116" s="2707"/>
      <c r="AB116" s="2707"/>
      <c r="AC116" s="2707"/>
    </row>
    <row r="117" spans="1:29" ht="15.75" thickBot="1">
      <c r="A117" s="483"/>
      <c r="B117" s="492"/>
      <c r="C117" s="519"/>
      <c r="D117" s="540"/>
      <c r="E117" s="540"/>
      <c r="F117" s="540"/>
      <c r="G117" s="540"/>
      <c r="H117" s="540"/>
      <c r="I117" s="540"/>
      <c r="J117" s="540"/>
      <c r="K117" s="540"/>
      <c r="L117" s="540"/>
      <c r="M117" s="541"/>
      <c r="N117" s="2736"/>
      <c r="O117" s="2736"/>
      <c r="P117" s="2760"/>
      <c r="Q117" s="2721"/>
      <c r="R117" s="2707"/>
      <c r="S117" s="2707"/>
      <c r="T117" s="2707"/>
      <c r="U117" s="2707"/>
      <c r="V117" s="2707"/>
      <c r="W117" s="2707"/>
      <c r="X117" s="2707"/>
      <c r="Y117" s="2707"/>
      <c r="Z117" s="2707"/>
      <c r="AA117" s="2707"/>
      <c r="AB117" s="2707"/>
      <c r="AC117" s="2707"/>
    </row>
    <row r="118" spans="1:29" ht="15" thickTop="1">
      <c r="A118" s="548"/>
      <c r="B118" s="487" t="s">
        <v>1913</v>
      </c>
      <c r="C118" s="532"/>
      <c r="D118" s="532"/>
      <c r="E118" s="532"/>
      <c r="F118" s="532"/>
      <c r="G118" s="532"/>
      <c r="H118" s="532"/>
      <c r="I118" s="532"/>
      <c r="J118" s="532"/>
      <c r="K118" s="533"/>
      <c r="L118" s="534"/>
      <c r="M118" s="535"/>
      <c r="N118" s="2735"/>
      <c r="O118" s="2735"/>
      <c r="P118" s="2760"/>
      <c r="Q118" s="2721"/>
      <c r="R118" s="2707"/>
      <c r="S118" s="2707"/>
      <c r="T118" s="2707"/>
      <c r="U118" s="2707"/>
      <c r="V118" s="2707"/>
      <c r="W118" s="2707"/>
      <c r="X118" s="2707"/>
      <c r="Y118" s="2707"/>
      <c r="Z118" s="2707"/>
      <c r="AA118" s="2707"/>
      <c r="AB118" s="2707"/>
      <c r="AC118" s="2707"/>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6"/>
      <c r="O119" s="2736"/>
      <c r="P119" s="2760"/>
      <c r="Q119" s="2721"/>
      <c r="R119" s="2707"/>
      <c r="S119" s="2707"/>
      <c r="T119" s="2707"/>
      <c r="U119" s="2707"/>
      <c r="V119" s="2707"/>
      <c r="W119" s="2707"/>
      <c r="X119" s="2707"/>
      <c r="Y119" s="2707"/>
      <c r="Z119" s="2707"/>
      <c r="AA119" s="2707"/>
      <c r="AB119" s="2707"/>
      <c r="AC119" s="2707"/>
    </row>
    <row r="120" spans="1:29" ht="15" thickTop="1">
      <c r="A120" s="548"/>
      <c r="B120" s="487" t="s">
        <v>1914</v>
      </c>
      <c r="C120" s="503"/>
      <c r="D120" s="503"/>
      <c r="E120" s="503"/>
      <c r="F120" s="532"/>
      <c r="G120" s="532"/>
      <c r="H120" s="532"/>
      <c r="I120" s="532"/>
      <c r="J120" s="532"/>
      <c r="K120" s="533"/>
      <c r="L120" s="534"/>
      <c r="M120" s="535"/>
      <c r="N120" s="2735"/>
      <c r="O120" s="2735"/>
      <c r="P120" s="2760"/>
      <c r="Q120" s="2721"/>
      <c r="R120" s="2707"/>
      <c r="S120" s="2707"/>
      <c r="T120" s="2707"/>
      <c r="U120" s="2707"/>
      <c r="V120" s="2707"/>
      <c r="W120" s="2707"/>
      <c r="X120" s="2707"/>
      <c r="Y120" s="2707"/>
      <c r="Z120" s="2707"/>
      <c r="AA120" s="2707"/>
      <c r="AB120" s="2707"/>
      <c r="AC120" s="2707"/>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6"/>
      <c r="O121" s="2736"/>
      <c r="P121" s="2760"/>
      <c r="Q121" s="2721"/>
      <c r="R121" s="2707"/>
      <c r="S121" s="2707"/>
      <c r="T121" s="2707"/>
      <c r="U121" s="2707"/>
      <c r="V121" s="2707"/>
      <c r="W121" s="2707"/>
      <c r="X121" s="2707"/>
      <c r="Y121" s="2707"/>
      <c r="Z121" s="2707"/>
      <c r="AA121" s="2707"/>
      <c r="AB121" s="2707"/>
      <c r="AC121" s="2707"/>
    </row>
    <row r="122" spans="1:29" s="422" customFormat="1" ht="15" thickTop="1">
      <c r="A122" s="542"/>
      <c r="B122" s="487" t="s">
        <v>1915</v>
      </c>
      <c r="C122" s="503"/>
      <c r="D122" s="503"/>
      <c r="E122" s="503"/>
      <c r="F122" s="503"/>
      <c r="G122" s="503"/>
      <c r="H122" s="532"/>
      <c r="I122" s="532"/>
      <c r="J122" s="532"/>
      <c r="K122" s="533"/>
      <c r="L122" s="534"/>
      <c r="M122" s="535"/>
      <c r="N122" s="2737"/>
      <c r="O122" s="2737"/>
      <c r="P122" s="2761"/>
      <c r="Q122" s="2728"/>
      <c r="R122" s="2729"/>
      <c r="S122" s="2729"/>
      <c r="T122" s="2729"/>
      <c r="U122" s="2729"/>
      <c r="V122" s="2729"/>
      <c r="W122" s="2729"/>
      <c r="X122" s="2729"/>
      <c r="Y122" s="2729"/>
      <c r="Z122" s="2729"/>
      <c r="AA122" s="2729"/>
      <c r="AB122" s="2729"/>
      <c r="AC122" s="272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7"/>
      <c r="O123" s="2737"/>
      <c r="P123" s="2761"/>
      <c r="Q123" s="2728"/>
      <c r="R123" s="2729"/>
      <c r="S123" s="2729"/>
      <c r="T123" s="2729"/>
      <c r="U123" s="2729"/>
      <c r="V123" s="2729"/>
      <c r="W123" s="2729"/>
      <c r="X123" s="2729"/>
      <c r="Y123" s="2729"/>
      <c r="Z123" s="2729"/>
      <c r="AA123" s="2729"/>
      <c r="AB123" s="2729"/>
      <c r="AC123" s="2729"/>
    </row>
    <row r="124" spans="1:29" ht="15" thickTop="1">
      <c r="A124" s="548"/>
      <c r="B124" s="487" t="s">
        <v>1916</v>
      </c>
      <c r="C124" s="503"/>
      <c r="D124" s="503"/>
      <c r="E124" s="532"/>
      <c r="F124" s="532"/>
      <c r="G124" s="532"/>
      <c r="H124" s="532"/>
      <c r="I124" s="532"/>
      <c r="J124" s="532"/>
      <c r="K124" s="533"/>
      <c r="L124" s="534"/>
      <c r="M124" s="535"/>
      <c r="N124" s="2735"/>
      <c r="O124" s="2735"/>
      <c r="P124" s="2760"/>
      <c r="Q124" s="2721"/>
      <c r="R124" s="2707"/>
      <c r="S124" s="2707"/>
      <c r="T124" s="2707"/>
      <c r="U124" s="2707"/>
      <c r="V124" s="2707"/>
      <c r="W124" s="2707"/>
      <c r="X124" s="2707"/>
      <c r="Y124" s="2707"/>
      <c r="Z124" s="2707"/>
      <c r="AA124" s="2707"/>
      <c r="AB124" s="2707"/>
      <c r="AC124" s="2707"/>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6"/>
      <c r="O125" s="2736"/>
      <c r="P125" s="2760"/>
      <c r="Q125" s="2721"/>
      <c r="R125" s="2707"/>
      <c r="S125" s="2707"/>
      <c r="T125" s="2707"/>
      <c r="U125" s="2707"/>
      <c r="V125" s="2707"/>
      <c r="W125" s="2707"/>
      <c r="X125" s="2707"/>
      <c r="Y125" s="2707"/>
      <c r="Z125" s="2707"/>
      <c r="AA125" s="2707"/>
      <c r="AB125" s="2707"/>
      <c r="AC125" s="2707"/>
    </row>
    <row r="126" spans="1:29" ht="15" thickTop="1">
      <c r="A126" s="548"/>
      <c r="B126" s="487">
        <f>B43</f>
        <v>111</v>
      </c>
      <c r="C126" s="503"/>
      <c r="D126" s="503"/>
      <c r="E126" s="503"/>
      <c r="F126" s="503"/>
      <c r="G126" s="503"/>
      <c r="H126" s="532"/>
      <c r="I126" s="532"/>
      <c r="J126" s="532"/>
      <c r="K126" s="533"/>
      <c r="L126" s="534"/>
      <c r="M126" s="535"/>
      <c r="N126" s="2735"/>
      <c r="O126" s="2735"/>
      <c r="P126" s="2760"/>
      <c r="Q126" s="2721"/>
      <c r="R126" s="2707"/>
      <c r="S126" s="2707"/>
      <c r="T126" s="2707"/>
      <c r="U126" s="2707"/>
      <c r="V126" s="2707"/>
      <c r="W126" s="2707"/>
      <c r="X126" s="2707"/>
      <c r="Y126" s="2707"/>
      <c r="Z126" s="2707"/>
      <c r="AA126" s="2707"/>
      <c r="AB126" s="2707"/>
      <c r="AC126" s="2707"/>
    </row>
    <row r="127" spans="1:29" ht="15.75" thickBot="1">
      <c r="A127" s="483"/>
      <c r="B127" s="492"/>
      <c r="C127" s="509"/>
      <c r="D127" s="509"/>
      <c r="E127" s="509"/>
      <c r="F127" s="509"/>
      <c r="G127" s="485"/>
      <c r="H127" s="485"/>
      <c r="I127" s="485"/>
      <c r="J127" s="485"/>
      <c r="K127" s="485"/>
      <c r="L127" s="485"/>
      <c r="M127" s="486"/>
      <c r="N127" s="2736"/>
      <c r="O127" s="2736"/>
      <c r="P127" s="2760"/>
      <c r="Q127" s="2721"/>
      <c r="R127" s="2707"/>
      <c r="S127" s="2707"/>
      <c r="T127" s="2707"/>
      <c r="U127" s="2707"/>
      <c r="V127" s="2707"/>
      <c r="W127" s="2707"/>
      <c r="X127" s="2707"/>
      <c r="Y127" s="2707"/>
      <c r="Z127" s="2707"/>
      <c r="AA127" s="2707"/>
      <c r="AB127" s="2707"/>
      <c r="AC127" s="2707"/>
    </row>
    <row r="128" spans="1:29" ht="15" thickTop="1">
      <c r="A128" s="548"/>
      <c r="B128" s="487">
        <f>B44</f>
        <v>111</v>
      </c>
      <c r="C128" s="472"/>
      <c r="D128" s="472"/>
      <c r="E128" s="472"/>
      <c r="F128" s="472"/>
      <c r="G128" s="532"/>
      <c r="H128" s="532"/>
      <c r="I128" s="532"/>
      <c r="J128" s="532"/>
      <c r="K128" s="533"/>
      <c r="L128" s="534"/>
      <c r="M128" s="535"/>
      <c r="N128" s="2735"/>
      <c r="O128" s="2735"/>
      <c r="P128" s="2760"/>
      <c r="Q128" s="2721"/>
      <c r="R128" s="2707"/>
      <c r="S128" s="2707"/>
      <c r="T128" s="2707"/>
      <c r="U128" s="2707"/>
      <c r="V128" s="2707"/>
      <c r="W128" s="2707"/>
      <c r="X128" s="2707"/>
      <c r="Y128" s="2707"/>
      <c r="Z128" s="2707"/>
      <c r="AA128" s="2707"/>
      <c r="AB128" s="2707"/>
      <c r="AC128" s="2707"/>
    </row>
    <row r="129" spans="1:29" ht="15.75" thickBot="1">
      <c r="A129" s="483"/>
      <c r="B129" s="492"/>
      <c r="C129" s="519"/>
      <c r="D129" s="519"/>
      <c r="E129" s="519"/>
      <c r="F129" s="519"/>
      <c r="G129" s="485"/>
      <c r="H129" s="485"/>
      <c r="I129" s="485"/>
      <c r="J129" s="485"/>
      <c r="K129" s="485"/>
      <c r="L129" s="485"/>
      <c r="M129" s="486"/>
      <c r="N129" s="2736"/>
      <c r="O129" s="2736"/>
      <c r="P129" s="2760"/>
      <c r="Q129" s="2721"/>
      <c r="R129" s="2707"/>
      <c r="S129" s="2707"/>
      <c r="T129" s="2707"/>
      <c r="U129" s="2707"/>
      <c r="V129" s="2707"/>
      <c r="W129" s="2707"/>
      <c r="X129" s="2707"/>
      <c r="Y129" s="2707"/>
      <c r="Z129" s="2707"/>
      <c r="AA129" s="2707"/>
      <c r="AB129" s="2707"/>
      <c r="AC129" s="2707"/>
    </row>
    <row r="130" spans="1:29" s="422" customFormat="1" ht="15" thickTop="1">
      <c r="A130" s="542"/>
      <c r="B130" s="487">
        <f>B45</f>
        <v>111</v>
      </c>
      <c r="C130" s="472"/>
      <c r="D130" s="472"/>
      <c r="E130" s="472"/>
      <c r="F130" s="472"/>
      <c r="G130" s="504"/>
      <c r="H130" s="504"/>
      <c r="I130" s="504"/>
      <c r="J130" s="504"/>
      <c r="K130" s="504"/>
      <c r="L130" s="505"/>
      <c r="M130" s="506"/>
      <c r="N130" s="2737"/>
      <c r="O130" s="2737"/>
      <c r="P130" s="2761"/>
      <c r="Q130" s="2728"/>
      <c r="R130" s="2729"/>
      <c r="S130" s="2729"/>
      <c r="T130" s="2729"/>
      <c r="U130" s="2729"/>
      <c r="V130" s="2729"/>
      <c r="W130" s="2729"/>
      <c r="X130" s="2729"/>
      <c r="Y130" s="2729"/>
      <c r="Z130" s="2729"/>
      <c r="AA130" s="2729"/>
      <c r="AB130" s="2729"/>
      <c r="AC130" s="2729"/>
    </row>
    <row r="131" spans="1:29" s="422" customFormat="1" ht="15.75" thickBot="1">
      <c r="A131" s="517"/>
      <c r="B131" s="648"/>
      <c r="C131" s="519"/>
      <c r="D131" s="519"/>
      <c r="E131" s="519"/>
      <c r="F131" s="519"/>
      <c r="G131" s="540"/>
      <c r="H131" s="540"/>
      <c r="I131" s="540"/>
      <c r="J131" s="540"/>
      <c r="K131" s="540"/>
      <c r="L131" s="540"/>
      <c r="M131" s="541"/>
      <c r="N131" s="2737"/>
      <c r="O131" s="2737"/>
      <c r="P131" s="2761"/>
      <c r="Q131" s="2728"/>
      <c r="R131" s="2729"/>
      <c r="S131" s="2729"/>
      <c r="T131" s="2729"/>
      <c r="U131" s="2729"/>
      <c r="V131" s="2729"/>
      <c r="W131" s="2729"/>
      <c r="X131" s="2729"/>
      <c r="Y131" s="2729"/>
      <c r="Z131" s="2729"/>
      <c r="AA131" s="2729"/>
      <c r="AB131" s="2729"/>
      <c r="AC131" s="272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3" priority="18" stopIfTrue="1" operator="containsText" text="超过">
      <formula>NOT(ISERROR(SEARCH("超过",F51)))</formula>
    </cfRule>
  </conditionalFormatting>
  <conditionalFormatting sqref="J53">
    <cfRule type="containsText" dxfId="412" priority="17" stopIfTrue="1" operator="containsText" text="超过">
      <formula>NOT(ISERROR(SEARCH("超过",J53)))</formula>
    </cfRule>
  </conditionalFormatting>
  <conditionalFormatting sqref="H53">
    <cfRule type="containsText" dxfId="411" priority="16" stopIfTrue="1" operator="containsText" text="超过">
      <formula>NOT(ISERROR(SEARCH("超过",H53)))</formula>
    </cfRule>
  </conditionalFormatting>
  <conditionalFormatting sqref="F53">
    <cfRule type="containsText" dxfId="410" priority="15" stopIfTrue="1" operator="containsText" text="超过">
      <formula>NOT(ISERROR(SEARCH("超过",F53)))</formula>
    </cfRule>
  </conditionalFormatting>
  <conditionalFormatting sqref="F52 H52 J52">
    <cfRule type="containsText" dxfId="409" priority="14" stopIfTrue="1" operator="containsText" text="超过">
      <formula>NOT(ISERROR(SEARCH("超过",F52)))</formula>
    </cfRule>
  </conditionalFormatting>
  <conditionalFormatting sqref="E51">
    <cfRule type="expression" dxfId="408" priority="13" stopIfTrue="1">
      <formula>$F$51="超过30%"</formula>
    </cfRule>
  </conditionalFormatting>
  <conditionalFormatting sqref="G53">
    <cfRule type="expression" dxfId="407" priority="12" stopIfTrue="1">
      <formula>$H$53="超过30%"</formula>
    </cfRule>
  </conditionalFormatting>
  <conditionalFormatting sqref="E52">
    <cfRule type="expression" dxfId="406" priority="11" stopIfTrue="1">
      <formula>$F$52="超过20%"</formula>
    </cfRule>
  </conditionalFormatting>
  <conditionalFormatting sqref="E53">
    <cfRule type="expression" dxfId="405" priority="10" stopIfTrue="1">
      <formula>$F$53="超过30%"</formula>
    </cfRule>
  </conditionalFormatting>
  <conditionalFormatting sqref="G51">
    <cfRule type="expression" dxfId="404" priority="9" stopIfTrue="1">
      <formula>$H$53+$H$51="超过30%"</formula>
    </cfRule>
  </conditionalFormatting>
  <conditionalFormatting sqref="G52">
    <cfRule type="expression" dxfId="403" priority="8" stopIfTrue="1">
      <formula>$H$52="超过20%"</formula>
    </cfRule>
  </conditionalFormatting>
  <conditionalFormatting sqref="I51">
    <cfRule type="expression" dxfId="402" priority="7" stopIfTrue="1">
      <formula>$J$51="超过30%"</formula>
    </cfRule>
  </conditionalFormatting>
  <conditionalFormatting sqref="I52">
    <cfRule type="expression" dxfId="401" priority="6" stopIfTrue="1">
      <formula>$J$52="超过20%"</formula>
    </cfRule>
  </conditionalFormatting>
  <conditionalFormatting sqref="I53">
    <cfRule type="expression" dxfId="400" priority="5" stopIfTrue="1">
      <formula>$J$53="超过30%"</formula>
    </cfRule>
  </conditionalFormatting>
  <conditionalFormatting sqref="F47">
    <cfRule type="expression" dxfId="399" priority="4">
      <formula>$D$47="简单平均"</formula>
    </cfRule>
  </conditionalFormatting>
  <conditionalFormatting sqref="H47">
    <cfRule type="expression" dxfId="398" priority="3">
      <formula>$D$47="简单平均"</formula>
    </cfRule>
  </conditionalFormatting>
  <conditionalFormatting sqref="J47">
    <cfRule type="expression" dxfId="397" priority="2">
      <formula>$D$47="简单平均"</formula>
    </cfRule>
  </conditionalFormatting>
  <conditionalFormatting sqref="F7:F45 H7:H45 J7:J45">
    <cfRule type="cellIs" dxfId="39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16"/>
      <c r="M2" s="2717"/>
      <c r="N2" s="2717"/>
      <c r="O2" s="2717"/>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16"/>
      <c r="M3" s="2717"/>
      <c r="N3" s="2717"/>
      <c r="O3" s="2717"/>
      <c r="P3" s="699"/>
      <c r="Q3" s="699"/>
      <c r="R3" s="699"/>
      <c r="S3" s="699"/>
      <c r="T3" s="699"/>
      <c r="U3" s="699"/>
      <c r="V3" s="699"/>
      <c r="W3" s="699"/>
      <c r="X3" s="699"/>
      <c r="Y3" s="699"/>
      <c r="Z3" s="699"/>
      <c r="AA3" s="699"/>
      <c r="AB3" s="716"/>
      <c r="AC3" s="713"/>
    </row>
    <row r="4" spans="1:29" ht="15">
      <c r="A4" s="355" t="s">
        <v>1768</v>
      </c>
      <c r="B4" s="356"/>
      <c r="C4" s="3742" t="s">
        <v>1769</v>
      </c>
      <c r="D4" s="3743"/>
      <c r="E4" s="3744" t="s">
        <v>1770</v>
      </c>
      <c r="F4" s="3745"/>
      <c r="G4" s="3742" t="s">
        <v>1771</v>
      </c>
      <c r="H4" s="3743"/>
      <c r="I4" s="3742" t="s">
        <v>1772</v>
      </c>
      <c r="J4" s="3743"/>
      <c r="K4" s="559" t="s">
        <v>1773</v>
      </c>
      <c r="L4" s="2697"/>
      <c r="M4" s="2698"/>
      <c r="N4" s="2698"/>
      <c r="O4" s="2698"/>
      <c r="P4" s="3746" t="s">
        <v>1774</v>
      </c>
      <c r="Q4" s="3747"/>
      <c r="R4" s="3729" t="s">
        <v>1770</v>
      </c>
      <c r="S4" s="3730"/>
      <c r="T4" s="3729" t="s">
        <v>1771</v>
      </c>
      <c r="U4" s="3730"/>
      <c r="V4" s="3726" t="s">
        <v>1772</v>
      </c>
      <c r="W4" s="3726"/>
      <c r="X4" s="1355"/>
      <c r="Y4" s="3729" t="s">
        <v>1774</v>
      </c>
      <c r="Z4" s="3730"/>
      <c r="AA4" s="3723" t="s">
        <v>1770</v>
      </c>
      <c r="AB4" s="3724" t="s">
        <v>1771</v>
      </c>
      <c r="AC4" s="3723" t="s">
        <v>1772</v>
      </c>
    </row>
    <row r="5" spans="1:29" ht="15">
      <c r="A5" s="358"/>
      <c r="B5" s="359"/>
      <c r="C5" s="3735" t="s">
        <v>1672</v>
      </c>
      <c r="D5" s="3736"/>
      <c r="E5" s="3733" t="s">
        <v>1673</v>
      </c>
      <c r="F5" s="3734"/>
      <c r="G5" s="3735" t="s">
        <v>1674</v>
      </c>
      <c r="H5" s="3736"/>
      <c r="I5" s="3735" t="s">
        <v>1675</v>
      </c>
      <c r="J5" s="3736"/>
      <c r="K5" s="559"/>
      <c r="L5" s="2697"/>
      <c r="M5" s="2698"/>
      <c r="N5" s="2698"/>
      <c r="O5" s="2698"/>
      <c r="P5" s="3748"/>
      <c r="Q5" s="3749"/>
      <c r="R5" s="3731"/>
      <c r="S5" s="3732"/>
      <c r="T5" s="3731"/>
      <c r="U5" s="3732"/>
      <c r="V5" s="3726"/>
      <c r="W5" s="3726"/>
      <c r="X5" s="1355"/>
      <c r="Y5" s="3731"/>
      <c r="Z5" s="3732"/>
      <c r="AA5" s="3724"/>
      <c r="AB5" s="3724"/>
      <c r="AC5" s="3724"/>
    </row>
    <row r="6" spans="1:29" ht="15.75" thickBot="1">
      <c r="A6" s="360"/>
      <c r="B6" s="361"/>
      <c r="C6" s="3815" t="s">
        <v>1918</v>
      </c>
      <c r="D6" s="3816"/>
      <c r="E6" s="3817" t="s">
        <v>1918</v>
      </c>
      <c r="F6" s="3818"/>
      <c r="G6" s="3815" t="s">
        <v>1918</v>
      </c>
      <c r="H6" s="3816"/>
      <c r="I6" s="3815" t="s">
        <v>1918</v>
      </c>
      <c r="J6" s="3816"/>
      <c r="K6" s="559" t="s">
        <v>1677</v>
      </c>
      <c r="L6" s="2697"/>
      <c r="M6" s="2698"/>
      <c r="N6" s="2698"/>
      <c r="O6" s="2698"/>
      <c r="P6" s="3750"/>
      <c r="Q6" s="3751"/>
      <c r="R6" s="3731"/>
      <c r="S6" s="3732"/>
      <c r="T6" s="3752"/>
      <c r="U6" s="3753"/>
      <c r="V6" s="3726"/>
      <c r="W6" s="3726"/>
      <c r="X6" s="1355"/>
      <c r="Y6" s="3752"/>
      <c r="Z6" s="3753"/>
      <c r="AA6" s="3725"/>
      <c r="AB6" s="3725"/>
      <c r="AC6" s="3725"/>
    </row>
    <row r="7" spans="1:29" s="108" customFormat="1" ht="15.75" thickBot="1">
      <c r="A7" s="362" t="s">
        <v>1678</v>
      </c>
      <c r="B7" s="363"/>
      <c r="C7" s="364">
        <f>'数据-取费表'!B2</f>
        <v>45009</v>
      </c>
      <c r="D7" s="365">
        <v>100</v>
      </c>
      <c r="E7" s="366"/>
      <c r="F7" s="367">
        <f>SUMIF(65:65,YEAR(E7)&amp;"-"&amp;INT((MONTH(E7)+2)/3),66:66)</f>
        <v>0</v>
      </c>
      <c r="G7" s="1974"/>
      <c r="H7" s="365">
        <f>SUMIF(65:65,YEAR(G7)&amp;"-"&amp;INT((MONTH(G7)+2)/3),66:66)</f>
        <v>0</v>
      </c>
      <c r="I7" s="1974"/>
      <c r="J7" s="365">
        <f>SUMIF(65:65,YEAR(I7)&amp;"-"&amp;INT((MONTH(I7)+2)/3),66:66)</f>
        <v>0</v>
      </c>
      <c r="K7" s="560"/>
      <c r="L7" s="2699"/>
      <c r="M7" s="2700"/>
      <c r="N7" s="2700"/>
      <c r="O7" s="2700"/>
      <c r="P7" s="3727" t="s">
        <v>1679</v>
      </c>
      <c r="Q7" s="3754"/>
      <c r="R7" s="701" t="s">
        <v>14</v>
      </c>
      <c r="S7" s="702">
        <f t="shared" ref="S7:S15" si="0">F7</f>
        <v>0</v>
      </c>
      <c r="T7" s="701" t="s">
        <v>14</v>
      </c>
      <c r="U7" s="702">
        <f t="shared" ref="U7:U15" si="1">H7</f>
        <v>0</v>
      </c>
      <c r="V7" s="701" t="s">
        <v>14</v>
      </c>
      <c r="W7" s="702">
        <f t="shared" ref="W7:W15" si="2">J7</f>
        <v>0</v>
      </c>
      <c r="X7" s="703"/>
      <c r="Y7" s="3727" t="s">
        <v>1679</v>
      </c>
      <c r="Z7" s="3728"/>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699"/>
      <c r="M8" s="2700"/>
      <c r="N8" s="2700"/>
      <c r="O8" s="2700"/>
      <c r="P8" s="3727" t="s">
        <v>1682</v>
      </c>
      <c r="Q8" s="3728"/>
      <c r="R8" s="701" t="s">
        <v>14</v>
      </c>
      <c r="S8" s="702">
        <f t="shared" si="0"/>
        <v>0</v>
      </c>
      <c r="T8" s="701" t="s">
        <v>14</v>
      </c>
      <c r="U8" s="702">
        <f t="shared" si="1"/>
        <v>0</v>
      </c>
      <c r="V8" s="701" t="s">
        <v>14</v>
      </c>
      <c r="W8" s="702">
        <f t="shared" si="2"/>
        <v>0</v>
      </c>
      <c r="X8" s="703"/>
      <c r="Y8" s="3727" t="s">
        <v>1682</v>
      </c>
      <c r="Z8" s="3728"/>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699"/>
      <c r="M9" s="2700"/>
      <c r="N9" s="2700"/>
      <c r="O9" s="2754"/>
      <c r="P9" s="3764" t="s">
        <v>1685</v>
      </c>
      <c r="Q9" s="1343" t="str">
        <f t="shared" ref="Q9:Q15" si="6">B9</f>
        <v>用途</v>
      </c>
      <c r="R9" s="701" t="s">
        <v>14</v>
      </c>
      <c r="S9" s="702">
        <f t="shared" si="0"/>
        <v>100</v>
      </c>
      <c r="T9" s="701" t="s">
        <v>14</v>
      </c>
      <c r="U9" s="702">
        <f t="shared" si="1"/>
        <v>100</v>
      </c>
      <c r="V9" s="701" t="s">
        <v>14</v>
      </c>
      <c r="W9" s="702">
        <f t="shared" si="2"/>
        <v>100</v>
      </c>
      <c r="X9" s="703"/>
      <c r="Y9" s="3696"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140</v>
      </c>
      <c r="G10" s="383"/>
      <c r="H10" s="127">
        <f>ROUND(100/'数据-取费表'!G16,0)</f>
        <v>140</v>
      </c>
      <c r="I10" s="383"/>
      <c r="J10" s="127">
        <f>ROUND(100/'数据-取费表'!G16,0)</f>
        <v>140</v>
      </c>
      <c r="K10" s="620"/>
      <c r="L10" s="2701"/>
      <c r="M10" s="2702"/>
      <c r="N10" s="2702"/>
      <c r="O10" s="2755"/>
      <c r="P10" s="3764"/>
      <c r="Q10" s="1343" t="str">
        <f t="shared" si="6"/>
        <v>土地使用年限（年）</v>
      </c>
      <c r="R10" s="701" t="s">
        <v>14</v>
      </c>
      <c r="S10" s="702">
        <f t="shared" si="0"/>
        <v>140</v>
      </c>
      <c r="T10" s="701" t="s">
        <v>14</v>
      </c>
      <c r="U10" s="702">
        <f t="shared" si="1"/>
        <v>140</v>
      </c>
      <c r="V10" s="701" t="s">
        <v>14</v>
      </c>
      <c r="W10" s="702">
        <f t="shared" si="2"/>
        <v>140</v>
      </c>
      <c r="X10" s="703"/>
      <c r="Y10" s="3696"/>
      <c r="Z10" s="52" t="str">
        <f t="shared" si="7"/>
        <v>土地使用年限（年）</v>
      </c>
      <c r="AA10" s="704">
        <f t="shared" si="3"/>
        <v>0.7142857142857143</v>
      </c>
      <c r="AB10" s="704">
        <f t="shared" si="4"/>
        <v>0.7142857142857143</v>
      </c>
      <c r="AC10" s="704">
        <f t="shared" si="5"/>
        <v>0.7142857142857143</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3"/>
      <c r="M11" s="2698"/>
      <c r="N11" s="2698"/>
      <c r="O11" s="2756"/>
      <c r="P11" s="3764"/>
      <c r="Q11" s="1343" t="str">
        <f t="shared" si="6"/>
        <v>容积率</v>
      </c>
      <c r="R11" s="701" t="s">
        <v>14</v>
      </c>
      <c r="S11" s="702" t="e">
        <f t="shared" si="0"/>
        <v>#N/A</v>
      </c>
      <c r="T11" s="701" t="s">
        <v>14</v>
      </c>
      <c r="U11" s="702" t="e">
        <f t="shared" si="1"/>
        <v>#N/A</v>
      </c>
      <c r="V11" s="701" t="s">
        <v>14</v>
      </c>
      <c r="W11" s="702" t="e">
        <f t="shared" si="2"/>
        <v>#N/A</v>
      </c>
      <c r="X11" s="703"/>
      <c r="Y11" s="369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9"/>
      <c r="M12" s="2700"/>
      <c r="N12" s="2700"/>
      <c r="O12" s="2754"/>
      <c r="P12" s="3764"/>
      <c r="Q12" s="1343">
        <f t="shared" si="6"/>
        <v>111</v>
      </c>
      <c r="R12" s="701" t="s">
        <v>14</v>
      </c>
      <c r="S12" s="702">
        <f t="shared" si="0"/>
        <v>100</v>
      </c>
      <c r="T12" s="701" t="s">
        <v>14</v>
      </c>
      <c r="U12" s="702">
        <f t="shared" si="1"/>
        <v>100</v>
      </c>
      <c r="V12" s="701" t="s">
        <v>14</v>
      </c>
      <c r="W12" s="702">
        <f t="shared" si="2"/>
        <v>100</v>
      </c>
      <c r="X12" s="703"/>
      <c r="Y12" s="369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04"/>
      <c r="M13" s="2698"/>
      <c r="N13" s="2698"/>
      <c r="O13" s="2756"/>
      <c r="P13" s="3764"/>
      <c r="Q13" s="1343">
        <f t="shared" si="6"/>
        <v>111</v>
      </c>
      <c r="R13" s="701" t="s">
        <v>14</v>
      </c>
      <c r="S13" s="702">
        <f t="shared" si="0"/>
        <v>100</v>
      </c>
      <c r="T13" s="701" t="s">
        <v>14</v>
      </c>
      <c r="U13" s="702">
        <f t="shared" si="1"/>
        <v>100</v>
      </c>
      <c r="V13" s="701" t="s">
        <v>14</v>
      </c>
      <c r="W13" s="702">
        <f t="shared" si="2"/>
        <v>100</v>
      </c>
      <c r="X13" s="703"/>
      <c r="Y13" s="369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04"/>
      <c r="M14" s="2698"/>
      <c r="N14" s="2698"/>
      <c r="O14" s="2756"/>
      <c r="P14" s="3764"/>
      <c r="Q14" s="1343">
        <f t="shared" si="6"/>
        <v>111</v>
      </c>
      <c r="R14" s="701" t="s">
        <v>14</v>
      </c>
      <c r="S14" s="702">
        <f t="shared" si="0"/>
        <v>100</v>
      </c>
      <c r="T14" s="701" t="s">
        <v>14</v>
      </c>
      <c r="U14" s="702">
        <f t="shared" si="1"/>
        <v>100</v>
      </c>
      <c r="V14" s="701" t="s">
        <v>14</v>
      </c>
      <c r="W14" s="702">
        <f t="shared" si="2"/>
        <v>100</v>
      </c>
      <c r="X14" s="703"/>
      <c r="Y14" s="3696"/>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4"/>
      <c r="M15" s="2698"/>
      <c r="N15" s="2698"/>
      <c r="O15" s="2756"/>
      <c r="P15" s="3757" t="s">
        <v>1690</v>
      </c>
      <c r="Q15" s="1352" t="str">
        <f t="shared" si="6"/>
        <v>产业集聚程度</v>
      </c>
      <c r="R15" s="705" t="s">
        <v>14</v>
      </c>
      <c r="S15" s="706">
        <f t="shared" si="0"/>
        <v>100</v>
      </c>
      <c r="T15" s="705" t="s">
        <v>14</v>
      </c>
      <c r="U15" s="706">
        <f t="shared" si="1"/>
        <v>100</v>
      </c>
      <c r="V15" s="705" t="s">
        <v>14</v>
      </c>
      <c r="W15" s="706">
        <f t="shared" si="2"/>
        <v>100</v>
      </c>
      <c r="X15" s="1355"/>
      <c r="Y15" s="3757"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04"/>
      <c r="M16" s="2698"/>
      <c r="N16" s="2698"/>
      <c r="O16" s="2756"/>
      <c r="P16" s="3758"/>
      <c r="Q16" s="1352"/>
      <c r="R16" s="705"/>
      <c r="S16" s="706"/>
      <c r="T16" s="705"/>
      <c r="U16" s="706"/>
      <c r="V16" s="705"/>
      <c r="W16" s="706"/>
      <c r="X16" s="1355"/>
      <c r="Y16" s="3758"/>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4"/>
      <c r="M17" s="2698"/>
      <c r="N17" s="2698"/>
      <c r="O17" s="2756"/>
      <c r="P17" s="3758"/>
      <c r="Q17" s="1352" t="str">
        <f>B17</f>
        <v>交通便捷度</v>
      </c>
      <c r="R17" s="705" t="s">
        <v>14</v>
      </c>
      <c r="S17" s="706">
        <f>F17</f>
        <v>100</v>
      </c>
      <c r="T17" s="705" t="s">
        <v>14</v>
      </c>
      <c r="U17" s="706">
        <f>H17</f>
        <v>100</v>
      </c>
      <c r="V17" s="705" t="s">
        <v>14</v>
      </c>
      <c r="W17" s="706">
        <f>J17</f>
        <v>100</v>
      </c>
      <c r="X17" s="1355"/>
      <c r="Y17" s="375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04"/>
      <c r="M18" s="2698"/>
      <c r="N18" s="2698"/>
      <c r="O18" s="2756"/>
      <c r="P18" s="3758"/>
      <c r="Q18" s="1352"/>
      <c r="R18" s="705"/>
      <c r="S18" s="706"/>
      <c r="T18" s="705"/>
      <c r="U18" s="706"/>
      <c r="V18" s="705"/>
      <c r="W18" s="706"/>
      <c r="X18" s="1355"/>
      <c r="Y18" s="3758"/>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4"/>
      <c r="M19" s="2698"/>
      <c r="N19" s="2698"/>
      <c r="O19" s="2756"/>
      <c r="P19" s="3758"/>
      <c r="Q19" s="1352" t="str">
        <f t="shared" ref="Q19:Q33" si="8">B19</f>
        <v>区域土地利用方向</v>
      </c>
      <c r="R19" s="705" t="s">
        <v>14</v>
      </c>
      <c r="S19" s="706">
        <f>F19</f>
        <v>100</v>
      </c>
      <c r="T19" s="705" t="s">
        <v>14</v>
      </c>
      <c r="U19" s="706">
        <f>H19</f>
        <v>100</v>
      </c>
      <c r="V19" s="705" t="s">
        <v>14</v>
      </c>
      <c r="W19" s="706">
        <f>J19</f>
        <v>100</v>
      </c>
      <c r="X19" s="1355"/>
      <c r="Y19" s="375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04"/>
      <c r="M20" s="2698"/>
      <c r="N20" s="2698"/>
      <c r="O20" s="2756"/>
      <c r="P20" s="3758"/>
      <c r="Q20" s="1352"/>
      <c r="R20" s="705"/>
      <c r="S20" s="706"/>
      <c r="T20" s="705"/>
      <c r="U20" s="706"/>
      <c r="V20" s="705"/>
      <c r="W20" s="706"/>
      <c r="X20" s="1355"/>
      <c r="Y20" s="3758"/>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4"/>
      <c r="M21" s="2698"/>
      <c r="N21" s="2698"/>
      <c r="O21" s="2756"/>
      <c r="P21" s="3758"/>
      <c r="Q21" s="1352" t="str">
        <f t="shared" si="8"/>
        <v>环境状况</v>
      </c>
      <c r="R21" s="705" t="s">
        <v>14</v>
      </c>
      <c r="S21" s="706">
        <f>F21</f>
        <v>100</v>
      </c>
      <c r="T21" s="705" t="s">
        <v>14</v>
      </c>
      <c r="U21" s="706">
        <f>H21</f>
        <v>100</v>
      </c>
      <c r="V21" s="705" t="s">
        <v>14</v>
      </c>
      <c r="W21" s="706">
        <f>J21</f>
        <v>100</v>
      </c>
      <c r="X21" s="1355"/>
      <c r="Y21" s="375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04"/>
      <c r="M22" s="2698"/>
      <c r="N22" s="2698"/>
      <c r="O22" s="2756"/>
      <c r="P22" s="3758"/>
      <c r="Q22" s="1352"/>
      <c r="R22" s="705"/>
      <c r="S22" s="706"/>
      <c r="T22" s="705"/>
      <c r="U22" s="706"/>
      <c r="V22" s="705"/>
      <c r="W22" s="706"/>
      <c r="X22" s="1355"/>
      <c r="Y22" s="3758"/>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9"/>
      <c r="M23" s="2700"/>
      <c r="N23" s="2700"/>
      <c r="O23" s="2754"/>
      <c r="P23" s="3758"/>
      <c r="Q23" s="1343" t="str">
        <f t="shared" si="8"/>
        <v>公共配套设施</v>
      </c>
      <c r="R23" s="701" t="s">
        <v>14</v>
      </c>
      <c r="S23" s="702">
        <f>F23</f>
        <v>100</v>
      </c>
      <c r="T23" s="701" t="s">
        <v>14</v>
      </c>
      <c r="U23" s="702">
        <f>H23</f>
        <v>100</v>
      </c>
      <c r="V23" s="701" t="s">
        <v>14</v>
      </c>
      <c r="W23" s="702">
        <f>J23</f>
        <v>100</v>
      </c>
      <c r="X23" s="703"/>
      <c r="Y23" s="375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9"/>
      <c r="M24" s="2700"/>
      <c r="N24" s="2700"/>
      <c r="O24" s="2754"/>
      <c r="P24" s="3758"/>
      <c r="Q24" s="1343"/>
      <c r="R24" s="701"/>
      <c r="S24" s="702"/>
      <c r="T24" s="701"/>
      <c r="U24" s="702"/>
      <c r="V24" s="701"/>
      <c r="W24" s="702"/>
      <c r="X24" s="703"/>
      <c r="Y24" s="3758"/>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9"/>
      <c r="M25" s="2700"/>
      <c r="N25" s="2700"/>
      <c r="O25" s="2754"/>
      <c r="P25" s="3758"/>
      <c r="Q25" s="1343" t="str">
        <f t="shared" ref="Q25" si="9">B25</f>
        <v>基础设施水平</v>
      </c>
      <c r="R25" s="701" t="s">
        <v>14</v>
      </c>
      <c r="S25" s="702">
        <f>F25</f>
        <v>100</v>
      </c>
      <c r="T25" s="701" t="s">
        <v>14</v>
      </c>
      <c r="U25" s="702">
        <f>H25</f>
        <v>100</v>
      </c>
      <c r="V25" s="701" t="s">
        <v>14</v>
      </c>
      <c r="W25" s="702">
        <f>J25</f>
        <v>100</v>
      </c>
      <c r="X25" s="703"/>
      <c r="Y25" s="375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9"/>
      <c r="M26" s="2700"/>
      <c r="N26" s="2700"/>
      <c r="O26" s="2754"/>
      <c r="P26" s="3758"/>
      <c r="Q26" s="1343"/>
      <c r="R26" s="701"/>
      <c r="S26" s="702"/>
      <c r="T26" s="701"/>
      <c r="U26" s="702"/>
      <c r="V26" s="701"/>
      <c r="W26" s="702"/>
      <c r="X26" s="703"/>
      <c r="Y26" s="375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04"/>
      <c r="M27" s="2698"/>
      <c r="N27" s="2698"/>
      <c r="O27" s="2756"/>
      <c r="P27" s="375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8"/>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4"/>
      <c r="M28" s="2698"/>
      <c r="N28" s="2698"/>
      <c r="O28" s="2756"/>
      <c r="P28" s="3758"/>
      <c r="Q28" s="1352" t="str">
        <f t="shared" si="8"/>
        <v>毗邻道路的类型与等级</v>
      </c>
      <c r="R28" s="705" t="s">
        <v>14</v>
      </c>
      <c r="S28" s="706">
        <f t="shared" si="10"/>
        <v>100</v>
      </c>
      <c r="T28" s="705" t="s">
        <v>14</v>
      </c>
      <c r="U28" s="706">
        <f t="shared" si="11"/>
        <v>100</v>
      </c>
      <c r="V28" s="705" t="s">
        <v>14</v>
      </c>
      <c r="W28" s="706">
        <f t="shared" si="12"/>
        <v>100</v>
      </c>
      <c r="X28" s="1355"/>
      <c r="Y28" s="375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04"/>
      <c r="M29" s="2698"/>
      <c r="N29" s="2698"/>
      <c r="O29" s="2756"/>
      <c r="P29" s="3758"/>
      <c r="Q29" s="1352"/>
      <c r="R29" s="705"/>
      <c r="S29" s="706"/>
      <c r="T29" s="705"/>
      <c r="U29" s="706"/>
      <c r="V29" s="705"/>
      <c r="W29" s="706"/>
      <c r="X29" s="1355"/>
      <c r="Y29" s="3758"/>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4"/>
      <c r="M30" s="2698"/>
      <c r="N30" s="2698"/>
      <c r="O30" s="2756"/>
      <c r="P30" s="3758"/>
      <c r="Q30" s="1352" t="str">
        <f t="shared" si="8"/>
        <v>土地级别</v>
      </c>
      <c r="R30" s="705" t="s">
        <v>14</v>
      </c>
      <c r="S30" s="706">
        <f t="shared" si="10"/>
        <v>100</v>
      </c>
      <c r="T30" s="705" t="s">
        <v>14</v>
      </c>
      <c r="U30" s="706">
        <f t="shared" si="11"/>
        <v>100</v>
      </c>
      <c r="V30" s="705" t="s">
        <v>14</v>
      </c>
      <c r="W30" s="706">
        <f t="shared" si="12"/>
        <v>100</v>
      </c>
      <c r="X30" s="1355"/>
      <c r="Y30" s="375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4"/>
      <c r="M31" s="2698"/>
      <c r="N31" s="2698"/>
      <c r="O31" s="2756"/>
      <c r="P31" s="3758"/>
      <c r="Q31" s="1352">
        <f t="shared" si="8"/>
        <v>111</v>
      </c>
      <c r="R31" s="705" t="s">
        <v>14</v>
      </c>
      <c r="S31" s="706">
        <f t="shared" si="10"/>
        <v>100</v>
      </c>
      <c r="T31" s="705" t="s">
        <v>14</v>
      </c>
      <c r="U31" s="706">
        <f t="shared" si="11"/>
        <v>100</v>
      </c>
      <c r="V31" s="705" t="s">
        <v>14</v>
      </c>
      <c r="W31" s="706">
        <f t="shared" si="12"/>
        <v>100</v>
      </c>
      <c r="X31" s="1355"/>
      <c r="Y31" s="375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4"/>
      <c r="M32" s="2698"/>
      <c r="N32" s="2698"/>
      <c r="O32" s="2756"/>
      <c r="P32" s="3810" t="s">
        <v>1695</v>
      </c>
      <c r="Q32" s="1352">
        <f t="shared" si="8"/>
        <v>111</v>
      </c>
      <c r="R32" s="705" t="s">
        <v>14</v>
      </c>
      <c r="S32" s="706">
        <f t="shared" si="10"/>
        <v>100</v>
      </c>
      <c r="T32" s="705" t="s">
        <v>14</v>
      </c>
      <c r="U32" s="706">
        <f t="shared" si="11"/>
        <v>100</v>
      </c>
      <c r="V32" s="705" t="s">
        <v>14</v>
      </c>
      <c r="W32" s="706">
        <f t="shared" si="12"/>
        <v>100</v>
      </c>
      <c r="X32" s="1355"/>
      <c r="Y32" s="3762"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3"/>
      <c r="M33" s="2705"/>
      <c r="N33" s="2705"/>
      <c r="O33" s="2757"/>
      <c r="P33" s="3762"/>
      <c r="Q33" s="1352">
        <f t="shared" si="8"/>
        <v>111</v>
      </c>
      <c r="R33" s="708" t="s">
        <v>14</v>
      </c>
      <c r="S33" s="709">
        <f t="shared" si="10"/>
        <v>100</v>
      </c>
      <c r="T33" s="708" t="s">
        <v>14</v>
      </c>
      <c r="U33" s="709">
        <f t="shared" si="11"/>
        <v>100</v>
      </c>
      <c r="V33" s="708" t="s">
        <v>14</v>
      </c>
      <c r="W33" s="709">
        <f t="shared" si="12"/>
        <v>100</v>
      </c>
      <c r="X33" s="710"/>
      <c r="Y33" s="3762"/>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4"/>
      <c r="M34" s="2698"/>
      <c r="N34" s="2698"/>
      <c r="O34" s="2756"/>
      <c r="P34" s="3762"/>
      <c r="Q34" s="1352" t="str">
        <f>B34</f>
        <v>宗地面积</v>
      </c>
      <c r="R34" s="705" t="s">
        <v>14</v>
      </c>
      <c r="S34" s="706" t="e">
        <f t="shared" si="10"/>
        <v>#N/A</v>
      </c>
      <c r="T34" s="705" t="s">
        <v>14</v>
      </c>
      <c r="U34" s="706" t="e">
        <f t="shared" si="11"/>
        <v>#N/A</v>
      </c>
      <c r="V34" s="705" t="s">
        <v>14</v>
      </c>
      <c r="W34" s="706" t="e">
        <f t="shared" si="12"/>
        <v>#N/A</v>
      </c>
      <c r="X34" s="1355"/>
      <c r="Y34" s="3762"/>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04"/>
      <c r="M35" s="2698"/>
      <c r="N35" s="2698"/>
      <c r="O35" s="2756"/>
      <c r="P35" s="3762"/>
      <c r="Q35" s="1352" t="str">
        <f t="shared" ref="Q35:Q40" si="14">B35</f>
        <v>宗地形状</v>
      </c>
      <c r="R35" s="705" t="s">
        <v>14</v>
      </c>
      <c r="S35" s="706">
        <f t="shared" si="10"/>
        <v>100</v>
      </c>
      <c r="T35" s="705" t="s">
        <v>14</v>
      </c>
      <c r="U35" s="706">
        <f t="shared" si="11"/>
        <v>100</v>
      </c>
      <c r="V35" s="705" t="s">
        <v>14</v>
      </c>
      <c r="W35" s="706">
        <f t="shared" si="12"/>
        <v>100</v>
      </c>
      <c r="X35" s="1355"/>
      <c r="Y35" s="3762"/>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9"/>
      <c r="M36" s="2700"/>
      <c r="N36" s="2700"/>
      <c r="O36" s="2754"/>
      <c r="P36" s="3762"/>
      <c r="Q36" s="1352" t="str">
        <f t="shared" si="14"/>
        <v>宗地开发程度</v>
      </c>
      <c r="R36" s="701" t="s">
        <v>14</v>
      </c>
      <c r="S36" s="702">
        <f t="shared" si="10"/>
        <v>100</v>
      </c>
      <c r="T36" s="701" t="s">
        <v>14</v>
      </c>
      <c r="U36" s="702">
        <f t="shared" si="11"/>
        <v>100</v>
      </c>
      <c r="V36" s="701" t="s">
        <v>14</v>
      </c>
      <c r="W36" s="702">
        <f t="shared" si="12"/>
        <v>100</v>
      </c>
      <c r="X36" s="703"/>
      <c r="Y36" s="3762"/>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04"/>
      <c r="M37" s="2698"/>
      <c r="N37" s="2698"/>
      <c r="O37" s="2756"/>
      <c r="P37" s="3762" t="s">
        <v>1695</v>
      </c>
      <c r="Q37" s="1352" t="str">
        <f t="shared" si="14"/>
        <v>工程地质条件</v>
      </c>
      <c r="R37" s="705" t="s">
        <v>14</v>
      </c>
      <c r="S37" s="706">
        <f t="shared" si="10"/>
        <v>100</v>
      </c>
      <c r="T37" s="705" t="s">
        <v>14</v>
      </c>
      <c r="U37" s="706">
        <f t="shared" si="11"/>
        <v>100</v>
      </c>
      <c r="V37" s="705" t="s">
        <v>14</v>
      </c>
      <c r="W37" s="706">
        <f t="shared" si="12"/>
        <v>100</v>
      </c>
      <c r="X37" s="1355"/>
      <c r="Y37" s="3762"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4"/>
      <c r="M38" s="2698"/>
      <c r="N38" s="2698"/>
      <c r="O38" s="2756"/>
      <c r="P38" s="3762"/>
      <c r="Q38" s="1352">
        <f t="shared" si="14"/>
        <v>111</v>
      </c>
      <c r="R38" s="705" t="s">
        <v>14</v>
      </c>
      <c r="S38" s="706">
        <f t="shared" si="10"/>
        <v>100</v>
      </c>
      <c r="T38" s="705" t="s">
        <v>14</v>
      </c>
      <c r="U38" s="706">
        <f t="shared" si="11"/>
        <v>100</v>
      </c>
      <c r="V38" s="705" t="s">
        <v>14</v>
      </c>
      <c r="W38" s="706">
        <f t="shared" si="12"/>
        <v>100</v>
      </c>
      <c r="X38" s="1355"/>
      <c r="Y38" s="376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4"/>
      <c r="M39" s="2698"/>
      <c r="N39" s="2698"/>
      <c r="O39" s="2756"/>
      <c r="P39" s="3762"/>
      <c r="Q39" s="1352">
        <f t="shared" si="14"/>
        <v>111</v>
      </c>
      <c r="R39" s="705" t="s">
        <v>14</v>
      </c>
      <c r="S39" s="706">
        <f t="shared" si="10"/>
        <v>100</v>
      </c>
      <c r="T39" s="705" t="s">
        <v>14</v>
      </c>
      <c r="U39" s="706">
        <f t="shared" si="11"/>
        <v>100</v>
      </c>
      <c r="V39" s="705" t="s">
        <v>14</v>
      </c>
      <c r="W39" s="706">
        <f t="shared" si="12"/>
        <v>100</v>
      </c>
      <c r="X39" s="1355"/>
      <c r="Y39" s="376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03"/>
      <c r="M40" s="2705"/>
      <c r="N40" s="2705"/>
      <c r="O40" s="2757"/>
      <c r="P40" s="3762"/>
      <c r="Q40" s="1352">
        <f t="shared" si="14"/>
        <v>111</v>
      </c>
      <c r="R40" s="708" t="s">
        <v>14</v>
      </c>
      <c r="S40" s="709">
        <f t="shared" si="10"/>
        <v>100</v>
      </c>
      <c r="T40" s="708" t="s">
        <v>14</v>
      </c>
      <c r="U40" s="709">
        <f t="shared" si="11"/>
        <v>100</v>
      </c>
      <c r="V40" s="708" t="s">
        <v>14</v>
      </c>
      <c r="W40" s="709">
        <f t="shared" si="12"/>
        <v>100</v>
      </c>
      <c r="X40" s="710"/>
      <c r="Y40" s="3762"/>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06"/>
      <c r="M41" s="2698"/>
      <c r="N41" s="2698"/>
      <c r="O41" s="2707"/>
      <c r="P41" s="3764" t="str">
        <f>A41</f>
        <v>成交单价</v>
      </c>
      <c r="Q41" s="3764"/>
      <c r="R41" s="3726">
        <f>E41</f>
        <v>0</v>
      </c>
      <c r="S41" s="3726"/>
      <c r="T41" s="3726">
        <f>G41</f>
        <v>0</v>
      </c>
      <c r="U41" s="3726"/>
      <c r="V41" s="3726">
        <f>I41</f>
        <v>0</v>
      </c>
      <c r="W41" s="3726"/>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06"/>
      <c r="M42" s="2698"/>
      <c r="N42" s="2698"/>
      <c r="O42" s="2707"/>
      <c r="P42" s="3764" t="str">
        <f>A42</f>
        <v>比较价值（元/平方米）</v>
      </c>
      <c r="Q42" s="3764"/>
      <c r="R42" s="3812" t="e">
        <f>ROUND(PRODUCT(R41,AA7:AA40),0)</f>
        <v>#DIV/0!</v>
      </c>
      <c r="S42" s="3812"/>
      <c r="T42" s="3812" t="e">
        <f>ROUND(PRODUCT(T41,AB7:AB40),0)</f>
        <v>#DIV/0!</v>
      </c>
      <c r="U42" s="3812"/>
      <c r="V42" s="3812" t="e">
        <f>ROUND(PRODUCT(V41,AC7:AC40),0)</f>
        <v>#DIV/0!</v>
      </c>
      <c r="W42" s="3812"/>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06"/>
      <c r="M43" s="2698"/>
      <c r="N43" s="2698"/>
      <c r="O43" s="2707"/>
      <c r="P43" s="3766" t="str">
        <f>A43</f>
        <v>估价对象XX用房的比较价值（楼面单价，元/平方米）</v>
      </c>
      <c r="Q43" s="3767"/>
      <c r="R43" s="3813" t="e">
        <f>ROUND(IF(D42="简单平均",AVERAGE(R42:W42),R42*F42+T42*H42+V42*J42),0)</f>
        <v>#DIV/0!</v>
      </c>
      <c r="S43" s="3813"/>
      <c r="T43" s="3813"/>
      <c r="U43" s="3813"/>
      <c r="V43" s="3813"/>
      <c r="W43" s="3813"/>
      <c r="X43" s="690"/>
      <c r="Y43" s="690"/>
      <c r="Z43" s="690"/>
      <c r="AA43" s="690"/>
      <c r="AB43" s="690"/>
      <c r="AC43" s="690"/>
    </row>
    <row r="44" spans="1:31">
      <c r="A44" s="2707"/>
      <c r="B44" s="2707"/>
      <c r="C44" s="2707"/>
      <c r="D44" s="2707"/>
      <c r="E44" s="2707"/>
      <c r="F44" s="2707"/>
      <c r="G44" s="2711"/>
      <c r="H44" s="2707"/>
      <c r="I44" s="2707"/>
      <c r="J44" s="2707"/>
      <c r="K44" s="2712"/>
      <c r="L44" s="2708"/>
      <c r="M44" s="2698"/>
      <c r="N44" s="2698"/>
      <c r="O44" s="2707"/>
      <c r="P44" s="2707"/>
      <c r="Q44" s="2707"/>
      <c r="R44" s="2707"/>
      <c r="S44" s="2707"/>
      <c r="T44" s="2707"/>
      <c r="U44" s="2707"/>
      <c r="V44" s="2707"/>
      <c r="W44" s="2707"/>
      <c r="X44" s="2707"/>
      <c r="Y44" s="2707"/>
      <c r="Z44" s="2707"/>
      <c r="AA44" s="2707"/>
      <c r="AB44" s="2707"/>
      <c r="AC44" s="2707"/>
      <c r="AD44" s="2707"/>
      <c r="AE44" s="2707"/>
    </row>
    <row r="45" spans="1:31">
      <c r="A45" s="2707"/>
      <c r="B45" s="2707"/>
      <c r="C45" s="2707"/>
      <c r="D45" s="2707"/>
      <c r="E45" s="2707"/>
      <c r="F45" s="2707"/>
      <c r="G45" s="2707"/>
      <c r="H45" s="2707"/>
      <c r="I45" s="2707"/>
      <c r="J45" s="2707"/>
      <c r="K45" s="2712"/>
      <c r="L45" s="2708"/>
      <c r="M45" s="2698"/>
      <c r="N45" s="2698"/>
      <c r="O45" s="2707"/>
      <c r="P45" s="2707"/>
      <c r="Q45" s="2707"/>
      <c r="R45" s="2707"/>
      <c r="S45" s="2707"/>
      <c r="T45" s="2707"/>
      <c r="U45" s="2707"/>
      <c r="V45" s="2707"/>
      <c r="W45" s="2707"/>
      <c r="X45" s="2707"/>
      <c r="Y45" s="2707"/>
      <c r="Z45" s="2707"/>
      <c r="AA45" s="2707"/>
      <c r="AB45" s="2707"/>
      <c r="AC45" s="2707"/>
      <c r="AD45" s="2707"/>
      <c r="AE45" s="2707"/>
    </row>
    <row r="46" spans="1:31" ht="13.5" customHeight="1">
      <c r="A46" s="2707"/>
      <c r="B46" s="2707"/>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2"/>
      <c r="L46" s="2708"/>
      <c r="M46" s="2698"/>
      <c r="N46" s="2698"/>
      <c r="O46" s="2707"/>
      <c r="P46" s="2707"/>
      <c r="Q46" s="2707"/>
      <c r="R46" s="2707"/>
      <c r="S46" s="2707"/>
      <c r="T46" s="2707"/>
      <c r="U46" s="2707"/>
      <c r="V46" s="2707"/>
      <c r="W46" s="2707"/>
      <c r="X46" s="2707"/>
      <c r="Y46" s="2707"/>
      <c r="Z46" s="2707"/>
      <c r="AA46" s="2707"/>
      <c r="AB46" s="2707"/>
      <c r="AC46" s="2707"/>
      <c r="AD46" s="2707"/>
      <c r="AE46" s="2707"/>
    </row>
    <row r="47" spans="1:31" ht="13.5" customHeight="1">
      <c r="A47" s="2707"/>
      <c r="B47" s="2707"/>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2"/>
      <c r="L47" s="2708"/>
      <c r="M47" s="2707"/>
      <c r="N47" s="2707"/>
      <c r="O47" s="2707"/>
      <c r="P47" s="2707"/>
      <c r="Q47" s="2707"/>
      <c r="R47" s="2707"/>
      <c r="S47" s="2707"/>
      <c r="T47" s="2707"/>
      <c r="U47" s="2707"/>
      <c r="V47" s="2707"/>
      <c r="W47" s="2707"/>
      <c r="X47" s="2707"/>
      <c r="Y47" s="2707"/>
      <c r="Z47" s="2707"/>
      <c r="AA47" s="2707"/>
      <c r="AB47" s="2707"/>
      <c r="AC47" s="2707"/>
      <c r="AD47" s="2707"/>
      <c r="AE47" s="2707"/>
    </row>
    <row r="48" spans="1:31" s="451" customFormat="1" ht="13.5" customHeight="1">
      <c r="A48" s="2710"/>
      <c r="B48" s="2710"/>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5"/>
      <c r="L48" s="2709"/>
      <c r="M48" s="2710"/>
      <c r="N48" s="2710"/>
      <c r="O48" s="2710"/>
      <c r="P48" s="2710"/>
      <c r="Q48" s="2710"/>
      <c r="R48" s="2710"/>
      <c r="S48" s="2710"/>
      <c r="T48" s="2710"/>
      <c r="U48" s="2710"/>
      <c r="V48" s="2710"/>
      <c r="W48" s="2710"/>
      <c r="X48" s="2710"/>
      <c r="Y48" s="2710"/>
      <c r="Z48" s="2710"/>
      <c r="AA48" s="2710"/>
      <c r="AB48" s="2710"/>
      <c r="AC48" s="2710"/>
      <c r="AD48" s="2710"/>
      <c r="AE48" s="2710"/>
    </row>
    <row r="49" spans="1:31" s="451" customFormat="1" ht="15" thickBot="1">
      <c r="A49" s="2710"/>
      <c r="B49" s="2713"/>
      <c r="C49" s="693"/>
      <c r="D49" s="691"/>
      <c r="E49" s="691"/>
      <c r="F49" s="691"/>
      <c r="G49" s="691"/>
      <c r="H49" s="691"/>
      <c r="I49" s="691"/>
      <c r="J49" s="691"/>
      <c r="K49" s="2715"/>
      <c r="L49" s="2709"/>
      <c r="M49" s="2710"/>
      <c r="N49" s="2710"/>
      <c r="O49" s="2710"/>
      <c r="P49" s="2710"/>
      <c r="Q49" s="2710"/>
      <c r="R49" s="2710"/>
      <c r="S49" s="2710"/>
      <c r="T49" s="2710"/>
      <c r="U49" s="2710"/>
      <c r="V49" s="2710"/>
      <c r="W49" s="2710"/>
      <c r="X49" s="2710"/>
      <c r="Y49" s="2710"/>
      <c r="Z49" s="2710"/>
      <c r="AA49" s="2710"/>
      <c r="AB49" s="2710"/>
      <c r="AC49" s="2710"/>
      <c r="AD49" s="2710"/>
      <c r="AE49" s="2710"/>
    </row>
    <row r="50" spans="1:31" ht="27">
      <c r="A50" s="632" t="s">
        <v>1880</v>
      </c>
      <c r="B50" s="633" t="s">
        <v>1881</v>
      </c>
      <c r="C50" s="1983" t="s">
        <v>1882</v>
      </c>
      <c r="D50" s="1984" t="s">
        <v>1883</v>
      </c>
      <c r="E50" s="634" t="s">
        <v>1884</v>
      </c>
      <c r="F50" s="635" t="s">
        <v>1885</v>
      </c>
      <c r="G50" s="3742" t="s">
        <v>1886</v>
      </c>
      <c r="H50" s="3814"/>
      <c r="I50" s="1356" t="s">
        <v>1922</v>
      </c>
      <c r="J50" s="1356">
        <f>项目基本情况!F35</f>
        <v>0</v>
      </c>
      <c r="K50" s="1986" t="s">
        <v>1888</v>
      </c>
      <c r="L50" s="2708"/>
      <c r="M50" s="2707"/>
      <c r="N50" s="2707"/>
      <c r="O50" s="2707"/>
      <c r="P50" s="2707"/>
      <c r="Q50" s="2707"/>
      <c r="R50" s="2707"/>
      <c r="S50" s="2707"/>
      <c r="T50" s="2707"/>
      <c r="U50" s="2707"/>
      <c r="V50" s="2707"/>
      <c r="W50" s="2707"/>
      <c r="X50" s="2707"/>
      <c r="Y50" s="2707"/>
      <c r="Z50" s="2707"/>
      <c r="AA50" s="2707"/>
      <c r="AB50" s="2707"/>
      <c r="AC50" s="2707"/>
      <c r="AD50" s="2707"/>
      <c r="AE50" s="2707"/>
    </row>
    <row r="51" spans="1:31" s="640" customFormat="1">
      <c r="A51" s="636" t="s">
        <v>1889</v>
      </c>
      <c r="B51" s="637" t="e">
        <f>C43</f>
        <v>#DIV/0!</v>
      </c>
      <c r="C51" s="638">
        <v>1</v>
      </c>
      <c r="D51" s="944">
        <v>1</v>
      </c>
      <c r="E51" s="638">
        <f>'数据-汇总表'!E8+'数据-汇总表'!E9</f>
        <v>14866.55</v>
      </c>
      <c r="F51" s="639" t="e">
        <f t="shared" ref="F51:F60" si="15">ROUND(B51*E51/10000,0)</f>
        <v>#DIV/0!</v>
      </c>
      <c r="G51" s="3741"/>
      <c r="H51" s="3764"/>
      <c r="I51" s="773">
        <v>1</v>
      </c>
      <c r="J51" s="773">
        <v>1</v>
      </c>
      <c r="K51" s="2710"/>
      <c r="L51" s="2764"/>
      <c r="M51" s="2764"/>
      <c r="N51" s="2764"/>
      <c r="O51" s="2764"/>
      <c r="P51" s="2764"/>
      <c r="Q51" s="2764"/>
      <c r="R51" s="2764"/>
      <c r="S51" s="2764"/>
      <c r="T51" s="2764"/>
      <c r="U51" s="2764"/>
      <c r="V51" s="2764"/>
      <c r="W51" s="2764"/>
      <c r="X51" s="2764"/>
      <c r="Y51" s="2764"/>
      <c r="Z51" s="2764"/>
      <c r="AA51" s="2764"/>
      <c r="AB51" s="2764"/>
      <c r="AC51" s="2764"/>
      <c r="AD51" s="2764"/>
      <c r="AE51" s="2764"/>
    </row>
    <row r="52" spans="1:31" s="640" customFormat="1">
      <c r="A52" s="641" t="s">
        <v>1890</v>
      </c>
      <c r="B52" s="218" t="e">
        <f>ROUND($C$43*C52*D52,0)</f>
        <v>#DIV/0!</v>
      </c>
      <c r="C52" s="171">
        <f t="shared" ref="C52:C60" si="16">IF($C$50="北京市系数",I52,J52)</f>
        <v>0.7</v>
      </c>
      <c r="D52" s="945">
        <v>0.25</v>
      </c>
      <c r="E52" s="642"/>
      <c r="F52" s="639" t="e">
        <f t="shared" si="15"/>
        <v>#DIV/0!</v>
      </c>
      <c r="G52" s="2988" t="s">
        <v>1891</v>
      </c>
      <c r="H52" s="887" t="str">
        <f>项目基本情况!B37</f>
        <v>二级</v>
      </c>
      <c r="I52" s="773">
        <f>SUMIF(修正!A57:A68,H52,修正!B57:B68)</f>
        <v>0.7</v>
      </c>
      <c r="J52" s="774"/>
      <c r="K52" s="2707"/>
      <c r="L52" s="2764"/>
      <c r="M52" s="2764"/>
      <c r="N52" s="2764"/>
      <c r="O52" s="2764"/>
      <c r="P52" s="2764"/>
      <c r="Q52" s="2764"/>
      <c r="R52" s="2764"/>
      <c r="S52" s="2764"/>
      <c r="T52" s="2764"/>
      <c r="U52" s="2764"/>
      <c r="V52" s="2764"/>
      <c r="W52" s="2764"/>
      <c r="X52" s="2764"/>
      <c r="Y52" s="2764"/>
      <c r="Z52" s="2764"/>
      <c r="AA52" s="2764"/>
      <c r="AB52" s="2764"/>
      <c r="AC52" s="2764"/>
      <c r="AD52" s="2764"/>
      <c r="AE52" s="2764"/>
    </row>
    <row r="53" spans="1:31" s="640" customFormat="1">
      <c r="A53" s="641" t="s">
        <v>1892</v>
      </c>
      <c r="B53" s="218" t="e">
        <f t="shared" ref="B53:B60" si="17">ROUND($C$43*C53*D53,0)</f>
        <v>#DIV/0!</v>
      </c>
      <c r="C53" s="171">
        <f t="shared" si="16"/>
        <v>0.4</v>
      </c>
      <c r="D53" s="945">
        <v>0.25</v>
      </c>
      <c r="E53" s="642"/>
      <c r="F53" s="639" t="e">
        <f t="shared" si="15"/>
        <v>#DIV/0!</v>
      </c>
      <c r="G53" s="2989"/>
      <c r="H53" s="887" t="str">
        <f>项目基本情况!B37</f>
        <v>二级</v>
      </c>
      <c r="I53" s="773">
        <f>SUMIF(修正!A57:A68,H53,修正!C57:C68)</f>
        <v>0.4</v>
      </c>
      <c r="J53" s="774"/>
      <c r="K53" s="2710"/>
      <c r="L53" s="2764"/>
      <c r="M53" s="2764"/>
      <c r="N53" s="2764"/>
      <c r="O53" s="2764"/>
      <c r="P53" s="2764"/>
      <c r="Q53" s="2764"/>
      <c r="R53" s="2764"/>
      <c r="S53" s="2764"/>
      <c r="T53" s="2764"/>
      <c r="U53" s="2764"/>
      <c r="V53" s="2764"/>
      <c r="W53" s="2764"/>
      <c r="X53" s="2764"/>
      <c r="Y53" s="2764"/>
      <c r="Z53" s="2764"/>
      <c r="AA53" s="2764"/>
      <c r="AB53" s="2764"/>
      <c r="AC53" s="2764"/>
      <c r="AD53" s="2764"/>
      <c r="AE53" s="2764"/>
    </row>
    <row r="54" spans="1:31" s="640" customFormat="1">
      <c r="A54" s="641" t="s">
        <v>1893</v>
      </c>
      <c r="B54" s="218" t="e">
        <f t="shared" si="17"/>
        <v>#DIV/0!</v>
      </c>
      <c r="C54" s="171">
        <f t="shared" si="16"/>
        <v>0.3</v>
      </c>
      <c r="D54" s="945">
        <v>0.25</v>
      </c>
      <c r="E54" s="642"/>
      <c r="F54" s="639" t="e">
        <f t="shared" si="15"/>
        <v>#DIV/0!</v>
      </c>
      <c r="G54" s="2989"/>
      <c r="H54" s="887" t="str">
        <f>项目基本情况!B37</f>
        <v>二级</v>
      </c>
      <c r="I54" s="773">
        <f>SUMIF(修正!A57:A68,H54,修正!D57:D68)</f>
        <v>0.3</v>
      </c>
      <c r="J54" s="774"/>
      <c r="K54" s="2707"/>
      <c r="L54" s="2764"/>
      <c r="M54" s="2764"/>
      <c r="N54" s="2764"/>
      <c r="O54" s="2764"/>
      <c r="P54" s="2764"/>
      <c r="Q54" s="2764"/>
      <c r="R54" s="2764"/>
      <c r="S54" s="2764"/>
      <c r="T54" s="2764"/>
      <c r="U54" s="2764"/>
      <c r="V54" s="2764"/>
      <c r="W54" s="2764"/>
      <c r="X54" s="2764"/>
      <c r="Y54" s="2764"/>
      <c r="Z54" s="2764"/>
      <c r="AA54" s="2764"/>
      <c r="AB54" s="2764"/>
      <c r="AC54" s="2764"/>
      <c r="AD54" s="2764"/>
      <c r="AE54" s="2764"/>
    </row>
    <row r="55" spans="1:31" s="640" customFormat="1" hidden="1">
      <c r="A55" s="641"/>
      <c r="B55" s="218"/>
      <c r="C55" s="171"/>
      <c r="D55" s="945"/>
      <c r="E55" s="642"/>
      <c r="F55" s="639"/>
      <c r="G55" s="2990"/>
      <c r="H55" s="887"/>
      <c r="I55" s="773"/>
      <c r="J55" s="774"/>
      <c r="K55" s="2710"/>
      <c r="L55" s="2764"/>
      <c r="M55" s="2764"/>
      <c r="N55" s="2764"/>
      <c r="O55" s="2764"/>
      <c r="P55" s="2764"/>
      <c r="Q55" s="2764"/>
      <c r="R55" s="2764"/>
      <c r="S55" s="2764"/>
      <c r="T55" s="2764"/>
      <c r="U55" s="2764"/>
      <c r="V55" s="2764"/>
      <c r="W55" s="2764"/>
      <c r="X55" s="2764"/>
      <c r="Y55" s="2764"/>
      <c r="Z55" s="2764"/>
      <c r="AA55" s="2764"/>
      <c r="AB55" s="2764"/>
      <c r="AC55" s="2764"/>
      <c r="AD55" s="2764"/>
      <c r="AE55" s="2764"/>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07"/>
      <c r="L56" s="2764"/>
      <c r="M56" s="2764"/>
      <c r="N56" s="2764"/>
      <c r="O56" s="2764"/>
      <c r="P56" s="2764"/>
      <c r="Q56" s="2764"/>
      <c r="R56" s="2764"/>
      <c r="S56" s="2764"/>
      <c r="T56" s="2764"/>
      <c r="U56" s="2764"/>
      <c r="V56" s="2764"/>
      <c r="W56" s="2764"/>
      <c r="X56" s="2764"/>
      <c r="Y56" s="2764"/>
      <c r="Z56" s="2764"/>
      <c r="AA56" s="2764"/>
      <c r="AB56" s="2764"/>
      <c r="AC56" s="2764"/>
      <c r="AD56" s="2764"/>
      <c r="AE56" s="2764"/>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10"/>
      <c r="L57" s="2764"/>
      <c r="M57" s="2764"/>
      <c r="N57" s="2764"/>
      <c r="O57" s="2764"/>
      <c r="P57" s="2764"/>
      <c r="Q57" s="2764"/>
      <c r="R57" s="2764"/>
      <c r="S57" s="2764"/>
      <c r="T57" s="2764"/>
      <c r="U57" s="2764"/>
      <c r="V57" s="2764"/>
      <c r="W57" s="2764"/>
      <c r="X57" s="2764"/>
      <c r="Y57" s="2764"/>
      <c r="Z57" s="2764"/>
      <c r="AA57" s="2764"/>
      <c r="AB57" s="2764"/>
      <c r="AC57" s="2764"/>
      <c r="AD57" s="2764"/>
      <c r="AE57" s="2764"/>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07"/>
      <c r="L58" s="2764"/>
      <c r="M58" s="2764"/>
      <c r="N58" s="2764"/>
      <c r="O58" s="2764"/>
      <c r="P58" s="2764"/>
      <c r="Q58" s="2764"/>
      <c r="R58" s="2764"/>
      <c r="S58" s="2764"/>
      <c r="T58" s="2764"/>
      <c r="U58" s="2764"/>
      <c r="V58" s="2764"/>
      <c r="W58" s="2764"/>
      <c r="X58" s="2764"/>
      <c r="Y58" s="2764"/>
      <c r="Z58" s="2764"/>
      <c r="AA58" s="2764"/>
      <c r="AB58" s="2764"/>
      <c r="AC58" s="2764"/>
      <c r="AD58" s="2764"/>
      <c r="AE58" s="2764"/>
    </row>
    <row r="59" spans="1:31" s="640" customFormat="1">
      <c r="A59" s="641" t="s">
        <v>1900</v>
      </c>
      <c r="B59" s="218" t="e">
        <f t="shared" si="17"/>
        <v>#DIV/0!</v>
      </c>
      <c r="C59" s="171">
        <f t="shared" si="16"/>
        <v>0.2</v>
      </c>
      <c r="D59" s="945">
        <v>0.25</v>
      </c>
      <c r="E59" s="217">
        <f>'数据-汇总表'!E14</f>
        <v>8609.76</v>
      </c>
      <c r="F59" s="639" t="e">
        <f t="shared" si="15"/>
        <v>#DIV/0!</v>
      </c>
      <c r="G59" s="1987" t="s">
        <v>1891</v>
      </c>
      <c r="H59" s="887" t="str">
        <f>项目基本情况!B37</f>
        <v>二级</v>
      </c>
      <c r="I59" s="773">
        <f>SUMIF(修正!A57:A68,H59,修正!G57:G68)</f>
        <v>0.2</v>
      </c>
      <c r="J59" s="774"/>
      <c r="K59" s="2710"/>
      <c r="L59" s="2764"/>
      <c r="M59" s="2764"/>
      <c r="N59" s="2764"/>
      <c r="O59" s="2764"/>
      <c r="P59" s="2764"/>
      <c r="Q59" s="2764"/>
      <c r="R59" s="2764"/>
      <c r="S59" s="2764"/>
      <c r="T59" s="2764"/>
      <c r="U59" s="2764"/>
      <c r="V59" s="2764"/>
      <c r="W59" s="2764"/>
      <c r="X59" s="2764"/>
      <c r="Y59" s="2764"/>
      <c r="Z59" s="2764"/>
      <c r="AA59" s="2764"/>
      <c r="AB59" s="2764"/>
      <c r="AC59" s="2764"/>
      <c r="AD59" s="2764"/>
      <c r="AE59" s="2764"/>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07"/>
      <c r="L60" s="2764"/>
      <c r="M60" s="2764"/>
      <c r="N60" s="2764"/>
      <c r="O60" s="2764"/>
      <c r="P60" s="2764"/>
      <c r="Q60" s="2764"/>
      <c r="R60" s="2764"/>
      <c r="S60" s="2764"/>
      <c r="T60" s="2764"/>
      <c r="U60" s="2764"/>
      <c r="V60" s="2764"/>
      <c r="W60" s="2764"/>
      <c r="X60" s="2764"/>
      <c r="Y60" s="2764"/>
      <c r="Z60" s="2764"/>
      <c r="AA60" s="2764"/>
      <c r="AB60" s="2764"/>
      <c r="AC60" s="2764"/>
      <c r="AD60" s="2764"/>
      <c r="AE60" s="2764"/>
    </row>
    <row r="61" spans="1:31" s="640" customFormat="1" ht="15" thickBot="1">
      <c r="A61" s="643" t="s">
        <v>1902</v>
      </c>
      <c r="B61" s="644" t="s">
        <v>22</v>
      </c>
      <c r="C61" s="644" t="s">
        <v>23</v>
      </c>
      <c r="D61" s="644" t="s">
        <v>392</v>
      </c>
      <c r="E61" s="644">
        <f>IF(B41="楼面地价",SUM(E51:E60),'数据-汇总表'!D3)</f>
        <v>6123.19</v>
      </c>
      <c r="F61" s="645" t="e">
        <f>IF(B41="楼面地价",SUM(F51:F60),ROUND(C43*E61/10000,0))</f>
        <v>#DIV/0!</v>
      </c>
      <c r="G61" s="939"/>
      <c r="H61" s="939"/>
      <c r="I61" s="939"/>
      <c r="J61" s="939"/>
      <c r="K61" s="2712"/>
      <c r="L61" s="2764"/>
      <c r="M61" s="2764"/>
      <c r="N61" s="2764"/>
      <c r="O61" s="2764"/>
      <c r="P61" s="2764"/>
      <c r="Q61" s="2764"/>
      <c r="R61" s="2764"/>
      <c r="S61" s="2764"/>
      <c r="T61" s="2764"/>
      <c r="U61" s="2764"/>
      <c r="V61" s="2764"/>
      <c r="W61" s="2764"/>
      <c r="X61" s="2764"/>
      <c r="Y61" s="2764"/>
      <c r="Z61" s="2764"/>
      <c r="AA61" s="2764"/>
      <c r="AB61" s="2764"/>
      <c r="AC61" s="2764"/>
      <c r="AD61" s="2764"/>
      <c r="AE61" s="2764"/>
    </row>
    <row r="62" spans="1:31">
      <c r="A62" s="927"/>
      <c r="B62" s="929"/>
      <c r="C62" s="931"/>
      <c r="D62" s="927"/>
      <c r="E62" s="927"/>
      <c r="F62" s="927"/>
      <c r="G62" s="927"/>
      <c r="H62" s="927"/>
      <c r="I62" s="927"/>
      <c r="J62" s="927"/>
      <c r="K62" s="888"/>
      <c r="L62" s="889"/>
      <c r="M62" s="927"/>
      <c r="N62" s="927"/>
      <c r="O62" s="927"/>
      <c r="P62" s="2707"/>
      <c r="Q62" s="2707"/>
      <c r="R62" s="2707"/>
      <c r="S62" s="2707"/>
      <c r="T62" s="2707"/>
      <c r="U62" s="2707"/>
      <c r="V62" s="2707"/>
      <c r="W62" s="2707"/>
      <c r="X62" s="2707"/>
      <c r="Y62" s="2707"/>
      <c r="Z62" s="2707"/>
      <c r="AA62" s="2707"/>
      <c r="AB62" s="2707"/>
      <c r="AC62" s="2707"/>
      <c r="AD62" s="2707"/>
      <c r="AE62" s="2707"/>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07"/>
      <c r="Q63" s="2707"/>
      <c r="R63" s="2707"/>
      <c r="S63" s="2707"/>
      <c r="T63" s="2707"/>
      <c r="U63" s="2707"/>
      <c r="V63" s="2707"/>
      <c r="W63" s="2707"/>
      <c r="X63" s="2707"/>
      <c r="Y63" s="2707"/>
      <c r="Z63" s="2707"/>
      <c r="AA63" s="2707"/>
      <c r="AB63" s="2707"/>
      <c r="AC63" s="2707"/>
      <c r="AD63" s="2707"/>
      <c r="AE63" s="2707"/>
    </row>
    <row r="64" spans="1:31" ht="21.75" thickBot="1">
      <c r="A64" s="694" t="s">
        <v>1797</v>
      </c>
      <c r="B64" s="690"/>
      <c r="C64" s="695"/>
      <c r="D64" s="695"/>
      <c r="E64" s="695"/>
      <c r="F64" s="696"/>
      <c r="G64" s="696"/>
      <c r="H64" s="695"/>
      <c r="I64" s="695"/>
      <c r="J64" s="695"/>
      <c r="K64" s="697"/>
      <c r="L64" s="698"/>
      <c r="M64" s="695"/>
      <c r="N64" s="695"/>
      <c r="O64" s="940"/>
      <c r="P64" s="2751"/>
      <c r="Q64" s="2721"/>
      <c r="R64" s="2707"/>
      <c r="S64" s="2707"/>
      <c r="T64" s="2707"/>
      <c r="U64" s="2707"/>
      <c r="V64" s="2707"/>
      <c r="W64" s="2707"/>
      <c r="X64" s="2707"/>
      <c r="Y64" s="2707"/>
      <c r="Z64" s="2707"/>
      <c r="AA64" s="2707"/>
      <c r="AB64" s="2707"/>
      <c r="AC64" s="2707"/>
      <c r="AD64" s="2707"/>
      <c r="AE64" s="2707"/>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58"/>
      <c r="Q65" s="2723"/>
      <c r="R65" s="2723"/>
      <c r="S65" s="2723"/>
      <c r="T65" s="2723"/>
      <c r="U65" s="2723"/>
      <c r="V65" s="2723"/>
      <c r="W65" s="2723"/>
      <c r="X65" s="2723"/>
      <c r="Y65" s="2723"/>
      <c r="Z65" s="2723"/>
      <c r="AA65" s="2723"/>
      <c r="AB65" s="2723"/>
      <c r="AC65" s="2723"/>
      <c r="AD65" s="2723"/>
      <c r="AE65" s="2723"/>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21"/>
      <c r="Q66" s="2643"/>
      <c r="R66" s="2643"/>
      <c r="S66" s="2643"/>
      <c r="T66" s="2643"/>
      <c r="U66" s="2643"/>
      <c r="V66" s="2643"/>
      <c r="W66" s="2643"/>
      <c r="X66" s="2643"/>
      <c r="Y66" s="2643"/>
      <c r="Z66" s="2643"/>
      <c r="AA66" s="2643"/>
      <c r="AB66" s="2643"/>
      <c r="AC66" s="2643"/>
      <c r="AD66" s="2643"/>
      <c r="AE66" s="2643"/>
    </row>
    <row r="67" spans="1:31" s="108" customFormat="1" ht="15.75" thickBot="1">
      <c r="A67" s="464" t="s">
        <v>1715</v>
      </c>
      <c r="B67" s="465"/>
      <c r="C67" s="466"/>
      <c r="D67" s="467"/>
      <c r="E67" s="467"/>
      <c r="F67" s="467"/>
      <c r="G67" s="467"/>
      <c r="H67" s="467"/>
      <c r="I67" s="467"/>
      <c r="J67" s="467"/>
      <c r="K67" s="467"/>
      <c r="L67" s="467"/>
      <c r="M67" s="468"/>
      <c r="N67" s="468"/>
      <c r="O67" s="469"/>
      <c r="P67" s="2721"/>
      <c r="Q67" s="2721"/>
      <c r="R67" s="2643"/>
      <c r="S67" s="2643"/>
      <c r="T67" s="2643"/>
      <c r="U67" s="2643"/>
      <c r="V67" s="2643"/>
      <c r="W67" s="2643"/>
      <c r="X67" s="2643"/>
      <c r="Y67" s="2643"/>
      <c r="Z67" s="2643"/>
      <c r="AA67" s="2643"/>
      <c r="AB67" s="2643"/>
      <c r="AC67" s="2643"/>
      <c r="AD67" s="2643"/>
      <c r="AE67" s="2643"/>
    </row>
    <row r="68" spans="1:31" s="108" customFormat="1" ht="15">
      <c r="A68" s="470" t="s">
        <v>1680</v>
      </c>
      <c r="B68" s="459"/>
      <c r="C68" s="471" t="s">
        <v>1775</v>
      </c>
      <c r="D68" s="472"/>
      <c r="E68" s="472"/>
      <c r="F68" s="472"/>
      <c r="G68" s="472"/>
      <c r="H68" s="472"/>
      <c r="I68" s="472"/>
      <c r="J68" s="472"/>
      <c r="K68" s="472"/>
      <c r="L68" s="473"/>
      <c r="M68" s="474"/>
      <c r="N68" s="2734"/>
      <c r="O68" s="2734"/>
      <c r="P68" s="2759"/>
      <c r="Q68" s="2721"/>
      <c r="R68" s="2643"/>
      <c r="S68" s="2643"/>
      <c r="T68" s="2643"/>
      <c r="U68" s="2643"/>
      <c r="V68" s="2643"/>
      <c r="W68" s="2643"/>
      <c r="X68" s="2643"/>
      <c r="Y68" s="2643"/>
      <c r="Z68" s="2643"/>
      <c r="AA68" s="2643"/>
      <c r="AB68" s="2643"/>
      <c r="AC68" s="2643"/>
      <c r="AD68" s="2643"/>
      <c r="AE68" s="2643"/>
    </row>
    <row r="69" spans="1:31" s="108" customFormat="1" ht="15.75" thickBot="1">
      <c r="A69" s="470"/>
      <c r="B69" s="459"/>
      <c r="C69" s="587">
        <v>100</v>
      </c>
      <c r="D69" s="461"/>
      <c r="E69" s="461"/>
      <c r="F69" s="461"/>
      <c r="G69" s="461"/>
      <c r="H69" s="461"/>
      <c r="I69" s="461"/>
      <c r="J69" s="461"/>
      <c r="K69" s="461"/>
      <c r="L69" s="461"/>
      <c r="M69" s="463"/>
      <c r="N69" s="2734"/>
      <c r="O69" s="2734"/>
      <c r="P69" s="2721"/>
      <c r="Q69" s="2721"/>
      <c r="R69" s="2643"/>
      <c r="S69" s="2643"/>
      <c r="T69" s="2643"/>
      <c r="U69" s="2643"/>
      <c r="V69" s="2643"/>
      <c r="W69" s="2643"/>
      <c r="X69" s="2643"/>
      <c r="Y69" s="2643"/>
      <c r="Z69" s="2643"/>
      <c r="AA69" s="2643"/>
      <c r="AB69" s="2643"/>
      <c r="AC69" s="2643"/>
      <c r="AD69" s="2643"/>
      <c r="AE69" s="2643"/>
    </row>
    <row r="70" spans="1:31">
      <c r="A70" s="476" t="s">
        <v>1718</v>
      </c>
      <c r="B70" s="477" t="s">
        <v>1684</v>
      </c>
      <c r="C70" s="479"/>
      <c r="D70" s="479"/>
      <c r="E70" s="479"/>
      <c r="F70" s="479"/>
      <c r="G70" s="479"/>
      <c r="H70" s="479"/>
      <c r="I70" s="479"/>
      <c r="J70" s="479"/>
      <c r="K70" s="480"/>
      <c r="L70" s="481"/>
      <c r="M70" s="482"/>
      <c r="N70" s="2735"/>
      <c r="O70" s="2735"/>
      <c r="P70" s="2760"/>
      <c r="Q70" s="2721"/>
      <c r="R70" s="2707"/>
      <c r="S70" s="2707"/>
      <c r="T70" s="2707"/>
      <c r="U70" s="2707"/>
      <c r="V70" s="2707"/>
      <c r="W70" s="2707"/>
      <c r="X70" s="2707"/>
      <c r="Y70" s="2707"/>
      <c r="Z70" s="2707"/>
      <c r="AA70" s="2707"/>
      <c r="AB70" s="2707"/>
      <c r="AC70" s="2707"/>
      <c r="AD70" s="2707"/>
      <c r="AE70" s="2707"/>
    </row>
    <row r="71" spans="1:31" ht="15.75" thickBot="1">
      <c r="A71" s="483"/>
      <c r="B71" s="484"/>
      <c r="C71" s="485"/>
      <c r="D71" s="485"/>
      <c r="E71" s="485"/>
      <c r="F71" s="485"/>
      <c r="G71" s="485"/>
      <c r="H71" s="485"/>
      <c r="I71" s="485"/>
      <c r="J71" s="485"/>
      <c r="K71" s="485"/>
      <c r="L71" s="485"/>
      <c r="M71" s="486"/>
      <c r="N71" s="2736"/>
      <c r="O71" s="2736"/>
      <c r="P71" s="2760"/>
      <c r="Q71" s="2721"/>
      <c r="R71" s="2707"/>
      <c r="S71" s="2707"/>
      <c r="T71" s="2707"/>
      <c r="U71" s="2707"/>
      <c r="V71" s="2707"/>
      <c r="W71" s="2707"/>
      <c r="X71" s="2707"/>
      <c r="Y71" s="2707"/>
      <c r="Z71" s="2707"/>
      <c r="AA71" s="2707"/>
      <c r="AB71" s="2707"/>
      <c r="AC71" s="2707"/>
      <c r="AD71" s="2707"/>
      <c r="AE71" s="2707"/>
    </row>
    <row r="72" spans="1:31" ht="27.75" thickTop="1">
      <c r="A72" s="483"/>
      <c r="B72" s="487" t="s">
        <v>1687</v>
      </c>
      <c r="C72" s="488"/>
      <c r="D72" s="488"/>
      <c r="E72" s="488"/>
      <c r="F72" s="488"/>
      <c r="G72" s="488"/>
      <c r="H72" s="488"/>
      <c r="I72" s="488"/>
      <c r="J72" s="488"/>
      <c r="K72" s="489"/>
      <c r="L72" s="490"/>
      <c r="M72" s="491"/>
      <c r="N72" s="2735"/>
      <c r="O72" s="2735"/>
      <c r="P72" s="2760"/>
      <c r="Q72" s="2721"/>
      <c r="R72" s="2707"/>
      <c r="S72" s="2707"/>
      <c r="T72" s="2707"/>
      <c r="U72" s="2707"/>
      <c r="V72" s="2707"/>
      <c r="W72" s="2707"/>
      <c r="X72" s="2707"/>
      <c r="Y72" s="2707"/>
      <c r="Z72" s="2707"/>
      <c r="AA72" s="2707"/>
      <c r="AB72" s="2707"/>
      <c r="AC72" s="2707"/>
      <c r="AD72" s="2707"/>
      <c r="AE72" s="2707"/>
    </row>
    <row r="73" spans="1:31" ht="15.75" thickBot="1">
      <c r="A73" s="483"/>
      <c r="B73" s="492"/>
      <c r="C73" s="493"/>
      <c r="D73" s="493"/>
      <c r="E73" s="493"/>
      <c r="F73" s="493"/>
      <c r="G73" s="493"/>
      <c r="H73" s="493"/>
      <c r="I73" s="493"/>
      <c r="J73" s="493"/>
      <c r="K73" s="493"/>
      <c r="L73" s="493"/>
      <c r="M73" s="494"/>
      <c r="N73" s="2736"/>
      <c r="O73" s="2736"/>
      <c r="P73" s="2760"/>
      <c r="Q73" s="2721"/>
      <c r="R73" s="2707"/>
      <c r="S73" s="2707"/>
      <c r="T73" s="2707"/>
      <c r="U73" s="2707"/>
      <c r="V73" s="2707"/>
      <c r="W73" s="2707"/>
      <c r="X73" s="2707"/>
      <c r="Y73" s="2707"/>
      <c r="Z73" s="2707"/>
      <c r="AA73" s="2707"/>
      <c r="AB73" s="2707"/>
      <c r="AC73" s="2707"/>
      <c r="AD73" s="2707"/>
      <c r="AE73" s="2707"/>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6"/>
      <c r="O74" s="2736"/>
      <c r="P74" s="2760"/>
      <c r="Q74" s="2721"/>
      <c r="R74" s="2707"/>
      <c r="S74" s="2707"/>
      <c r="T74" s="2707"/>
      <c r="U74" s="2707"/>
      <c r="V74" s="2707"/>
      <c r="W74" s="2707"/>
      <c r="X74" s="2707"/>
      <c r="Y74" s="2707"/>
      <c r="Z74" s="2707"/>
      <c r="AA74" s="2707"/>
      <c r="AB74" s="2707"/>
      <c r="AC74" s="2707"/>
      <c r="AD74" s="2707"/>
      <c r="AE74" s="2707"/>
    </row>
    <row r="75" spans="1:31" ht="15">
      <c r="A75" s="483"/>
      <c r="B75" s="497"/>
      <c r="C75" s="498"/>
      <c r="D75" s="498"/>
      <c r="E75" s="498"/>
      <c r="F75" s="498"/>
      <c r="G75" s="498"/>
      <c r="H75" s="498"/>
      <c r="I75" s="498"/>
      <c r="J75" s="498"/>
      <c r="K75" s="499"/>
      <c r="L75" s="500"/>
      <c r="M75" s="501"/>
      <c r="N75" s="2735"/>
      <c r="O75" s="2735"/>
      <c r="P75" s="2760"/>
      <c r="Q75" s="2721"/>
      <c r="R75" s="2707"/>
      <c r="S75" s="2707"/>
      <c r="T75" s="2707"/>
      <c r="U75" s="2707"/>
      <c r="V75" s="2707"/>
      <c r="W75" s="2707"/>
      <c r="X75" s="2707"/>
      <c r="Y75" s="2707"/>
      <c r="Z75" s="2707"/>
      <c r="AA75" s="2707"/>
      <c r="AB75" s="2707"/>
      <c r="AC75" s="2707"/>
      <c r="AD75" s="2707"/>
      <c r="AE75" s="270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6"/>
      <c r="O76" s="2736"/>
      <c r="P76" s="2760"/>
      <c r="Q76" s="2721"/>
      <c r="R76" s="2707"/>
      <c r="S76" s="2707"/>
      <c r="T76" s="2707"/>
      <c r="U76" s="2707"/>
      <c r="V76" s="2707"/>
      <c r="W76" s="2707"/>
      <c r="X76" s="2707"/>
      <c r="Y76" s="2707"/>
      <c r="Z76" s="2707"/>
      <c r="AA76" s="2707"/>
      <c r="AB76" s="2707"/>
      <c r="AC76" s="2707"/>
      <c r="AD76" s="2707"/>
      <c r="AE76" s="2707"/>
    </row>
    <row r="77" spans="1:31" s="422" customFormat="1" ht="15.75" thickTop="1">
      <c r="A77" s="502"/>
      <c r="B77" s="487">
        <f>B12</f>
        <v>111</v>
      </c>
      <c r="C77" s="503"/>
      <c r="D77" s="503"/>
      <c r="E77" s="503"/>
      <c r="F77" s="503"/>
      <c r="G77" s="503"/>
      <c r="H77" s="504"/>
      <c r="I77" s="504"/>
      <c r="J77" s="504"/>
      <c r="K77" s="504"/>
      <c r="L77" s="505"/>
      <c r="M77" s="506"/>
      <c r="N77" s="2737"/>
      <c r="O77" s="2737"/>
      <c r="P77" s="2761"/>
      <c r="Q77" s="2728"/>
      <c r="R77" s="2729"/>
      <c r="S77" s="2729"/>
      <c r="T77" s="2729"/>
      <c r="U77" s="2729"/>
      <c r="V77" s="2729"/>
      <c r="W77" s="2729"/>
      <c r="X77" s="2729"/>
      <c r="Y77" s="2729"/>
      <c r="Z77" s="2729"/>
      <c r="AA77" s="2729"/>
      <c r="AB77" s="2729"/>
      <c r="AC77" s="2729"/>
      <c r="AD77" s="2729"/>
      <c r="AE77" s="2729"/>
    </row>
    <row r="78" spans="1:31" s="422" customFormat="1" ht="15.75" thickBot="1">
      <c r="A78" s="502"/>
      <c r="B78" s="492"/>
      <c r="C78" s="509"/>
      <c r="D78" s="485"/>
      <c r="E78" s="485"/>
      <c r="F78" s="485"/>
      <c r="G78" s="485"/>
      <c r="H78" s="485"/>
      <c r="I78" s="485"/>
      <c r="J78" s="485"/>
      <c r="K78" s="485"/>
      <c r="L78" s="485"/>
      <c r="M78" s="486"/>
      <c r="N78" s="2736"/>
      <c r="O78" s="2736"/>
      <c r="P78" s="2761"/>
      <c r="Q78" s="2728"/>
      <c r="R78" s="2729"/>
      <c r="S78" s="2729"/>
      <c r="T78" s="2729"/>
      <c r="U78" s="2729"/>
      <c r="V78" s="2729"/>
      <c r="W78" s="2729"/>
      <c r="X78" s="2729"/>
      <c r="Y78" s="2729"/>
      <c r="Z78" s="2729"/>
      <c r="AA78" s="2729"/>
      <c r="AB78" s="2729"/>
      <c r="AC78" s="2729"/>
      <c r="AD78" s="2729"/>
      <c r="AE78" s="2729"/>
    </row>
    <row r="79" spans="1:31" s="422" customFormat="1" ht="15.75" thickTop="1">
      <c r="A79" s="502"/>
      <c r="B79" s="487">
        <f>B13</f>
        <v>111</v>
      </c>
      <c r="C79" s="503"/>
      <c r="D79" s="503"/>
      <c r="E79" s="503"/>
      <c r="F79" s="503"/>
      <c r="G79" s="503"/>
      <c r="H79" s="504"/>
      <c r="I79" s="504"/>
      <c r="J79" s="504"/>
      <c r="K79" s="504"/>
      <c r="L79" s="505"/>
      <c r="M79" s="506"/>
      <c r="N79" s="2737"/>
      <c r="O79" s="2737"/>
      <c r="P79" s="2705"/>
      <c r="Q79" s="2731"/>
      <c r="R79" s="2729"/>
      <c r="S79" s="2729"/>
      <c r="T79" s="2729"/>
      <c r="U79" s="2729"/>
      <c r="V79" s="2729"/>
      <c r="W79" s="2729"/>
      <c r="X79" s="2729"/>
      <c r="Y79" s="2729"/>
      <c r="Z79" s="2729"/>
      <c r="AA79" s="2729"/>
      <c r="AB79" s="2729"/>
      <c r="AC79" s="2729"/>
      <c r="AD79" s="2729"/>
      <c r="AE79" s="2729"/>
    </row>
    <row r="80" spans="1:31" s="422" customFormat="1" ht="15.75" thickBot="1">
      <c r="A80" s="502"/>
      <c r="B80" s="492"/>
      <c r="C80" s="509"/>
      <c r="D80" s="509"/>
      <c r="E80" s="509"/>
      <c r="F80" s="509"/>
      <c r="G80" s="509"/>
      <c r="H80" s="511"/>
      <c r="I80" s="511"/>
      <c r="J80" s="511"/>
      <c r="K80" s="511"/>
      <c r="L80" s="511"/>
      <c r="M80" s="512"/>
      <c r="N80" s="2737"/>
      <c r="O80" s="2737"/>
      <c r="P80" s="2761"/>
      <c r="Q80" s="2728"/>
      <c r="R80" s="2729"/>
      <c r="S80" s="2729"/>
      <c r="T80" s="2729"/>
      <c r="U80" s="2729"/>
      <c r="V80" s="2729"/>
      <c r="W80" s="2729"/>
      <c r="X80" s="2729"/>
      <c r="Y80" s="2729"/>
      <c r="Z80" s="2729"/>
      <c r="AA80" s="2729"/>
      <c r="AB80" s="2729"/>
      <c r="AC80" s="2729"/>
      <c r="AD80" s="2729"/>
      <c r="AE80" s="2729"/>
    </row>
    <row r="81" spans="1:31" s="422" customFormat="1" ht="15.75" thickTop="1">
      <c r="A81" s="502"/>
      <c r="B81" s="495">
        <f>B14</f>
        <v>111</v>
      </c>
      <c r="C81" s="472"/>
      <c r="D81" s="472"/>
      <c r="E81" s="472"/>
      <c r="F81" s="472"/>
      <c r="G81" s="472"/>
      <c r="H81" s="513"/>
      <c r="I81" s="513"/>
      <c r="J81" s="513"/>
      <c r="K81" s="513"/>
      <c r="L81" s="514"/>
      <c r="M81" s="515"/>
      <c r="N81" s="2737"/>
      <c r="O81" s="2737"/>
      <c r="P81" s="2766"/>
      <c r="Q81" s="2728"/>
      <c r="R81" s="2729"/>
      <c r="S81" s="2729"/>
      <c r="T81" s="2729"/>
      <c r="U81" s="2729"/>
      <c r="V81" s="2729"/>
      <c r="W81" s="2729"/>
      <c r="X81" s="2729"/>
      <c r="Y81" s="2729"/>
      <c r="Z81" s="2729"/>
      <c r="AA81" s="2729"/>
      <c r="AB81" s="2729"/>
      <c r="AC81" s="2729"/>
      <c r="AD81" s="2729"/>
      <c r="AE81" s="2729"/>
    </row>
    <row r="82" spans="1:31" s="422" customFormat="1" ht="15.75" thickBot="1">
      <c r="A82" s="517"/>
      <c r="B82" s="518"/>
      <c r="C82" s="519"/>
      <c r="D82" s="519"/>
      <c r="E82" s="519"/>
      <c r="F82" s="519"/>
      <c r="G82" s="519"/>
      <c r="H82" s="520"/>
      <c r="I82" s="520"/>
      <c r="J82" s="520"/>
      <c r="K82" s="520"/>
      <c r="L82" s="520"/>
      <c r="M82" s="521"/>
      <c r="N82" s="2737"/>
      <c r="O82" s="2737"/>
      <c r="P82" s="2761"/>
      <c r="Q82" s="2728"/>
      <c r="R82" s="2729"/>
      <c r="S82" s="2729"/>
      <c r="T82" s="2729"/>
      <c r="U82" s="2729"/>
      <c r="V82" s="2729"/>
      <c r="W82" s="2729"/>
      <c r="X82" s="2729"/>
      <c r="Y82" s="2729"/>
      <c r="Z82" s="2729"/>
      <c r="AA82" s="2729"/>
      <c r="AB82" s="2729"/>
      <c r="AC82" s="2729"/>
      <c r="AD82" s="2729"/>
      <c r="AE82" s="2729"/>
    </row>
    <row r="83" spans="1:31">
      <c r="A83" s="476" t="s">
        <v>1689</v>
      </c>
      <c r="B83" s="477" t="s">
        <v>1828</v>
      </c>
      <c r="C83" s="522" t="s">
        <v>1720</v>
      </c>
      <c r="D83" s="522" t="s">
        <v>1721</v>
      </c>
      <c r="E83" s="522" t="s">
        <v>1722</v>
      </c>
      <c r="F83" s="522" t="s">
        <v>1723</v>
      </c>
      <c r="G83" s="522" t="s">
        <v>1724</v>
      </c>
      <c r="H83" s="478"/>
      <c r="I83" s="478"/>
      <c r="J83" s="478"/>
      <c r="K83" s="523"/>
      <c r="L83" s="524"/>
      <c r="M83" s="525"/>
      <c r="N83" s="2735"/>
      <c r="O83" s="2735"/>
      <c r="P83" s="2762"/>
      <c r="Q83" s="2721"/>
      <c r="R83" s="2707"/>
      <c r="S83" s="2707"/>
      <c r="T83" s="2707"/>
      <c r="U83" s="2707"/>
      <c r="V83" s="2707"/>
      <c r="W83" s="2707"/>
      <c r="X83" s="2707"/>
      <c r="Y83" s="2707"/>
      <c r="Z83" s="2707"/>
      <c r="AA83" s="2707"/>
      <c r="AB83" s="2707"/>
      <c r="AC83" s="2707"/>
      <c r="AD83" s="2707"/>
      <c r="AE83" s="270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6"/>
      <c r="O84" s="2736"/>
      <c r="P84" s="2760"/>
      <c r="Q84" s="2721"/>
      <c r="R84" s="2707"/>
      <c r="S84" s="2707"/>
      <c r="T84" s="2707"/>
      <c r="U84" s="2707"/>
      <c r="V84" s="2707"/>
      <c r="W84" s="2707"/>
      <c r="X84" s="2707"/>
      <c r="Y84" s="2707"/>
      <c r="Z84" s="2707"/>
      <c r="AA84" s="2707"/>
      <c r="AB84" s="2707"/>
      <c r="AC84" s="2707"/>
      <c r="AD84" s="2707"/>
      <c r="AE84" s="2707"/>
    </row>
    <row r="85" spans="1:31" ht="15.75" thickTop="1">
      <c r="A85" s="483"/>
      <c r="B85" s="487" t="s">
        <v>1725</v>
      </c>
      <c r="C85" s="527" t="s">
        <v>1720</v>
      </c>
      <c r="D85" s="527" t="s">
        <v>1721</v>
      </c>
      <c r="E85" s="527" t="s">
        <v>1722</v>
      </c>
      <c r="F85" s="527" t="s">
        <v>1723</v>
      </c>
      <c r="G85" s="527" t="s">
        <v>1724</v>
      </c>
      <c r="H85" s="488"/>
      <c r="I85" s="488"/>
      <c r="J85" s="488"/>
      <c r="K85" s="489"/>
      <c r="L85" s="490"/>
      <c r="M85" s="491"/>
      <c r="N85" s="2735"/>
      <c r="O85" s="2735"/>
      <c r="P85" s="2760"/>
      <c r="Q85" s="2721"/>
      <c r="R85" s="2707"/>
      <c r="S85" s="2707"/>
      <c r="T85" s="2707"/>
      <c r="U85" s="2707"/>
      <c r="V85" s="2707"/>
      <c r="W85" s="2707"/>
      <c r="X85" s="2707"/>
      <c r="Y85" s="2707"/>
      <c r="Z85" s="2707"/>
      <c r="AA85" s="2707"/>
      <c r="AB85" s="2707"/>
      <c r="AC85" s="2707"/>
      <c r="AD85" s="2707"/>
      <c r="AE85" s="270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6"/>
      <c r="O86" s="2736"/>
      <c r="P86" s="2760"/>
      <c r="Q86" s="2721"/>
      <c r="R86" s="2707"/>
      <c r="S86" s="2707"/>
      <c r="T86" s="2707"/>
      <c r="U86" s="2707"/>
      <c r="V86" s="2707"/>
      <c r="W86" s="2707"/>
      <c r="X86" s="2707"/>
      <c r="Y86" s="2707"/>
      <c r="Z86" s="2707"/>
      <c r="AA86" s="2707"/>
      <c r="AB86" s="2707"/>
      <c r="AC86" s="2707"/>
      <c r="AD86" s="2707"/>
      <c r="AE86" s="2707"/>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34"/>
      <c r="O87" s="2734"/>
      <c r="P87" s="2760"/>
      <c r="Q87" s="2721"/>
      <c r="R87" s="2643"/>
      <c r="S87" s="2643"/>
      <c r="T87" s="2643"/>
      <c r="U87" s="2643"/>
      <c r="V87" s="2643"/>
      <c r="W87" s="2643"/>
      <c r="X87" s="2643"/>
      <c r="Y87" s="2643"/>
      <c r="Z87" s="2643"/>
      <c r="AA87" s="2643"/>
      <c r="AB87" s="2643"/>
      <c r="AC87" s="2643"/>
      <c r="AD87" s="2643"/>
      <c r="AE87" s="264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6"/>
      <c r="O88" s="2736"/>
      <c r="P88" s="2760"/>
      <c r="Q88" s="2721"/>
      <c r="R88" s="2643"/>
      <c r="S88" s="2643"/>
      <c r="T88" s="2643"/>
      <c r="U88" s="2643"/>
      <c r="V88" s="2643"/>
      <c r="W88" s="2643"/>
      <c r="X88" s="2643"/>
      <c r="Y88" s="2643"/>
      <c r="Z88" s="2643"/>
      <c r="AA88" s="2643"/>
      <c r="AB88" s="2643"/>
      <c r="AC88" s="2643"/>
      <c r="AD88" s="2643"/>
      <c r="AE88" s="2643"/>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34"/>
      <c r="O89" s="2734"/>
      <c r="P89" s="2760"/>
      <c r="Q89" s="2721"/>
      <c r="R89" s="2643"/>
      <c r="S89" s="2643"/>
      <c r="T89" s="2643"/>
      <c r="U89" s="2643"/>
      <c r="V89" s="2643"/>
      <c r="W89" s="2643"/>
      <c r="X89" s="2643"/>
      <c r="Y89" s="2643"/>
      <c r="Z89" s="2643"/>
      <c r="AA89" s="2643"/>
      <c r="AB89" s="2643"/>
      <c r="AC89" s="2643"/>
      <c r="AD89" s="2643"/>
      <c r="AE89" s="264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6"/>
      <c r="O90" s="2736"/>
      <c r="P90" s="2760"/>
      <c r="Q90" s="2721"/>
      <c r="R90" s="2643"/>
      <c r="S90" s="2643"/>
      <c r="T90" s="2643"/>
      <c r="U90" s="2643"/>
      <c r="V90" s="2643"/>
      <c r="W90" s="2643"/>
      <c r="X90" s="2643"/>
      <c r="Y90" s="2643"/>
      <c r="Z90" s="2643"/>
      <c r="AA90" s="2643"/>
      <c r="AB90" s="2643"/>
      <c r="AC90" s="2643"/>
      <c r="AD90" s="2643"/>
      <c r="AE90" s="2643"/>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37"/>
      <c r="O91" s="2737"/>
      <c r="P91" s="2761"/>
      <c r="Q91" s="2728"/>
      <c r="R91" s="2729"/>
      <c r="S91" s="2729"/>
      <c r="T91" s="2729"/>
      <c r="U91" s="2729"/>
      <c r="V91" s="2729"/>
      <c r="W91" s="2729"/>
      <c r="X91" s="2729"/>
      <c r="Y91" s="2729"/>
      <c r="Z91" s="2729"/>
      <c r="AA91" s="2729"/>
      <c r="AB91" s="2729"/>
      <c r="AC91" s="2729"/>
      <c r="AD91" s="2729"/>
      <c r="AE91" s="272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7"/>
      <c r="O92" s="2737"/>
      <c r="P92" s="2761"/>
      <c r="Q92" s="2728"/>
      <c r="R92" s="2729"/>
      <c r="S92" s="2729"/>
      <c r="T92" s="2729"/>
      <c r="U92" s="2729"/>
      <c r="V92" s="2729"/>
      <c r="W92" s="2729"/>
      <c r="X92" s="2729"/>
      <c r="Y92" s="2729"/>
      <c r="Z92" s="2729"/>
      <c r="AA92" s="2729"/>
      <c r="AB92" s="2729"/>
      <c r="AC92" s="2729"/>
      <c r="AD92" s="2729"/>
      <c r="AE92" s="2729"/>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37"/>
      <c r="O93" s="2737"/>
      <c r="P93" s="2761"/>
      <c r="Q93" s="2728"/>
      <c r="R93" s="2729"/>
      <c r="S93" s="2729"/>
      <c r="T93" s="2729"/>
      <c r="U93" s="2729"/>
      <c r="V93" s="2729"/>
      <c r="W93" s="2729"/>
      <c r="X93" s="2729"/>
      <c r="Y93" s="2729"/>
      <c r="Z93" s="2729"/>
      <c r="AA93" s="2729"/>
      <c r="AB93" s="2729"/>
      <c r="AC93" s="2729"/>
      <c r="AD93" s="2729"/>
      <c r="AE93" s="272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7"/>
      <c r="O94" s="2737"/>
      <c r="P94" s="2761"/>
      <c r="Q94" s="2728"/>
      <c r="R94" s="2729"/>
      <c r="S94" s="2729"/>
      <c r="T94" s="2729"/>
      <c r="U94" s="2729"/>
      <c r="V94" s="2729"/>
      <c r="W94" s="2729"/>
      <c r="X94" s="2729"/>
      <c r="Y94" s="2729"/>
      <c r="Z94" s="2729"/>
      <c r="AA94" s="2729"/>
      <c r="AB94" s="2729"/>
      <c r="AC94" s="2729"/>
      <c r="AD94" s="2729"/>
      <c r="AE94" s="2729"/>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35"/>
      <c r="O95" s="2735"/>
      <c r="P95" s="2760"/>
      <c r="Q95" s="2721"/>
      <c r="R95" s="2707"/>
      <c r="S95" s="2707"/>
      <c r="T95" s="2707"/>
      <c r="U95" s="2707"/>
      <c r="V95" s="2707"/>
      <c r="W95" s="2707"/>
      <c r="X95" s="2707"/>
      <c r="Y95" s="2707"/>
      <c r="Z95" s="2707"/>
      <c r="AA95" s="2707"/>
      <c r="AB95" s="2707"/>
      <c r="AC95" s="2707"/>
      <c r="AD95" s="2707"/>
      <c r="AE95" s="270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6"/>
      <c r="O96" s="2736"/>
      <c r="P96" s="2760"/>
      <c r="Q96" s="2721"/>
      <c r="R96" s="2707"/>
      <c r="S96" s="2707"/>
      <c r="T96" s="2707"/>
      <c r="U96" s="2707"/>
      <c r="V96" s="2707"/>
      <c r="W96" s="2707"/>
      <c r="X96" s="2707"/>
      <c r="Y96" s="2707"/>
      <c r="Z96" s="2707"/>
      <c r="AA96" s="2707"/>
      <c r="AB96" s="2707"/>
      <c r="AC96" s="2707"/>
      <c r="AD96" s="2707"/>
      <c r="AE96" s="2707"/>
    </row>
    <row r="97" spans="1:31" ht="27.75" thickTop="1">
      <c r="A97" s="483"/>
      <c r="B97" s="487" t="s">
        <v>1814</v>
      </c>
      <c r="C97" s="503"/>
      <c r="D97" s="503"/>
      <c r="E97" s="503"/>
      <c r="F97" s="503"/>
      <c r="G97" s="503"/>
      <c r="H97" s="532"/>
      <c r="I97" s="532"/>
      <c r="J97" s="532"/>
      <c r="K97" s="533"/>
      <c r="L97" s="534"/>
      <c r="M97" s="535"/>
      <c r="N97" s="2735"/>
      <c r="O97" s="2735"/>
      <c r="P97" s="2760"/>
      <c r="Q97" s="2721"/>
      <c r="R97" s="2707"/>
      <c r="S97" s="2707"/>
      <c r="T97" s="2707"/>
      <c r="U97" s="2707"/>
      <c r="V97" s="2707"/>
      <c r="W97" s="2707"/>
      <c r="X97" s="2707"/>
      <c r="Y97" s="2707"/>
      <c r="Z97" s="2707"/>
      <c r="AA97" s="2707"/>
      <c r="AB97" s="2707"/>
      <c r="AC97" s="2707"/>
      <c r="AD97" s="2707"/>
      <c r="AE97" s="270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6"/>
      <c r="O98" s="2736"/>
      <c r="P98" s="2760"/>
      <c r="Q98" s="2721"/>
      <c r="R98" s="2707"/>
      <c r="S98" s="2707"/>
      <c r="T98" s="2707"/>
      <c r="U98" s="2707"/>
      <c r="V98" s="2707"/>
      <c r="W98" s="2707"/>
      <c r="X98" s="2707"/>
      <c r="Y98" s="2707"/>
      <c r="Z98" s="2707"/>
      <c r="AA98" s="2707"/>
      <c r="AB98" s="2707"/>
      <c r="AC98" s="2707"/>
      <c r="AD98" s="2707"/>
      <c r="AE98" s="2707"/>
    </row>
    <row r="99" spans="1:31" ht="15.75" thickTop="1">
      <c r="A99" s="483"/>
      <c r="B99" s="487" t="s">
        <v>1872</v>
      </c>
      <c r="C99" s="532"/>
      <c r="D99" s="532"/>
      <c r="E99" s="532"/>
      <c r="F99" s="532"/>
      <c r="G99" s="532"/>
      <c r="H99" s="532"/>
      <c r="I99" s="532"/>
      <c r="J99" s="532"/>
      <c r="K99" s="533"/>
      <c r="L99" s="534"/>
      <c r="M99" s="535"/>
      <c r="N99" s="2735"/>
      <c r="O99" s="2735"/>
      <c r="P99" s="2760"/>
      <c r="Q99" s="2721"/>
      <c r="R99" s="2707"/>
      <c r="S99" s="2707"/>
      <c r="T99" s="2707"/>
      <c r="U99" s="2707"/>
      <c r="V99" s="2707"/>
      <c r="W99" s="2707"/>
      <c r="X99" s="2707"/>
      <c r="Y99" s="2707"/>
      <c r="Z99" s="2707"/>
      <c r="AA99" s="2707"/>
      <c r="AB99" s="2707"/>
      <c r="AC99" s="2707"/>
      <c r="AD99" s="2707"/>
      <c r="AE99" s="270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6"/>
      <c r="O100" s="2736"/>
      <c r="P100" s="2760"/>
      <c r="Q100" s="2721"/>
      <c r="R100" s="2707"/>
      <c r="S100" s="2707"/>
      <c r="T100" s="2707"/>
      <c r="U100" s="2707"/>
      <c r="V100" s="2707"/>
      <c r="W100" s="2707"/>
      <c r="X100" s="2707"/>
      <c r="Y100" s="2707"/>
      <c r="Z100" s="2707"/>
      <c r="AA100" s="2707"/>
      <c r="AB100" s="2707"/>
      <c r="AC100" s="2707"/>
      <c r="AD100" s="2707"/>
      <c r="AE100" s="2707"/>
    </row>
    <row r="101" spans="1:31" ht="15.75" thickTop="1">
      <c r="A101" s="483"/>
      <c r="B101" s="495">
        <f>B31</f>
        <v>111</v>
      </c>
      <c r="C101" s="503"/>
      <c r="D101" s="503"/>
      <c r="E101" s="503"/>
      <c r="F101" s="503"/>
      <c r="G101" s="536"/>
      <c r="H101" s="536"/>
      <c r="I101" s="536"/>
      <c r="J101" s="536"/>
      <c r="K101" s="537"/>
      <c r="L101" s="538"/>
      <c r="M101" s="539"/>
      <c r="N101" s="2735"/>
      <c r="O101" s="2735"/>
      <c r="P101" s="2760"/>
      <c r="Q101" s="2721"/>
      <c r="R101" s="2707"/>
      <c r="S101" s="2707"/>
      <c r="T101" s="2707"/>
      <c r="U101" s="2707"/>
      <c r="V101" s="2707"/>
      <c r="W101" s="2707"/>
      <c r="X101" s="2707"/>
      <c r="Y101" s="2707"/>
      <c r="Z101" s="2707"/>
      <c r="AA101" s="2707"/>
      <c r="AB101" s="2707"/>
      <c r="AC101" s="2707"/>
      <c r="AD101" s="2707"/>
      <c r="AE101" s="2707"/>
    </row>
    <row r="102" spans="1:31" ht="15.75" thickBot="1">
      <c r="A102" s="483"/>
      <c r="B102" s="518"/>
      <c r="C102" s="509"/>
      <c r="D102" s="485"/>
      <c r="E102" s="485"/>
      <c r="F102" s="485"/>
      <c r="G102" s="540"/>
      <c r="H102" s="540"/>
      <c r="I102" s="540"/>
      <c r="J102" s="540"/>
      <c r="K102" s="540"/>
      <c r="L102" s="540"/>
      <c r="M102" s="541"/>
      <c r="N102" s="2736"/>
      <c r="O102" s="2736"/>
      <c r="P102" s="2760"/>
      <c r="Q102" s="2721"/>
      <c r="R102" s="2707"/>
      <c r="S102" s="2707"/>
      <c r="T102" s="2707"/>
      <c r="U102" s="2707"/>
      <c r="V102" s="2707"/>
      <c r="W102" s="2707"/>
      <c r="X102" s="2707"/>
      <c r="Y102" s="2707"/>
      <c r="Z102" s="2707"/>
      <c r="AA102" s="2707"/>
      <c r="AB102" s="2707"/>
      <c r="AC102" s="2707"/>
      <c r="AD102" s="2707"/>
      <c r="AE102" s="2707"/>
    </row>
    <row r="103" spans="1:31" ht="15" thickTop="1">
      <c r="A103" s="623"/>
      <c r="B103" s="487">
        <f>B32</f>
        <v>111</v>
      </c>
      <c r="C103" s="503"/>
      <c r="D103" s="503"/>
      <c r="E103" s="503"/>
      <c r="F103" s="503"/>
      <c r="G103" s="532"/>
      <c r="H103" s="532"/>
      <c r="I103" s="532"/>
      <c r="J103" s="532"/>
      <c r="K103" s="533"/>
      <c r="L103" s="534"/>
      <c r="M103" s="535"/>
      <c r="N103" s="2735"/>
      <c r="O103" s="2735"/>
      <c r="P103" s="2760"/>
      <c r="Q103" s="2721"/>
      <c r="R103" s="2707"/>
      <c r="S103" s="2707"/>
      <c r="T103" s="2707"/>
      <c r="U103" s="2707"/>
      <c r="V103" s="2707"/>
      <c r="W103" s="2707"/>
      <c r="X103" s="2707"/>
      <c r="Y103" s="2707"/>
      <c r="Z103" s="2707"/>
      <c r="AA103" s="2707"/>
      <c r="AB103" s="2707"/>
      <c r="AC103" s="2707"/>
      <c r="AD103" s="2707"/>
      <c r="AE103" s="2707"/>
    </row>
    <row r="104" spans="1:31" ht="15.75" thickBot="1">
      <c r="A104" s="483"/>
      <c r="B104" s="492"/>
      <c r="C104" s="509"/>
      <c r="D104" s="509"/>
      <c r="E104" s="509"/>
      <c r="F104" s="509"/>
      <c r="G104" s="485"/>
      <c r="H104" s="485"/>
      <c r="I104" s="485"/>
      <c r="J104" s="485"/>
      <c r="K104" s="485"/>
      <c r="L104" s="485"/>
      <c r="M104" s="486"/>
      <c r="N104" s="2736"/>
      <c r="O104" s="2736"/>
      <c r="P104" s="2760"/>
      <c r="Q104" s="2721"/>
      <c r="R104" s="2707"/>
      <c r="S104" s="2707"/>
      <c r="T104" s="2707"/>
      <c r="U104" s="2707"/>
      <c r="V104" s="2707"/>
      <c r="W104" s="2707"/>
      <c r="X104" s="2707"/>
      <c r="Y104" s="2707"/>
      <c r="Z104" s="2707"/>
      <c r="AA104" s="2707"/>
      <c r="AB104" s="2707"/>
      <c r="AC104" s="2707"/>
      <c r="AD104" s="2707"/>
      <c r="AE104" s="2707"/>
    </row>
    <row r="105" spans="1:31" s="422" customFormat="1" ht="15" thickTop="1">
      <c r="A105" s="542"/>
      <c r="B105" s="543">
        <f>B33</f>
        <v>111</v>
      </c>
      <c r="C105" s="472"/>
      <c r="D105" s="472"/>
      <c r="E105" s="472"/>
      <c r="F105" s="472"/>
      <c r="G105" s="544"/>
      <c r="H105" s="544"/>
      <c r="I105" s="544"/>
      <c r="J105" s="545"/>
      <c r="K105" s="545"/>
      <c r="L105" s="546"/>
      <c r="M105" s="547"/>
      <c r="N105" s="2737"/>
      <c r="O105" s="2737"/>
      <c r="P105" s="2761"/>
      <c r="Q105" s="2728"/>
      <c r="R105" s="2729"/>
      <c r="S105" s="2729"/>
      <c r="T105" s="2729"/>
      <c r="U105" s="2729"/>
      <c r="V105" s="2729"/>
      <c r="W105" s="2729"/>
      <c r="X105" s="2729"/>
      <c r="Y105" s="2729"/>
      <c r="Z105" s="2729"/>
      <c r="AA105" s="2729"/>
      <c r="AB105" s="2729"/>
      <c r="AC105" s="2729"/>
      <c r="AD105" s="2729"/>
      <c r="AE105" s="2729"/>
    </row>
    <row r="106" spans="1:31" s="422" customFormat="1" ht="15.75" thickBot="1">
      <c r="A106" s="502"/>
      <c r="B106" s="495"/>
      <c r="C106" s="519"/>
      <c r="D106" s="519"/>
      <c r="E106" s="519"/>
      <c r="F106" s="519"/>
      <c r="G106" s="625"/>
      <c r="H106" s="625"/>
      <c r="I106" s="625"/>
      <c r="J106" s="625"/>
      <c r="K106" s="625"/>
      <c r="L106" s="625"/>
      <c r="M106" s="647"/>
      <c r="N106" s="2736"/>
      <c r="O106" s="2736"/>
      <c r="P106" s="2761"/>
      <c r="Q106" s="2728"/>
      <c r="R106" s="2729"/>
      <c r="S106" s="2729"/>
      <c r="T106" s="2729"/>
      <c r="U106" s="2729"/>
      <c r="V106" s="2729"/>
      <c r="W106" s="2729"/>
      <c r="X106" s="2729"/>
      <c r="Y106" s="2729"/>
      <c r="Z106" s="2729"/>
      <c r="AA106" s="2729"/>
      <c r="AB106" s="2729"/>
      <c r="AC106" s="2729"/>
      <c r="AD106" s="2729"/>
      <c r="AE106" s="2729"/>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5"/>
      <c r="O107" s="2735"/>
      <c r="P107" s="2760"/>
      <c r="Q107" s="2721"/>
      <c r="R107" s="2707"/>
      <c r="S107" s="2707"/>
      <c r="T107" s="2707"/>
      <c r="U107" s="2707"/>
      <c r="V107" s="2707"/>
      <c r="W107" s="2707"/>
      <c r="X107" s="2707"/>
      <c r="Y107" s="2707"/>
      <c r="Z107" s="2707"/>
      <c r="AA107" s="2707"/>
      <c r="AB107" s="2707"/>
      <c r="AC107" s="2707"/>
      <c r="AD107" s="2707"/>
      <c r="AE107" s="2707"/>
    </row>
    <row r="108" spans="1:31" ht="15">
      <c r="A108" s="483"/>
      <c r="B108" s="495"/>
      <c r="C108" s="544"/>
      <c r="D108" s="544"/>
      <c r="E108" s="544"/>
      <c r="F108" s="544"/>
      <c r="G108" s="544"/>
      <c r="H108" s="544"/>
      <c r="I108" s="544"/>
      <c r="J108" s="545"/>
      <c r="K108" s="545"/>
      <c r="L108" s="546"/>
      <c r="M108" s="547"/>
      <c r="N108" s="2735"/>
      <c r="O108" s="2735"/>
      <c r="P108" s="2760"/>
      <c r="Q108" s="2721"/>
      <c r="R108" s="2707"/>
      <c r="S108" s="2707"/>
      <c r="T108" s="2707"/>
      <c r="U108" s="2707"/>
      <c r="V108" s="2707"/>
      <c r="W108" s="2707"/>
      <c r="X108" s="2707"/>
      <c r="Y108" s="2707"/>
      <c r="Z108" s="2707"/>
      <c r="AA108" s="2707"/>
      <c r="AB108" s="2707"/>
      <c r="AC108" s="2707"/>
      <c r="AD108" s="2707"/>
      <c r="AE108" s="2707"/>
    </row>
    <row r="109" spans="1:31" ht="15.75" thickBot="1">
      <c r="A109" s="483"/>
      <c r="B109" s="492"/>
      <c r="C109" s="519"/>
      <c r="D109" s="540"/>
      <c r="E109" s="540"/>
      <c r="F109" s="540"/>
      <c r="G109" s="540"/>
      <c r="H109" s="540"/>
      <c r="I109" s="540"/>
      <c r="J109" s="540"/>
      <c r="K109" s="540"/>
      <c r="L109" s="540"/>
      <c r="M109" s="541"/>
      <c r="N109" s="2736"/>
      <c r="O109" s="2736"/>
      <c r="P109" s="2760"/>
      <c r="Q109" s="2721"/>
      <c r="R109" s="2707"/>
      <c r="S109" s="2707"/>
      <c r="T109" s="2707"/>
      <c r="U109" s="2707"/>
      <c r="V109" s="2707"/>
      <c r="W109" s="2707"/>
      <c r="X109" s="2707"/>
      <c r="Y109" s="2707"/>
      <c r="Z109" s="2707"/>
      <c r="AA109" s="2707"/>
      <c r="AB109" s="2707"/>
      <c r="AC109" s="2707"/>
      <c r="AD109" s="2707"/>
      <c r="AE109" s="2707"/>
    </row>
    <row r="110" spans="1:31" ht="15" thickTop="1">
      <c r="A110" s="548"/>
      <c r="B110" s="487" t="s">
        <v>1913</v>
      </c>
      <c r="C110" s="532"/>
      <c r="D110" s="532"/>
      <c r="E110" s="532"/>
      <c r="F110" s="532"/>
      <c r="G110" s="532"/>
      <c r="H110" s="532"/>
      <c r="I110" s="532"/>
      <c r="J110" s="532"/>
      <c r="K110" s="533"/>
      <c r="L110" s="534"/>
      <c r="M110" s="535"/>
      <c r="N110" s="2735"/>
      <c r="O110" s="2735"/>
      <c r="P110" s="2760"/>
      <c r="Q110" s="2721"/>
      <c r="R110" s="2707"/>
      <c r="S110" s="2707"/>
      <c r="T110" s="2707"/>
      <c r="U110" s="2707"/>
      <c r="V110" s="2707"/>
      <c r="W110" s="2707"/>
      <c r="X110" s="2707"/>
      <c r="Y110" s="2707"/>
      <c r="Z110" s="2707"/>
      <c r="AA110" s="2707"/>
      <c r="AB110" s="2707"/>
      <c r="AC110" s="2707"/>
      <c r="AD110" s="2707"/>
      <c r="AE110" s="270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6"/>
      <c r="O111" s="2736"/>
      <c r="P111" s="2760"/>
      <c r="Q111" s="2721"/>
      <c r="R111" s="2707"/>
      <c r="S111" s="2707"/>
      <c r="T111" s="2707"/>
      <c r="U111" s="2707"/>
      <c r="V111" s="2707"/>
      <c r="W111" s="2707"/>
      <c r="X111" s="2707"/>
      <c r="Y111" s="2707"/>
      <c r="Z111" s="2707"/>
      <c r="AA111" s="2707"/>
      <c r="AB111" s="2707"/>
      <c r="AC111" s="2707"/>
      <c r="AD111" s="2707"/>
      <c r="AE111" s="2707"/>
    </row>
    <row r="112" spans="1:31" s="422" customFormat="1" ht="15" thickTop="1">
      <c r="A112" s="542"/>
      <c r="B112" s="487" t="s">
        <v>1915</v>
      </c>
      <c r="C112" s="503"/>
      <c r="D112" s="503"/>
      <c r="E112" s="503"/>
      <c r="F112" s="503"/>
      <c r="G112" s="503"/>
      <c r="H112" s="532"/>
      <c r="I112" s="532"/>
      <c r="J112" s="532"/>
      <c r="K112" s="533"/>
      <c r="L112" s="534"/>
      <c r="M112" s="535"/>
      <c r="N112" s="2737"/>
      <c r="O112" s="2737"/>
      <c r="P112" s="2761"/>
      <c r="Q112" s="2728"/>
      <c r="R112" s="2729"/>
      <c r="S112" s="2729"/>
      <c r="T112" s="2729"/>
      <c r="U112" s="2729"/>
      <c r="V112" s="2729"/>
      <c r="W112" s="2729"/>
      <c r="X112" s="2729"/>
      <c r="Y112" s="2729"/>
      <c r="Z112" s="2729"/>
      <c r="AA112" s="2729"/>
      <c r="AB112" s="2729"/>
      <c r="AC112" s="2729"/>
      <c r="AD112" s="2729"/>
      <c r="AE112" s="272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7"/>
      <c r="O113" s="2737"/>
      <c r="P113" s="2761"/>
      <c r="Q113" s="2728"/>
      <c r="R113" s="2729"/>
      <c r="S113" s="2729"/>
      <c r="T113" s="2729"/>
      <c r="U113" s="2729"/>
      <c r="V113" s="2729"/>
      <c r="W113" s="2729"/>
      <c r="X113" s="2729"/>
      <c r="Y113" s="2729"/>
      <c r="Z113" s="2729"/>
      <c r="AA113" s="2729"/>
      <c r="AB113" s="2729"/>
      <c r="AC113" s="2729"/>
      <c r="AD113" s="2729"/>
      <c r="AE113" s="2729"/>
    </row>
    <row r="114" spans="1:31" ht="15" thickTop="1">
      <c r="A114" s="548"/>
      <c r="B114" s="487" t="s">
        <v>1916</v>
      </c>
      <c r="C114" s="503"/>
      <c r="D114" s="503"/>
      <c r="E114" s="532"/>
      <c r="F114" s="532"/>
      <c r="G114" s="532"/>
      <c r="H114" s="532"/>
      <c r="I114" s="532"/>
      <c r="J114" s="532"/>
      <c r="K114" s="533"/>
      <c r="L114" s="534"/>
      <c r="M114" s="535"/>
      <c r="N114" s="2735"/>
      <c r="O114" s="2735"/>
      <c r="P114" s="2760"/>
      <c r="Q114" s="2721"/>
      <c r="R114" s="2707"/>
      <c r="S114" s="2707"/>
      <c r="T114" s="2707"/>
      <c r="U114" s="2707"/>
      <c r="V114" s="2707"/>
      <c r="W114" s="2707"/>
      <c r="X114" s="2707"/>
      <c r="Y114" s="2707"/>
      <c r="Z114" s="2707"/>
      <c r="AA114" s="2707"/>
      <c r="AB114" s="2707"/>
      <c r="AC114" s="2707"/>
      <c r="AD114" s="2707"/>
      <c r="AE114" s="270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6"/>
      <c r="O115" s="2736"/>
      <c r="P115" s="2760"/>
      <c r="Q115" s="2721"/>
      <c r="R115" s="2707"/>
      <c r="S115" s="2707"/>
      <c r="T115" s="2707"/>
      <c r="U115" s="2707"/>
      <c r="V115" s="2707"/>
      <c r="W115" s="2707"/>
      <c r="X115" s="2707"/>
      <c r="Y115" s="2707"/>
      <c r="Z115" s="2707"/>
      <c r="AA115" s="2707"/>
      <c r="AB115" s="2707"/>
      <c r="AC115" s="2707"/>
      <c r="AD115" s="2707"/>
      <c r="AE115" s="2707"/>
    </row>
    <row r="116" spans="1:31" ht="15" thickTop="1">
      <c r="A116" s="548"/>
      <c r="B116" s="487">
        <f>B38</f>
        <v>111</v>
      </c>
      <c r="C116" s="503"/>
      <c r="D116" s="503"/>
      <c r="E116" s="503"/>
      <c r="F116" s="503"/>
      <c r="G116" s="503"/>
      <c r="H116" s="532"/>
      <c r="I116" s="532"/>
      <c r="J116" s="532"/>
      <c r="K116" s="533"/>
      <c r="L116" s="534"/>
      <c r="M116" s="535"/>
      <c r="N116" s="2735"/>
      <c r="O116" s="2735"/>
      <c r="P116" s="2760"/>
      <c r="Q116" s="2721"/>
      <c r="R116" s="2707"/>
      <c r="S116" s="2707"/>
      <c r="T116" s="2707"/>
      <c r="U116" s="2707"/>
      <c r="V116" s="2707"/>
      <c r="W116" s="2707"/>
      <c r="X116" s="2707"/>
      <c r="Y116" s="2707"/>
      <c r="Z116" s="2707"/>
      <c r="AA116" s="2707"/>
      <c r="AB116" s="2707"/>
      <c r="AC116" s="2707"/>
      <c r="AD116" s="2707"/>
      <c r="AE116" s="2707"/>
    </row>
    <row r="117" spans="1:31" ht="15.75" thickBot="1">
      <c r="A117" s="483"/>
      <c r="B117" s="492"/>
      <c r="C117" s="509"/>
      <c r="D117" s="485"/>
      <c r="E117" s="485"/>
      <c r="F117" s="485"/>
      <c r="G117" s="485"/>
      <c r="H117" s="485"/>
      <c r="I117" s="485"/>
      <c r="J117" s="485"/>
      <c r="K117" s="485"/>
      <c r="L117" s="485"/>
      <c r="M117" s="486"/>
      <c r="N117" s="2736"/>
      <c r="O117" s="2736"/>
      <c r="P117" s="2760"/>
      <c r="Q117" s="2721"/>
      <c r="R117" s="2707"/>
      <c r="S117" s="2707"/>
      <c r="T117" s="2707"/>
      <c r="U117" s="2707"/>
      <c r="V117" s="2707"/>
      <c r="W117" s="2707"/>
      <c r="X117" s="2707"/>
      <c r="Y117" s="2707"/>
      <c r="Z117" s="2707"/>
      <c r="AA117" s="2707"/>
      <c r="AB117" s="2707"/>
      <c r="AC117" s="2707"/>
      <c r="AD117" s="2707"/>
      <c r="AE117" s="2707"/>
    </row>
    <row r="118" spans="1:31" ht="15" thickTop="1">
      <c r="A118" s="548"/>
      <c r="B118" s="487">
        <f>B39</f>
        <v>111</v>
      </c>
      <c r="C118" s="503"/>
      <c r="D118" s="503"/>
      <c r="E118" s="503"/>
      <c r="F118" s="503"/>
      <c r="G118" s="532"/>
      <c r="H118" s="532"/>
      <c r="I118" s="532"/>
      <c r="J118" s="532"/>
      <c r="K118" s="533"/>
      <c r="L118" s="534"/>
      <c r="M118" s="535"/>
      <c r="N118" s="2735"/>
      <c r="O118" s="2735"/>
      <c r="P118" s="2760"/>
      <c r="Q118" s="2721"/>
      <c r="R118" s="2707"/>
      <c r="S118" s="2707"/>
      <c r="T118" s="2707"/>
      <c r="U118" s="2707"/>
      <c r="V118" s="2707"/>
      <c r="W118" s="2707"/>
      <c r="X118" s="2707"/>
      <c r="Y118" s="2707"/>
      <c r="Z118" s="2707"/>
      <c r="AA118" s="2707"/>
      <c r="AB118" s="2707"/>
      <c r="AC118" s="2707"/>
      <c r="AD118" s="2707"/>
      <c r="AE118" s="2707"/>
    </row>
    <row r="119" spans="1:31" ht="15.75" thickBot="1">
      <c r="A119" s="483"/>
      <c r="B119" s="492"/>
      <c r="C119" s="509"/>
      <c r="D119" s="509"/>
      <c r="E119" s="509"/>
      <c r="F119" s="509"/>
      <c r="G119" s="485"/>
      <c r="H119" s="485"/>
      <c r="I119" s="485"/>
      <c r="J119" s="485"/>
      <c r="K119" s="485"/>
      <c r="L119" s="485"/>
      <c r="M119" s="486"/>
      <c r="N119" s="2736"/>
      <c r="O119" s="2736"/>
      <c r="P119" s="2760"/>
      <c r="Q119" s="2721"/>
      <c r="R119" s="2707"/>
      <c r="S119" s="2707"/>
      <c r="T119" s="2707"/>
      <c r="U119" s="2707"/>
      <c r="V119" s="2707"/>
      <c r="W119" s="2707"/>
      <c r="X119" s="2707"/>
      <c r="Y119" s="2707"/>
      <c r="Z119" s="2707"/>
      <c r="AA119" s="2707"/>
      <c r="AB119" s="2707"/>
      <c r="AC119" s="2707"/>
      <c r="AD119" s="2707"/>
      <c r="AE119" s="2707"/>
    </row>
    <row r="120" spans="1:31" s="422" customFormat="1" ht="15" thickTop="1">
      <c r="A120" s="542"/>
      <c r="B120" s="487">
        <f>B40</f>
        <v>111</v>
      </c>
      <c r="C120" s="472"/>
      <c r="D120" s="472"/>
      <c r="E120" s="472"/>
      <c r="F120" s="472"/>
      <c r="G120" s="504"/>
      <c r="H120" s="504"/>
      <c r="I120" s="504"/>
      <c r="J120" s="504"/>
      <c r="K120" s="504"/>
      <c r="L120" s="505"/>
      <c r="M120" s="506"/>
      <c r="N120" s="2737"/>
      <c r="O120" s="2737"/>
      <c r="P120" s="2761"/>
      <c r="Q120" s="2728"/>
      <c r="R120" s="2729"/>
      <c r="S120" s="2729"/>
      <c r="T120" s="2729"/>
      <c r="U120" s="2729"/>
      <c r="V120" s="2729"/>
      <c r="W120" s="2729"/>
      <c r="X120" s="2729"/>
      <c r="Y120" s="2729"/>
      <c r="Z120" s="2729"/>
      <c r="AA120" s="2729"/>
      <c r="AB120" s="2729"/>
      <c r="AC120" s="2729"/>
      <c r="AD120" s="2729"/>
      <c r="AE120" s="2729"/>
    </row>
    <row r="121" spans="1:31" s="422" customFormat="1" ht="15.75" thickBot="1">
      <c r="A121" s="517"/>
      <c r="B121" s="648"/>
      <c r="C121" s="519"/>
      <c r="D121" s="519"/>
      <c r="E121" s="519"/>
      <c r="F121" s="519"/>
      <c r="G121" s="540"/>
      <c r="H121" s="540"/>
      <c r="I121" s="540"/>
      <c r="J121" s="540"/>
      <c r="K121" s="540"/>
      <c r="L121" s="540"/>
      <c r="M121" s="541"/>
      <c r="N121" s="2737"/>
      <c r="O121" s="2737"/>
      <c r="P121" s="2761"/>
      <c r="Q121" s="2728"/>
      <c r="R121" s="2729"/>
      <c r="S121" s="2729"/>
      <c r="T121" s="2729"/>
      <c r="U121" s="2729"/>
      <c r="V121" s="2729"/>
      <c r="W121" s="2729"/>
      <c r="X121" s="2729"/>
      <c r="Y121" s="2729"/>
      <c r="Z121" s="2729"/>
      <c r="AA121" s="2729"/>
      <c r="AB121" s="2729"/>
      <c r="AC121" s="2729"/>
      <c r="AD121" s="2729"/>
      <c r="AE121" s="2729"/>
    </row>
    <row r="122" spans="1:31">
      <c r="N122" s="2707"/>
      <c r="O122" s="2707"/>
      <c r="P122" s="2707"/>
      <c r="Q122" s="2707"/>
      <c r="R122" s="2707"/>
      <c r="S122" s="2707"/>
      <c r="T122" s="2707"/>
      <c r="U122" s="2707"/>
      <c r="V122" s="2707"/>
      <c r="W122" s="2707"/>
      <c r="X122" s="2707"/>
      <c r="Y122" s="2707"/>
      <c r="Z122" s="2707"/>
      <c r="AA122" s="2707"/>
      <c r="AB122" s="2707"/>
      <c r="AC122" s="2707"/>
      <c r="AD122" s="2707"/>
      <c r="AE122" s="2707"/>
    </row>
    <row r="123" spans="1:31">
      <c r="P123" s="2707"/>
      <c r="Q123" s="2707"/>
      <c r="R123" s="2707"/>
      <c r="S123" s="2707"/>
      <c r="T123" s="2707"/>
      <c r="U123" s="2707"/>
      <c r="V123" s="2707"/>
      <c r="W123" s="2707"/>
      <c r="X123" s="2707"/>
      <c r="Y123" s="2707"/>
      <c r="Z123" s="2707"/>
      <c r="AA123" s="2707"/>
      <c r="AB123" s="2707"/>
      <c r="AC123" s="2707"/>
      <c r="AD123" s="2707"/>
      <c r="AE123" s="270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95" priority="18" stopIfTrue="1" operator="containsText" text="超过">
      <formula>NOT(ISERROR(SEARCH("超过",F46)))</formula>
    </cfRule>
  </conditionalFormatting>
  <conditionalFormatting sqref="J48">
    <cfRule type="containsText" dxfId="394" priority="17" stopIfTrue="1" operator="containsText" text="超过">
      <formula>NOT(ISERROR(SEARCH("超过",J48)))</formula>
    </cfRule>
  </conditionalFormatting>
  <conditionalFormatting sqref="H48">
    <cfRule type="containsText" dxfId="393" priority="16" stopIfTrue="1" operator="containsText" text="超过">
      <formula>NOT(ISERROR(SEARCH("超过",H48)))</formula>
    </cfRule>
  </conditionalFormatting>
  <conditionalFormatting sqref="F48">
    <cfRule type="containsText" dxfId="392" priority="15" stopIfTrue="1" operator="containsText" text="超过">
      <formula>NOT(ISERROR(SEARCH("超过",F48)))</formula>
    </cfRule>
  </conditionalFormatting>
  <conditionalFormatting sqref="F47 H47 J47">
    <cfRule type="containsText" dxfId="391" priority="14" stopIfTrue="1" operator="containsText" text="超过">
      <formula>NOT(ISERROR(SEARCH("超过",F47)))</formula>
    </cfRule>
  </conditionalFormatting>
  <conditionalFormatting sqref="E46">
    <cfRule type="expression" dxfId="390" priority="13" stopIfTrue="1">
      <formula>$F$46="超过30%"</formula>
    </cfRule>
  </conditionalFormatting>
  <conditionalFormatting sqref="G48">
    <cfRule type="expression" dxfId="389" priority="12" stopIfTrue="1">
      <formula>$H$48="超过30%"</formula>
    </cfRule>
  </conditionalFormatting>
  <conditionalFormatting sqref="E48">
    <cfRule type="expression" dxfId="388" priority="10" stopIfTrue="1">
      <formula>$F$48="超过30%"</formula>
    </cfRule>
  </conditionalFormatting>
  <conditionalFormatting sqref="G46">
    <cfRule type="expression" dxfId="387" priority="9" stopIfTrue="1">
      <formula>$H$46="超过30%"</formula>
    </cfRule>
  </conditionalFormatting>
  <conditionalFormatting sqref="G47">
    <cfRule type="expression" dxfId="386" priority="8" stopIfTrue="1">
      <formula>$H$47="超过20%"</formula>
    </cfRule>
  </conditionalFormatting>
  <conditionalFormatting sqref="I46">
    <cfRule type="expression" dxfId="385" priority="7" stopIfTrue="1">
      <formula>$J$46="超过30%"</formula>
    </cfRule>
  </conditionalFormatting>
  <conditionalFormatting sqref="I47">
    <cfRule type="expression" dxfId="384" priority="6" stopIfTrue="1">
      <formula>$J$47="超过20%"</formula>
    </cfRule>
  </conditionalFormatting>
  <conditionalFormatting sqref="I48">
    <cfRule type="expression" dxfId="383" priority="5" stopIfTrue="1">
      <formula>$J$48="超过30%"</formula>
    </cfRule>
  </conditionalFormatting>
  <conditionalFormatting sqref="E47">
    <cfRule type="expression" dxfId="382" priority="53" stopIfTrue="1">
      <formula>#REF!+$F$47="超过20%"</formula>
    </cfRule>
  </conditionalFormatting>
  <conditionalFormatting sqref="F42">
    <cfRule type="expression" dxfId="381" priority="4">
      <formula>$D$42="简单平均"</formula>
    </cfRule>
  </conditionalFormatting>
  <conditionalFormatting sqref="H42">
    <cfRule type="expression" dxfId="380" priority="3">
      <formula>$D$42="简单平均"</formula>
    </cfRule>
  </conditionalFormatting>
  <conditionalFormatting sqref="J42">
    <cfRule type="expression" dxfId="379" priority="2">
      <formula>$D$42="简单平均"</formula>
    </cfRule>
  </conditionalFormatting>
  <conditionalFormatting sqref="F7:F40 H7:H40 J7:J40">
    <cfRule type="cellIs" dxfId="37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22" t="s">
        <v>2083</v>
      </c>
      <c r="D1" s="3823"/>
      <c r="E1" s="3823"/>
      <c r="F1" s="3823"/>
      <c r="G1" s="3823"/>
      <c r="H1" s="3823"/>
      <c r="I1" s="3823"/>
      <c r="J1" s="3823"/>
      <c r="K1" s="3823"/>
      <c r="L1" s="3823"/>
      <c r="M1" s="3823"/>
      <c r="N1" s="3823"/>
      <c r="O1" s="3823"/>
      <c r="P1" s="3823"/>
      <c r="Q1" s="3823"/>
      <c r="R1" s="3823"/>
      <c r="S1" s="382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19" t="s">
        <v>27</v>
      </c>
      <c r="D22" s="3820"/>
      <c r="E22" s="3820"/>
      <c r="F22" s="3820"/>
      <c r="G22" s="3820"/>
      <c r="H22" s="3820"/>
      <c r="I22" s="3820"/>
      <c r="J22" s="3820"/>
      <c r="K22" s="3820"/>
      <c r="L22" s="3820"/>
      <c r="M22" s="3820"/>
      <c r="N22" s="3820"/>
      <c r="O22" s="3820"/>
      <c r="P22" s="3820"/>
      <c r="Q22" s="382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792">
        <v>1</v>
      </c>
      <c r="D24" s="2793"/>
      <c r="E24" s="2792">
        <v>1</v>
      </c>
      <c r="F24" s="2793"/>
      <c r="G24" s="2792">
        <v>1</v>
      </c>
      <c r="H24" s="2793"/>
      <c r="I24" s="2792">
        <v>1</v>
      </c>
      <c r="J24" s="2793"/>
      <c r="K24" s="2792">
        <v>1</v>
      </c>
      <c r="L24" s="2793"/>
      <c r="M24" s="2792">
        <v>1</v>
      </c>
      <c r="N24" s="2793"/>
      <c r="O24" s="2792">
        <v>1</v>
      </c>
      <c r="P24" s="2793"/>
      <c r="Q24" s="279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7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75"/>
      <c r="G1" s="2775"/>
      <c r="H1" s="2775"/>
      <c r="I1" s="2775"/>
      <c r="J1" s="2775"/>
      <c r="K1" s="2775"/>
      <c r="L1" s="2775"/>
      <c r="M1" s="2775"/>
      <c r="N1" s="2775"/>
      <c r="O1" s="2775"/>
      <c r="P1" s="2775"/>
    </row>
    <row r="2" spans="1:16" ht="15.75">
      <c r="A2" s="2145" t="s">
        <v>2072</v>
      </c>
      <c r="B2" s="2584">
        <f ca="1">SUMIF(B6:B13,"&lt;&gt;#ref!",B6:B13)</f>
        <v>49724</v>
      </c>
      <c r="C2" s="2145" t="s">
        <v>2073</v>
      </c>
      <c r="D2" s="2145" t="s">
        <v>2074</v>
      </c>
      <c r="E2" s="2594">
        <f ca="1">SUMIF(E6:E13,"&lt;&gt;#ref!",E6:E13)</f>
        <v>27298.22</v>
      </c>
      <c r="F2" s="2775"/>
      <c r="G2" s="2775"/>
      <c r="H2" s="2775"/>
      <c r="I2" s="2775"/>
      <c r="J2" s="2775"/>
      <c r="K2" s="2775"/>
      <c r="L2" s="2775"/>
      <c r="M2" s="2775"/>
      <c r="N2" s="2775"/>
      <c r="O2" s="2775"/>
      <c r="P2" s="2775"/>
    </row>
    <row r="3" spans="1:16" ht="15.75">
      <c r="A3" s="2145" t="s">
        <v>2075</v>
      </c>
      <c r="B3" s="2584">
        <f ca="1">ROUND(B2*10000/E2,0)</f>
        <v>18215</v>
      </c>
      <c r="C3" s="2145" t="s">
        <v>2081</v>
      </c>
      <c r="D3" s="2775"/>
      <c r="E3" s="2775"/>
      <c r="F3" s="2775"/>
      <c r="G3" s="2775"/>
      <c r="H3" s="2775"/>
      <c r="I3" s="2775"/>
      <c r="J3" s="2775"/>
      <c r="K3" s="2775"/>
      <c r="L3" s="2775"/>
      <c r="M3" s="2775"/>
      <c r="N3" s="2775"/>
      <c r="O3" s="2775"/>
      <c r="P3" s="2775"/>
    </row>
    <row r="4" spans="1:16" ht="15.75">
      <c r="A4" s="2776"/>
      <c r="B4" s="2775"/>
      <c r="C4" s="2775"/>
      <c r="D4" s="2775"/>
      <c r="E4" s="2775"/>
      <c r="F4" s="2775"/>
      <c r="G4" s="2775"/>
      <c r="H4" s="2775"/>
      <c r="I4" s="2775"/>
      <c r="J4" s="2775"/>
      <c r="K4" s="2775"/>
      <c r="L4" s="2775"/>
      <c r="M4" s="2775"/>
      <c r="N4" s="2775"/>
      <c r="O4" s="2775"/>
      <c r="P4" s="2775"/>
    </row>
    <row r="5" spans="1:16" ht="28.5">
      <c r="A5" s="2590" t="s">
        <v>2076</v>
      </c>
      <c r="B5" s="2592" t="s">
        <v>2077</v>
      </c>
      <c r="C5" s="2146"/>
      <c r="D5" s="2775"/>
      <c r="E5" s="2593" t="s">
        <v>2078</v>
      </c>
      <c r="F5" s="2775"/>
      <c r="G5" s="2775"/>
      <c r="H5" s="2775"/>
      <c r="I5" s="2775"/>
      <c r="J5" s="2775"/>
      <c r="K5" s="2775"/>
      <c r="L5" s="2775"/>
      <c r="M5" s="2775"/>
      <c r="N5" s="2775"/>
      <c r="O5" s="2775"/>
      <c r="P5" s="2775"/>
    </row>
    <row r="6" spans="1:16" ht="15.75">
      <c r="A6" s="2591" t="s">
        <v>2079</v>
      </c>
      <c r="B6" s="2584">
        <f ca="1">SUMIF(INDIRECT("'"&amp;A6&amp;"'"&amp;"!A:A"),"总价",INDIRECT("'"&amp;A6&amp;"'"&amp;"!B:B"))</f>
        <v>49724</v>
      </c>
      <c r="C6" s="2145" t="s">
        <v>2073</v>
      </c>
      <c r="D6" s="2775"/>
      <c r="E6" s="2594">
        <f ca="1">SUMIF(INDIRECT("'"&amp;A6&amp;"'"&amp;"!C:C"),"建筑面积",INDIRECT("'"&amp;A6&amp;"'"&amp;"!D:D"))</f>
        <v>27298.22</v>
      </c>
      <c r="F6" s="2775"/>
      <c r="G6" s="2775"/>
      <c r="H6" s="2775"/>
      <c r="I6" s="2775"/>
      <c r="J6" s="2775"/>
      <c r="K6" s="2775"/>
      <c r="L6" s="2775"/>
      <c r="M6" s="2775"/>
      <c r="N6" s="2775"/>
      <c r="O6" s="2775"/>
      <c r="P6" s="2775"/>
    </row>
    <row r="7" spans="1:16" ht="15.75">
      <c r="A7" s="2591"/>
      <c r="B7" s="2584" t="e">
        <f ca="1">SUMIF(INDIRECT("'"&amp;A7&amp;"'"&amp;"!A:A"),"总价",INDIRECT("'"&amp;A7&amp;"'"&amp;"!B:B"))</f>
        <v>#REF!</v>
      </c>
      <c r="C7" s="2145" t="s">
        <v>2073</v>
      </c>
      <c r="D7" s="2775"/>
      <c r="E7" s="2594" t="e">
        <f t="shared" ref="E7:E13" ca="1" si="0">SUMIF(INDIRECT("'"&amp;A7&amp;"'"&amp;"!C:C"),"建筑面积",INDIRECT("'"&amp;A7&amp;"'"&amp;"!D:D"))</f>
        <v>#REF!</v>
      </c>
      <c r="F7" s="2775"/>
      <c r="G7" s="2775"/>
      <c r="H7" s="2775"/>
      <c r="I7" s="2775"/>
      <c r="J7" s="2775"/>
      <c r="K7" s="2775"/>
      <c r="L7" s="2775"/>
      <c r="M7" s="2775"/>
      <c r="N7" s="2775"/>
      <c r="O7" s="2775"/>
      <c r="P7" s="2775"/>
    </row>
    <row r="8" spans="1:16" ht="15.75">
      <c r="A8" s="2591"/>
      <c r="B8" s="2584" t="e">
        <f t="shared" ref="B8:B13" ca="1" si="1">SUMIF(INDIRECT("'"&amp;A8&amp;"'"&amp;"!A:A"),"总价",INDIRECT("'"&amp;A8&amp;"'"&amp;"!B:B"))</f>
        <v>#REF!</v>
      </c>
      <c r="C8" s="2145" t="s">
        <v>2073</v>
      </c>
      <c r="D8" s="2775"/>
      <c r="E8" s="2594" t="e">
        <f t="shared" ca="1" si="0"/>
        <v>#REF!</v>
      </c>
      <c r="F8" s="2775"/>
      <c r="G8" s="2775"/>
      <c r="H8" s="2775"/>
      <c r="I8" s="2775"/>
      <c r="J8" s="2775"/>
      <c r="K8" s="2775"/>
      <c r="L8" s="2775"/>
      <c r="M8" s="2775"/>
      <c r="N8" s="2775"/>
      <c r="O8" s="2775"/>
      <c r="P8" s="2775"/>
    </row>
    <row r="9" spans="1:16" ht="15.75">
      <c r="A9" s="2591"/>
      <c r="B9" s="2584" t="e">
        <f t="shared" ca="1" si="1"/>
        <v>#REF!</v>
      </c>
      <c r="C9" s="2145" t="s">
        <v>2073</v>
      </c>
      <c r="D9" s="2775"/>
      <c r="E9" s="2594" t="e">
        <f t="shared" ca="1" si="0"/>
        <v>#REF!</v>
      </c>
      <c r="F9" s="2775"/>
      <c r="G9" s="2775"/>
      <c r="H9" s="2775"/>
      <c r="I9" s="2775"/>
      <c r="J9" s="2775"/>
      <c r="K9" s="2775"/>
      <c r="L9" s="2775"/>
      <c r="M9" s="2775"/>
      <c r="N9" s="2775"/>
      <c r="O9" s="2775"/>
      <c r="P9" s="2775"/>
    </row>
    <row r="10" spans="1:16" ht="15.75">
      <c r="A10" s="2591"/>
      <c r="B10" s="2584" t="e">
        <f t="shared" ca="1" si="1"/>
        <v>#REF!</v>
      </c>
      <c r="C10" s="2145" t="s">
        <v>2073</v>
      </c>
      <c r="D10" s="2775"/>
      <c r="E10" s="2594" t="e">
        <f t="shared" ca="1" si="0"/>
        <v>#REF!</v>
      </c>
      <c r="F10" s="2775"/>
      <c r="G10" s="2775"/>
      <c r="H10" s="2775"/>
      <c r="I10" s="2775"/>
      <c r="J10" s="2775"/>
      <c r="K10" s="2775"/>
      <c r="L10" s="2775"/>
      <c r="M10" s="2775"/>
      <c r="N10" s="2775"/>
      <c r="O10" s="2775"/>
      <c r="P10" s="2775"/>
    </row>
    <row r="11" spans="1:16" ht="15.75">
      <c r="A11" s="2591"/>
      <c r="B11" s="2584" t="e">
        <f t="shared" ca="1" si="1"/>
        <v>#REF!</v>
      </c>
      <c r="C11" s="2145" t="s">
        <v>2073</v>
      </c>
      <c r="D11" s="2775"/>
      <c r="E11" s="2594" t="e">
        <f t="shared" ca="1" si="0"/>
        <v>#REF!</v>
      </c>
      <c r="F11" s="2775"/>
      <c r="G11" s="2775"/>
      <c r="H11" s="2775"/>
      <c r="I11" s="2775"/>
      <c r="J11" s="2775"/>
      <c r="K11" s="2775"/>
      <c r="L11" s="2775"/>
      <c r="M11" s="2775"/>
      <c r="N11" s="2775"/>
      <c r="O11" s="2775"/>
      <c r="P11" s="2775"/>
    </row>
    <row r="12" spans="1:16" ht="15.75">
      <c r="A12" s="2591"/>
      <c r="B12" s="2584" t="e">
        <f t="shared" ca="1" si="1"/>
        <v>#REF!</v>
      </c>
      <c r="C12" s="2145" t="s">
        <v>2073</v>
      </c>
      <c r="D12" s="2775"/>
      <c r="E12" s="2594" t="e">
        <f t="shared" ca="1" si="0"/>
        <v>#REF!</v>
      </c>
      <c r="F12" s="2775"/>
      <c r="G12" s="2775"/>
      <c r="H12" s="2775"/>
      <c r="I12" s="2775"/>
      <c r="J12" s="2775"/>
      <c r="K12" s="2775"/>
      <c r="L12" s="2775"/>
      <c r="M12" s="2775"/>
      <c r="N12" s="2775"/>
      <c r="O12" s="2775"/>
      <c r="P12" s="2775"/>
    </row>
    <row r="13" spans="1:16" ht="15.75">
      <c r="A13" s="2591"/>
      <c r="B13" s="2584" t="e">
        <f t="shared" ca="1" si="1"/>
        <v>#REF!</v>
      </c>
      <c r="C13" s="2145" t="s">
        <v>2073</v>
      </c>
      <c r="D13" s="2775"/>
      <c r="E13" s="2594" t="e">
        <f t="shared" ca="1" si="0"/>
        <v>#REF!</v>
      </c>
      <c r="F13" s="2775"/>
      <c r="G13" s="2775"/>
      <c r="H13" s="2775"/>
      <c r="I13" s="2775"/>
      <c r="J13" s="2775"/>
      <c r="K13" s="2775"/>
      <c r="L13" s="2775"/>
      <c r="M13" s="2775"/>
      <c r="N13" s="2775"/>
      <c r="O13" s="2775"/>
      <c r="P13" s="2775"/>
    </row>
    <row r="14" spans="1:16">
      <c r="A14" s="2775"/>
      <c r="B14" s="2775"/>
      <c r="C14" s="2775"/>
      <c r="D14" s="2775"/>
      <c r="E14" s="2775"/>
      <c r="F14" s="2775"/>
      <c r="G14" s="2775"/>
      <c r="H14" s="2775"/>
      <c r="I14" s="2775"/>
      <c r="J14" s="2775"/>
      <c r="K14" s="2775"/>
      <c r="L14" s="2775"/>
      <c r="M14" s="2775"/>
      <c r="N14" s="2775"/>
      <c r="O14" s="2775"/>
      <c r="P14" s="2775"/>
    </row>
    <row r="15" spans="1:16">
      <c r="A15" s="2775"/>
      <c r="B15" s="2775"/>
      <c r="C15" s="2775"/>
      <c r="D15" s="2775"/>
      <c r="E15" s="2775"/>
      <c r="F15" s="2775"/>
      <c r="G15" s="2775"/>
      <c r="H15" s="2775"/>
      <c r="I15" s="2775"/>
      <c r="J15" s="2775"/>
      <c r="K15" s="2775"/>
      <c r="L15" s="2775"/>
      <c r="M15" s="2775"/>
      <c r="N15" s="2775"/>
      <c r="O15" s="2775"/>
      <c r="P15" s="2775"/>
    </row>
    <row r="16" spans="1:16">
      <c r="A16" s="2775"/>
      <c r="B16" s="2775"/>
      <c r="C16" s="2775"/>
      <c r="D16" s="2775"/>
      <c r="E16" s="2775"/>
      <c r="F16" s="2775"/>
      <c r="G16" s="2775"/>
      <c r="H16" s="2775"/>
      <c r="I16" s="2775"/>
      <c r="J16" s="2775"/>
      <c r="K16" s="2775"/>
      <c r="L16" s="2775"/>
      <c r="M16" s="2775"/>
      <c r="N16" s="2775"/>
      <c r="O16" s="2775"/>
      <c r="P16" s="2775"/>
    </row>
    <row r="17" spans="1:16">
      <c r="A17" s="2775"/>
      <c r="B17" s="2775"/>
      <c r="C17" s="2775"/>
      <c r="D17" s="2775"/>
      <c r="E17" s="2775"/>
      <c r="F17" s="2775"/>
      <c r="G17" s="2775"/>
      <c r="H17" s="2775"/>
      <c r="I17" s="2775"/>
      <c r="J17" s="2775"/>
      <c r="K17" s="2775"/>
      <c r="L17" s="2775"/>
      <c r="M17" s="2775"/>
      <c r="N17" s="2775"/>
      <c r="O17" s="2775"/>
      <c r="P17" s="2775"/>
    </row>
    <row r="18" spans="1:16">
      <c r="A18" s="2775"/>
      <c r="B18" s="2775"/>
      <c r="C18" s="2775"/>
      <c r="D18" s="2775"/>
      <c r="E18" s="2775"/>
      <c r="F18" s="2775"/>
      <c r="G18" s="2775"/>
      <c r="H18" s="2775"/>
      <c r="I18" s="2775"/>
      <c r="J18" s="2775"/>
      <c r="K18" s="2775"/>
      <c r="L18" s="2775"/>
      <c r="M18" s="2775"/>
      <c r="N18" s="2775"/>
      <c r="O18" s="2775"/>
      <c r="P18" s="2775"/>
    </row>
    <row r="19" spans="1:16">
      <c r="A19" s="2775"/>
      <c r="B19" s="2775"/>
      <c r="C19" s="2775"/>
      <c r="D19" s="2775"/>
      <c r="E19" s="2775"/>
      <c r="F19" s="2775"/>
      <c r="G19" s="2775"/>
      <c r="H19" s="2775"/>
      <c r="I19" s="2775"/>
      <c r="J19" s="2775"/>
      <c r="K19" s="2775"/>
      <c r="L19" s="2775"/>
      <c r="M19" s="2775"/>
      <c r="N19" s="2775"/>
      <c r="O19" s="2775"/>
      <c r="P19" s="2775"/>
    </row>
    <row r="20" spans="1:16">
      <c r="A20" s="2775"/>
      <c r="B20" s="2775"/>
      <c r="C20" s="2775"/>
      <c r="D20" s="2775"/>
      <c r="E20" s="2775"/>
      <c r="F20" s="2775"/>
      <c r="G20" s="2775"/>
      <c r="H20" s="2775"/>
      <c r="I20" s="2775"/>
      <c r="J20" s="2775"/>
      <c r="K20" s="2775"/>
      <c r="L20" s="2775"/>
      <c r="M20" s="2775"/>
      <c r="N20" s="2775"/>
      <c r="O20" s="2775"/>
      <c r="P20" s="2775"/>
    </row>
    <row r="21" spans="1:16">
      <c r="A21" s="2775"/>
      <c r="B21" s="2775"/>
      <c r="C21" s="2775"/>
      <c r="D21" s="2775"/>
      <c r="E21" s="2775"/>
      <c r="F21" s="2775"/>
      <c r="G21" s="2775"/>
      <c r="H21" s="2775"/>
      <c r="I21" s="2775"/>
      <c r="J21" s="2775"/>
      <c r="K21" s="2775"/>
      <c r="L21" s="2775"/>
      <c r="M21" s="2775"/>
      <c r="N21" s="2775"/>
      <c r="O21" s="2775"/>
      <c r="P21" s="2775"/>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27" sqref="J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t="s">
        <v>673</v>
      </c>
      <c r="C1" s="198"/>
      <c r="D1" s="198"/>
      <c r="E1" s="198"/>
      <c r="F1" s="198"/>
      <c r="G1" s="1126">
        <f>MATCH(B1,'数据-取费表'!A6:A16,0)+5</f>
        <v>6</v>
      </c>
    </row>
    <row r="2" spans="1:9" s="200" customFormat="1" ht="18" customHeight="1">
      <c r="A2" s="201" t="s">
        <v>1461</v>
      </c>
      <c r="B2" s="202">
        <f ca="1">IF(D2="——",C52,C52-E2)</f>
        <v>89923</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32941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51787</v>
      </c>
      <c r="D5" s="211" t="s">
        <v>1468</v>
      </c>
      <c r="E5" s="212" t="s">
        <v>1469</v>
      </c>
      <c r="F5" s="212" t="s">
        <v>1470</v>
      </c>
      <c r="G5" s="213"/>
    </row>
    <row r="6" spans="1:9" s="214" customFormat="1" ht="13.5" customHeight="1">
      <c r="A6" s="778" t="s">
        <v>1471</v>
      </c>
      <c r="B6" s="215" t="s">
        <v>1472</v>
      </c>
      <c r="C6" s="216">
        <f>基准地价修正!B2</f>
        <v>49724</v>
      </c>
      <c r="D6" s="217"/>
      <c r="E6" s="218"/>
      <c r="F6" s="218"/>
      <c r="G6" s="219"/>
    </row>
    <row r="7" spans="1:9" s="214" customFormat="1" ht="13.5" customHeight="1">
      <c r="A7" s="778" t="s">
        <v>1473</v>
      </c>
      <c r="B7" s="215" t="s">
        <v>1474</v>
      </c>
      <c r="C7" s="220">
        <f>ROUND(C6*F7,0)</f>
        <v>1517</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546</v>
      </c>
      <c r="D8" s="222"/>
      <c r="E8" s="220"/>
      <c r="F8" s="221"/>
      <c r="G8" s="1856" t="s">
        <v>4115</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t="s">
        <v>4116</v>
      </c>
      <c r="H9" s="1137"/>
      <c r="I9" s="1858" t="s">
        <v>1478</v>
      </c>
    </row>
    <row r="10" spans="1:9" s="214" customFormat="1" ht="13.5" customHeight="1">
      <c r="A10" s="779" t="s">
        <v>356</v>
      </c>
      <c r="B10" s="224" t="s">
        <v>1479</v>
      </c>
      <c r="C10" s="225">
        <f ca="1">ROUND(D10*E10/10000,0)</f>
        <v>546</v>
      </c>
      <c r="D10" s="845">
        <f ca="1">IF(B1="",'数据-汇总表'!E6,IF(INDIRECT("'数据-取费表'!c"&amp;$G$1)="住宅",INDIRECT("'数据-取费表'!s"&amp;$G$1),INDIRECT("'数据-取费表'!k"&amp;$G$1)+INDIRECT("'数据-取费表'!s"&amp;$G$1)))</f>
        <v>27298.22</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27298.22</v>
      </c>
      <c r="E19" s="211">
        <f>'数据-取费表'!B31</f>
        <v>200</v>
      </c>
      <c r="F19" s="231"/>
      <c r="G19" s="1856" t="s">
        <v>4117</v>
      </c>
    </row>
    <row r="20" spans="1:7" s="214" customFormat="1" ht="13.5" customHeight="1">
      <c r="A20" s="255" t="s">
        <v>1492</v>
      </c>
      <c r="B20" s="210" t="s">
        <v>1493</v>
      </c>
      <c r="C20" s="232">
        <f ca="1">ROUND((C5+C19)*F20,0)</f>
        <v>1036</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4431</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4388</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43</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10565</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10565</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73564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14887</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13723</v>
      </c>
      <c r="D34" s="217"/>
      <c r="E34" s="220"/>
      <c r="F34" s="257">
        <f ca="1">IF('数据-取费表'!B24=0,1,IF(B1="",'数据-取费表'!N16,INDIRECT("'数据-取费表'!n"&amp;$G$1)))</f>
        <v>1</v>
      </c>
      <c r="G34" s="219" t="s">
        <v>1525</v>
      </c>
    </row>
    <row r="35" spans="1:7" ht="13.5" customHeight="1">
      <c r="A35" s="780" t="s">
        <v>351</v>
      </c>
      <c r="B35" s="215" t="s">
        <v>1526</v>
      </c>
      <c r="C35" s="220">
        <f ca="1">ROUND(C34*F35,0)</f>
        <v>412</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1529</v>
      </c>
    </row>
    <row r="37" spans="1:7" s="258" customFormat="1" ht="13.5" customHeight="1">
      <c r="A37" s="780" t="s">
        <v>353</v>
      </c>
      <c r="B37" s="215" t="s">
        <v>1530</v>
      </c>
      <c r="C37" s="249">
        <f ca="1">ROUND(E37*D37*F34/10000,0)</f>
        <v>546</v>
      </c>
      <c r="D37" s="217">
        <f ca="1">D19</f>
        <v>27298.22</v>
      </c>
      <c r="E37" s="249">
        <f>'数据-取费表'!B35</f>
        <v>200</v>
      </c>
      <c r="F37" s="259"/>
      <c r="G37" s="261" t="s">
        <v>1531</v>
      </c>
    </row>
    <row r="38" spans="1:7" ht="13.5" customHeight="1">
      <c r="A38" s="780" t="s">
        <v>354</v>
      </c>
      <c r="B38" s="215" t="s">
        <v>1532</v>
      </c>
      <c r="C38" s="220">
        <f ca="1">ROUND(C34*F38,0)</f>
        <v>206</v>
      </c>
      <c r="D38" s="220"/>
      <c r="E38" s="220"/>
      <c r="F38" s="259">
        <f>'数据-取费表'!B36</f>
        <v>1.4999999999999999E-2</v>
      </c>
      <c r="G38" s="219" t="s">
        <v>1527</v>
      </c>
    </row>
    <row r="39" spans="1:7" s="214" customFormat="1" ht="13.5" customHeight="1">
      <c r="A39" s="255" t="s">
        <v>1533</v>
      </c>
      <c r="B39" s="210" t="s">
        <v>1534</v>
      </c>
      <c r="C39" s="232">
        <f ca="1">ROUND(C33*F20,0)</f>
        <v>298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630</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618</v>
      </c>
      <c r="D42" s="238"/>
      <c r="E42" s="238"/>
      <c r="F42" s="239"/>
      <c r="G42" s="3720" t="s">
        <v>1543</v>
      </c>
    </row>
    <row r="43" spans="1:7" ht="13.5" customHeight="1">
      <c r="A43" s="780" t="s">
        <v>347</v>
      </c>
      <c r="B43" s="215" t="s">
        <v>1544</v>
      </c>
      <c r="C43" s="238">
        <f ca="1">ROUND(IF('数据-取费表'!B22&lt;=1,C39*F22*'数据-取费表'!B21/2,C39*(POWER((1+F22),'数据-取费表'!B21/2)-1)),0)</f>
        <v>12</v>
      </c>
      <c r="D43" s="238"/>
      <c r="E43" s="238"/>
      <c r="F43" s="239"/>
      <c r="G43" s="3721"/>
    </row>
    <row r="44" spans="1:7" ht="13.5" customHeight="1">
      <c r="A44" s="780" t="s">
        <v>348</v>
      </c>
      <c r="B44" s="215" t="s">
        <v>1545</v>
      </c>
      <c r="C44" s="238">
        <f ca="1">ROUND(IF('数据-取费表'!B22&lt;=1,C40*F22*'数据-取费表'!B21/2,C40*(POWER((1+F22),'数据-取费表'!B21/2)-1)),4)</f>
        <v>8.0000000000000004E-4</v>
      </c>
      <c r="D44" s="238"/>
      <c r="E44" s="238"/>
      <c r="F44" s="239"/>
      <c r="G44" s="3722"/>
    </row>
    <row r="45" spans="1:7" s="214" customFormat="1" ht="13.5" customHeight="1">
      <c r="A45" s="255" t="s">
        <v>1546</v>
      </c>
      <c r="B45" s="244" t="s">
        <v>1512</v>
      </c>
      <c r="C45" s="245">
        <f ca="1">C46</f>
        <v>3037</v>
      </c>
      <c r="D45" s="235">
        <f ca="1">C47</f>
        <v>4.0000000000000001E-3</v>
      </c>
      <c r="E45" s="236" t="s">
        <v>1538</v>
      </c>
      <c r="F45" s="246">
        <f ca="1">F27</f>
        <v>0.2</v>
      </c>
      <c r="G45" s="247" t="s">
        <v>1547</v>
      </c>
    </row>
    <row r="46" spans="1:7" s="214" customFormat="1" ht="13.5" customHeight="1">
      <c r="A46" s="780" t="s">
        <v>346</v>
      </c>
      <c r="B46" s="248" t="s">
        <v>1548</v>
      </c>
      <c r="C46" s="249">
        <f ca="1">ROUND((C33+C39)*F27,0)</f>
        <v>3037</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20449</v>
      </c>
      <c r="D49" s="232"/>
      <c r="E49" s="232"/>
      <c r="F49" s="264"/>
      <c r="G49" s="234" t="s">
        <v>1553</v>
      </c>
    </row>
    <row r="50" spans="1:7" s="258" customFormat="1" ht="24">
      <c r="A50" s="255" t="s">
        <v>1554</v>
      </c>
      <c r="B50" s="210" t="s">
        <v>1555</v>
      </c>
      <c r="C50" s="232"/>
      <c r="D50" s="232"/>
      <c r="E50" s="232"/>
      <c r="F50" s="264">
        <f>IF('数据-取费表'!B24=0,'数据-取费表'!N16,1)</f>
        <v>0.8</v>
      </c>
      <c r="G50" s="247" t="s">
        <v>1556</v>
      </c>
    </row>
    <row r="51" spans="1:7" ht="16.5" customHeight="1">
      <c r="A51" s="255" t="s">
        <v>1557</v>
      </c>
      <c r="B51" s="210" t="s">
        <v>1558</v>
      </c>
      <c r="C51" s="232">
        <f ca="1">ROUND(C49*F50,0)</f>
        <v>16359</v>
      </c>
      <c r="D51" s="232"/>
      <c r="E51" s="232"/>
      <c r="F51" s="264"/>
      <c r="G51" s="234" t="s">
        <v>1559</v>
      </c>
    </row>
    <row r="52" spans="1:7" s="208" customFormat="1" ht="16.5" thickBot="1">
      <c r="A52" s="265" t="s">
        <v>1560</v>
      </c>
      <c r="B52" s="266"/>
      <c r="C52" s="267">
        <f ca="1">C31+C51</f>
        <v>89923</v>
      </c>
      <c r="D52" s="266"/>
      <c r="E52" s="266"/>
      <c r="F52" s="266"/>
      <c r="G52" s="268"/>
    </row>
    <row r="55" spans="1:7" ht="15">
      <c r="B55" s="270" t="s">
        <v>1561</v>
      </c>
      <c r="C55" s="271"/>
    </row>
    <row r="56" spans="1:7">
      <c r="B56" s="273" t="s">
        <v>802</v>
      </c>
      <c r="C56" s="275">
        <f ca="1">1-C57</f>
        <v>0.81800000000000006</v>
      </c>
    </row>
    <row r="57" spans="1:7">
      <c r="B57" s="273" t="s">
        <v>803</v>
      </c>
      <c r="C57" s="274">
        <f ca="1">ROUND(C51/C52,3)</f>
        <v>0.182</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C33" sqref="C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27298.22</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49724</v>
      </c>
      <c r="C2" s="1999" t="s">
        <v>1934</v>
      </c>
      <c r="D2" s="2000" t="s">
        <v>1935</v>
      </c>
      <c r="E2" s="3404" t="s">
        <v>673</v>
      </c>
      <c r="F2" s="2000" t="s">
        <v>1936</v>
      </c>
      <c r="G2" s="2001" t="str">
        <f>IF(E2="商业",项目基本情况!B37,IF(E2="办公",项目基本情况!C37,IF(E2="住宅",项目基本情况!D37,IF(E2="工业",项目基本情况!E37,项目基本情况!F37))))</f>
        <v>二级</v>
      </c>
      <c r="H2" s="2000" t="s">
        <v>1937</v>
      </c>
      <c r="I2" s="2001" t="str">
        <f>IF(E2="商业",项目基本情况!B38,IF(E2="办公",项目基本情况!C38,IF(E2="住宅",项目基本情况!D38,IF(E2="工业",项目基本情况!E38,项目基本情况!F38))))</f>
        <v>Ⅱ—13</v>
      </c>
      <c r="J2" s="2002"/>
      <c r="K2" s="1119"/>
      <c r="L2" s="2003" t="s">
        <v>1938</v>
      </c>
      <c r="M2" s="864">
        <f>SUMPRODUCT((区片价!B10:B29=I2)*(区片价!C3:G3=E2)*(区片价!C10:G29))</f>
        <v>29830</v>
      </c>
      <c r="N2" s="866">
        <f>SUMPRODUCT((因素修正幅度!B10:B29=I2)*(因素修正幅度!C3:G3=E2)*(因素修正幅度!C10:G29))</f>
        <v>9.5000000000000001E-2</v>
      </c>
      <c r="O2" s="1119"/>
      <c r="P2" s="1119"/>
      <c r="Q2" s="1119"/>
      <c r="R2" s="1212">
        <v>1</v>
      </c>
      <c r="S2" s="3343">
        <f>ROUND(SUMPRODUCT((B106:B110=R2)*(C105:N105=G2)*(C106:N110)),4)</f>
        <v>1.5206</v>
      </c>
      <c r="T2" s="3343">
        <f t="shared" ref="T2:T16" si="0">ROUND($C$5*$C$22*$C$23*$C$24*S2*$C$28,0)</f>
        <v>37651</v>
      </c>
      <c r="U2" s="1213"/>
      <c r="V2" s="3343">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18215</v>
      </c>
      <c r="C3" s="1999" t="s">
        <v>1940</v>
      </c>
      <c r="D3" s="2000" t="s">
        <v>1941</v>
      </c>
      <c r="E3" s="3402" t="s">
        <v>2441</v>
      </c>
      <c r="F3" s="2004" t="s">
        <v>4106</v>
      </c>
      <c r="G3" s="752">
        <f>IF(F3="宗地容积率",'数据-汇总表'!I4,IF(F3="估价对象容积率",'数据-汇总表'!I6,'数据-汇总表'!I7))</f>
        <v>2.4300000000000002</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43">
        <f>ROUND(SUMPRODUCT((B106:B110=R3)*(C105:N105=G2)*(C106:N110)),4)</f>
        <v>1.2072000000000001</v>
      </c>
      <c r="T3" s="3343">
        <f t="shared" si="0"/>
        <v>29891</v>
      </c>
      <c r="U3" s="1213"/>
      <c r="V3" s="3343">
        <f t="shared" ref="V3:V16" si="1">ROUND(T3*U3/10000,0)</f>
        <v>0</v>
      </c>
      <c r="W3" s="1216"/>
      <c r="X3" s="1216"/>
      <c r="Y3" s="1216"/>
      <c r="Z3" s="1216"/>
      <c r="AA3" s="1216"/>
      <c r="AB3" s="1216"/>
      <c r="AC3" s="1217"/>
      <c r="AD3" s="1218"/>
      <c r="AE3" s="1218"/>
      <c r="AF3" s="1218"/>
      <c r="AG3" s="1218"/>
      <c r="AH3" s="1218"/>
      <c r="AI3" s="1218"/>
      <c r="AJ3" s="1219"/>
    </row>
    <row r="4" spans="1:36" ht="15.75">
      <c r="A4" s="3832"/>
      <c r="B4" s="3833"/>
      <c r="C4" s="3833"/>
      <c r="D4" s="3834"/>
      <c r="E4" s="3834"/>
      <c r="F4" s="3834"/>
      <c r="G4" s="3834"/>
      <c r="H4" s="3834"/>
      <c r="I4" s="3834"/>
      <c r="J4" s="3835"/>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43">
        <f>ROUND(SUMPRODUCT((B106:B110=R4)*(C105:N105=G2)*(C106:N110)),4)</f>
        <v>1.0430999999999999</v>
      </c>
      <c r="T4" s="3343">
        <f t="shared" si="0"/>
        <v>25827</v>
      </c>
      <c r="U4" s="1213"/>
      <c r="V4" s="3343">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31076</v>
      </c>
      <c r="D5" s="1339">
        <f>ROUND(C6*C17+C20,0)</f>
        <v>29799</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43">
        <f>ROUND(SUMPRODUCT((B106:B110=R5)*(C105:N105=G2)*(C106:N110)),4)</f>
        <v>0.94389999999999996</v>
      </c>
      <c r="T5" s="3343">
        <f t="shared" si="0"/>
        <v>23371</v>
      </c>
      <c r="U5" s="1213"/>
      <c r="V5" s="3343">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29830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43">
        <f>ROUND(SUMPRODUCT((B106:B110=R6)*(C105:N105=G2)*(C106:N110)),4)</f>
        <v>0.89959999999999996</v>
      </c>
      <c r="T6" s="3343">
        <f t="shared" si="0"/>
        <v>22274</v>
      </c>
      <c r="U6" s="1213"/>
      <c r="V6" s="3343">
        <f t="shared" si="1"/>
        <v>0</v>
      </c>
      <c r="W6" s="1216"/>
      <c r="X6" s="1216"/>
      <c r="Y6" s="1216"/>
      <c r="Z6" s="1216"/>
      <c r="AA6" s="1216"/>
      <c r="AB6" s="1216"/>
      <c r="AC6" s="2011"/>
      <c r="AD6" s="2012"/>
      <c r="AE6" s="2012"/>
      <c r="AF6" s="2012"/>
      <c r="AG6" s="2012"/>
      <c r="AH6" s="2012"/>
      <c r="AI6" s="2012"/>
      <c r="AJ6" s="2013"/>
    </row>
    <row r="7" spans="1:36" ht="24.75" thickBot="1">
      <c r="A7" s="3286" t="s">
        <v>3243</v>
      </c>
      <c r="B7" s="2021" t="s">
        <v>1951</v>
      </c>
      <c r="C7" s="755">
        <f>IF(C8="不临65条商业街",1,ROUND(1+(1.6*E8+1.2*E9+0.8*E10+0.4*E11)*C9,4))</f>
        <v>1.0427999999999999</v>
      </c>
      <c r="D7" s="2022" t="s">
        <v>1952</v>
      </c>
      <c r="E7" s="776">
        <v>70</v>
      </c>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01"/>
      <c r="T7" s="3343">
        <f t="shared" si="0"/>
        <v>0</v>
      </c>
      <c r="U7" s="1213"/>
      <c r="V7" s="3343">
        <f t="shared" si="1"/>
        <v>0</v>
      </c>
      <c r="W7" s="1358" t="s">
        <v>1954</v>
      </c>
      <c r="X7" s="1214" t="str">
        <f>G2</f>
        <v>二级</v>
      </c>
      <c r="Y7" s="1214" t="s">
        <v>1955</v>
      </c>
      <c r="Z7" s="1215">
        <f>G3</f>
        <v>2.4300000000000002</v>
      </c>
      <c r="AA7" s="1216"/>
      <c r="AB7" s="1216"/>
      <c r="AC7" s="1217"/>
      <c r="AD7" s="1218"/>
      <c r="AE7" s="1218"/>
      <c r="AF7" s="1218"/>
      <c r="AG7" s="1218"/>
      <c r="AH7" s="1218"/>
      <c r="AI7" s="1218"/>
      <c r="AJ7" s="1219"/>
    </row>
    <row r="8" spans="1:36" ht="15">
      <c r="A8" s="3281"/>
      <c r="B8" s="170" t="s">
        <v>1956</v>
      </c>
      <c r="C8" s="2026" t="s">
        <v>4107</v>
      </c>
      <c r="D8" s="756" t="s">
        <v>112</v>
      </c>
      <c r="E8" s="757">
        <f>ROUND(C11/E7,4)</f>
        <v>7.1400000000000005E-2</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43">
        <f t="shared" si="0"/>
        <v>0</v>
      </c>
      <c r="U8" s="1213"/>
      <c r="V8" s="3343">
        <f t="shared" si="1"/>
        <v>0</v>
      </c>
      <c r="W8" s="3829" t="s">
        <v>1959</v>
      </c>
      <c r="X8" s="383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81"/>
      <c r="B9" s="170" t="s">
        <v>1972</v>
      </c>
      <c r="C9" s="758">
        <f>SUMIF(修正!C71:C138,C8,修正!E71:E138)</f>
        <v>0.15</v>
      </c>
      <c r="D9" s="171" t="s">
        <v>113</v>
      </c>
      <c r="E9" s="171">
        <f>ROUND(C11/E7,4)</f>
        <v>7.1400000000000005E-2</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43">
        <f t="shared" si="0"/>
        <v>0</v>
      </c>
      <c r="U9" s="1213"/>
      <c r="V9" s="3343">
        <f t="shared" si="1"/>
        <v>0</v>
      </c>
      <c r="W9" s="3831"/>
      <c r="X9" s="3344" t="s">
        <v>3274</v>
      </c>
      <c r="Y9" s="3345">
        <v>6</v>
      </c>
      <c r="Z9" s="3346">
        <f>$Y$9</f>
        <v>6</v>
      </c>
      <c r="AA9" s="3346">
        <f t="shared" ref="AA9:AJ9" si="2">$Y$9</f>
        <v>6</v>
      </c>
      <c r="AB9" s="3346">
        <f t="shared" si="2"/>
        <v>6</v>
      </c>
      <c r="AC9" s="3346">
        <f t="shared" si="2"/>
        <v>6</v>
      </c>
      <c r="AD9" s="3346">
        <f t="shared" si="2"/>
        <v>6</v>
      </c>
      <c r="AE9" s="3346">
        <f t="shared" si="2"/>
        <v>6</v>
      </c>
      <c r="AF9" s="3346">
        <f t="shared" si="2"/>
        <v>6</v>
      </c>
      <c r="AG9" s="3346">
        <f t="shared" si="2"/>
        <v>6</v>
      </c>
      <c r="AH9" s="3346">
        <f t="shared" si="2"/>
        <v>6</v>
      </c>
      <c r="AI9" s="3346">
        <f t="shared" si="2"/>
        <v>6</v>
      </c>
      <c r="AJ9" s="3346">
        <f t="shared" si="2"/>
        <v>6</v>
      </c>
    </row>
    <row r="10" spans="1:36" ht="15">
      <c r="A10" s="3281"/>
      <c r="B10" s="170" t="s">
        <v>1975</v>
      </c>
      <c r="C10" s="171">
        <f>SUMIF(修正!C71:C138,C8,修正!F71:F138)</f>
        <v>20</v>
      </c>
      <c r="D10" s="171" t="s">
        <v>114</v>
      </c>
      <c r="E10" s="171">
        <f>ROUND(C11/E7,4)</f>
        <v>7.1400000000000005E-2</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43">
        <f t="shared" si="0"/>
        <v>0</v>
      </c>
      <c r="U10" s="1213"/>
      <c r="V10" s="3343">
        <f t="shared" si="1"/>
        <v>0</v>
      </c>
      <c r="W10" s="3831"/>
      <c r="X10" s="3344">
        <v>6</v>
      </c>
      <c r="Y10" s="3347">
        <f>ROUND((-0.5556*(Y9^2)-0.2719*Y9+8944)*(10^(-4)),4)</f>
        <v>0.89219999999999999</v>
      </c>
      <c r="Z10" s="3347">
        <f>ROUND((-0.5556*(Z9^2)-0.2719*Z9+8944)*(10^(-4)),4)</f>
        <v>0.89219999999999999</v>
      </c>
      <c r="AA10" s="3347">
        <f>ROUND((-0.7912*(AA9^2)-11.3794*AA9+8482)*(10^(-4)),4)</f>
        <v>0.83850000000000002</v>
      </c>
      <c r="AB10" s="3347">
        <f>ROUND((-0.7912*(AB9^2)-11.3794*AB9+8482)*(10^(-4)),4)</f>
        <v>0.83850000000000002</v>
      </c>
      <c r="AC10" s="3347">
        <f>ROUND((-0.7912*(AC9^2)-11.3794*AC9+8482)*(10^(-4)),4)</f>
        <v>0.83850000000000002</v>
      </c>
      <c r="AD10" s="3347">
        <f>ROUND((-0.7912*(AD9^2)-11.3794*AD9+8482)*(10^(-4)),4)</f>
        <v>0.83850000000000002</v>
      </c>
      <c r="AE10" s="3347">
        <f>ROUND((-0.7912*(AE9^2)-11.3794*AE9+8482)*(10^(-4)),4)</f>
        <v>0.83850000000000002</v>
      </c>
      <c r="AF10" s="3347">
        <f>ROUND((-0.989*(AF9^2)-63.78*AF9+7771)*(10^(-4)),4)</f>
        <v>0.73529999999999995</v>
      </c>
      <c r="AG10" s="3347">
        <f>ROUND((-0.989*(AG9^2)-63.78*AG9+7771)*(10^(-4)),4)</f>
        <v>0.73529999999999995</v>
      </c>
      <c r="AH10" s="3347">
        <f>ROUND((-0.989*(AH9^2)-63.78*AH9+7771)*(10^(-4)),4)</f>
        <v>0.73529999999999995</v>
      </c>
      <c r="AI10" s="3347">
        <f>ROUND((-0.989*(AI9^2)-63.78*AI9+7771)*(10^(-4)),4)</f>
        <v>0.73529999999999995</v>
      </c>
      <c r="AJ10" s="3347">
        <f>ROUND((-0.989*(AJ9^2)-63.78*AJ9+7771)*(10^(-4)),4)</f>
        <v>0.73529999999999995</v>
      </c>
    </row>
    <row r="11" spans="1:36" ht="15.75" thickBot="1">
      <c r="A11" s="3285"/>
      <c r="B11" s="2030" t="s">
        <v>1978</v>
      </c>
      <c r="C11" s="759">
        <f>C10/4</f>
        <v>5</v>
      </c>
      <c r="D11" s="759" t="s">
        <v>115</v>
      </c>
      <c r="E11" s="759">
        <f>ROUND(C11/E7,4)</f>
        <v>7.1400000000000005E-2</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43">
        <f t="shared" si="0"/>
        <v>0</v>
      </c>
      <c r="U11" s="1213"/>
      <c r="V11" s="3343">
        <f t="shared" si="1"/>
        <v>0</v>
      </c>
      <c r="W11" s="1216"/>
      <c r="X11" s="1216"/>
      <c r="Y11" s="1216"/>
      <c r="Z11" s="1216"/>
      <c r="AA11" s="1216"/>
      <c r="AB11" s="1216"/>
      <c r="AC11" s="1217"/>
      <c r="AD11" s="2771"/>
      <c r="AE11" s="2771"/>
      <c r="AF11" s="2771"/>
      <c r="AG11" s="2771"/>
      <c r="AH11" s="2771"/>
      <c r="AI11" s="2771"/>
      <c r="AJ11" s="2772"/>
    </row>
    <row r="12" spans="1:36" ht="25.5" thickBot="1">
      <c r="A12" s="3286" t="s">
        <v>3244</v>
      </c>
      <c r="B12" s="3287" t="s">
        <v>3245</v>
      </c>
      <c r="C12" s="3288"/>
      <c r="D12" s="3289" t="s">
        <v>3246</v>
      </c>
      <c r="E12" s="3290" t="s">
        <v>3247</v>
      </c>
      <c r="F12" s="3291"/>
      <c r="G12" s="3292"/>
      <c r="H12" s="3292"/>
      <c r="I12" s="3292"/>
      <c r="J12" s="3293"/>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43">
        <f t="shared" si="0"/>
        <v>0</v>
      </c>
      <c r="U12" s="1213"/>
      <c r="V12" s="3343">
        <f t="shared" si="1"/>
        <v>0</v>
      </c>
      <c r="W12" s="1216"/>
      <c r="X12" s="1216"/>
      <c r="Y12" s="1216"/>
      <c r="Z12" s="1216"/>
      <c r="AA12" s="1216"/>
      <c r="AB12" s="1216"/>
      <c r="AC12" s="1217"/>
      <c r="AD12" s="2771"/>
      <c r="AE12" s="2771"/>
      <c r="AF12" s="2771"/>
      <c r="AG12" s="2771"/>
      <c r="AH12" s="2771"/>
      <c r="AI12" s="2771"/>
      <c r="AJ12" s="2772"/>
    </row>
    <row r="13" spans="1:36" ht="15.75" thickBot="1">
      <c r="A13" s="3286" t="s">
        <v>3248</v>
      </c>
      <c r="B13" s="2034" t="s">
        <v>1981</v>
      </c>
      <c r="C13" s="755">
        <f>ROUND(C16*D16*E16*F16*G16*H16*I16*J16,4)</f>
        <v>0</v>
      </c>
      <c r="D13" s="2035" t="s">
        <v>1982</v>
      </c>
      <c r="E13" s="2036"/>
      <c r="F13" s="2036"/>
      <c r="G13" s="2037"/>
      <c r="H13" s="2037"/>
      <c r="I13" s="2037"/>
      <c r="J13" s="2038"/>
      <c r="K13" s="1119"/>
      <c r="L13" s="3282"/>
      <c r="M13" s="3283"/>
      <c r="N13" s="3284"/>
      <c r="O13" s="1119"/>
      <c r="P13" s="1119"/>
      <c r="Q13" s="1119"/>
      <c r="R13" s="1212">
        <v>12</v>
      </c>
      <c r="S13" s="1213"/>
      <c r="T13" s="3343">
        <f t="shared" si="0"/>
        <v>0</v>
      </c>
      <c r="U13" s="1213"/>
      <c r="V13" s="3343">
        <f t="shared" si="1"/>
        <v>0</v>
      </c>
      <c r="W13" s="1216"/>
      <c r="X13" s="1216"/>
      <c r="Y13" s="1216"/>
      <c r="Z13" s="1216"/>
      <c r="AA13" s="1216"/>
      <c r="AB13" s="1216"/>
      <c r="AC13" s="1217"/>
      <c r="AD13" s="2771"/>
      <c r="AE13" s="2771"/>
      <c r="AF13" s="2771"/>
      <c r="AG13" s="2771"/>
      <c r="AH13" s="2771"/>
      <c r="AI13" s="2771"/>
      <c r="AJ13" s="2772"/>
    </row>
    <row r="14" spans="1:36" ht="15">
      <c r="A14" s="3280"/>
      <c r="B14" s="2040" t="s">
        <v>1984</v>
      </c>
      <c r="C14" s="2041" t="s">
        <v>1985</v>
      </c>
      <c r="D14" s="1350" t="s">
        <v>1986</v>
      </c>
      <c r="E14" s="27" t="s">
        <v>1987</v>
      </c>
      <c r="F14" s="3294" t="s">
        <v>3249</v>
      </c>
      <c r="G14" s="3294" t="s">
        <v>3249</v>
      </c>
      <c r="H14" s="3294" t="s">
        <v>3249</v>
      </c>
      <c r="I14" s="3294" t="s">
        <v>3249</v>
      </c>
      <c r="J14" s="3294" t="s">
        <v>3249</v>
      </c>
      <c r="K14" s="1119"/>
      <c r="L14" s="1119"/>
      <c r="M14" s="1119"/>
      <c r="N14" s="1119"/>
      <c r="O14" s="1119"/>
      <c r="P14" s="1119"/>
      <c r="Q14" s="1119"/>
      <c r="R14" s="1212">
        <v>13</v>
      </c>
      <c r="S14" s="1213"/>
      <c r="T14" s="3343">
        <f t="shared" si="0"/>
        <v>0</v>
      </c>
      <c r="U14" s="1213"/>
      <c r="V14" s="3343">
        <f t="shared" si="1"/>
        <v>0</v>
      </c>
      <c r="W14" s="1216"/>
      <c r="X14" s="1216"/>
      <c r="Y14" s="1216"/>
      <c r="Z14" s="1216"/>
      <c r="AA14" s="1216"/>
      <c r="AB14" s="1216"/>
      <c r="AC14" s="1217"/>
      <c r="AD14" s="2771"/>
      <c r="AE14" s="2771"/>
      <c r="AF14" s="2771"/>
      <c r="AG14" s="2771"/>
      <c r="AH14" s="2771"/>
      <c r="AI14" s="2771"/>
      <c r="AJ14" s="2772"/>
    </row>
    <row r="15" spans="1:36" ht="15">
      <c r="A15" s="3280"/>
      <c r="B15" s="2042"/>
      <c r="C15" s="2043"/>
      <c r="D15" s="2044"/>
      <c r="E15" s="2045"/>
      <c r="F15" s="3295" t="s">
        <v>3250</v>
      </c>
      <c r="G15" s="3296"/>
      <c r="H15" s="3297"/>
      <c r="I15" s="3298"/>
      <c r="J15" s="3299"/>
      <c r="K15" s="1119"/>
      <c r="L15" s="1119"/>
      <c r="M15" s="1119"/>
      <c r="N15" s="1119"/>
      <c r="O15" s="1119"/>
      <c r="P15" s="1119"/>
      <c r="Q15" s="1119"/>
      <c r="R15" s="1212">
        <v>14</v>
      </c>
      <c r="S15" s="1213"/>
      <c r="T15" s="3343">
        <f t="shared" si="0"/>
        <v>0</v>
      </c>
      <c r="U15" s="1213"/>
      <c r="V15" s="3343">
        <f t="shared" si="1"/>
        <v>0</v>
      </c>
      <c r="W15" s="1216"/>
      <c r="X15" s="1216"/>
      <c r="Y15" s="1216"/>
      <c r="Z15" s="1216"/>
      <c r="AA15" s="1216"/>
      <c r="AB15" s="1216"/>
      <c r="AC15" s="1217"/>
      <c r="AD15" s="2771"/>
      <c r="AE15" s="2771"/>
      <c r="AF15" s="2771"/>
      <c r="AG15" s="2771"/>
      <c r="AH15" s="2771"/>
      <c r="AI15" s="2771"/>
      <c r="AJ15" s="2772"/>
    </row>
    <row r="16" spans="1:36" ht="15.75" thickBot="1">
      <c r="A16" s="3280"/>
      <c r="B16" s="3302" t="s">
        <v>1988</v>
      </c>
      <c r="C16" s="3300"/>
      <c r="D16" s="3300"/>
      <c r="E16" s="3300"/>
      <c r="F16" s="3300">
        <v>1</v>
      </c>
      <c r="G16" s="3300">
        <v>1</v>
      </c>
      <c r="H16" s="3300">
        <v>1</v>
      </c>
      <c r="I16" s="3300">
        <v>1</v>
      </c>
      <c r="J16" s="3301">
        <v>1</v>
      </c>
      <c r="K16" s="1119"/>
      <c r="L16" s="1997"/>
      <c r="M16" s="1997"/>
      <c r="N16" s="1997"/>
      <c r="O16" s="1997"/>
      <c r="P16" s="1997"/>
      <c r="Q16" s="1119"/>
      <c r="R16" s="1212">
        <v>15</v>
      </c>
      <c r="S16" s="1213"/>
      <c r="T16" s="3343">
        <f t="shared" si="0"/>
        <v>0</v>
      </c>
      <c r="U16" s="1213"/>
      <c r="V16" s="3343">
        <f t="shared" si="1"/>
        <v>0</v>
      </c>
      <c r="W16" s="1216"/>
      <c r="X16" s="1216"/>
      <c r="Y16" s="1216"/>
      <c r="Z16" s="1216"/>
      <c r="AA16" s="1216"/>
      <c r="AB16" s="1216"/>
      <c r="AC16" s="1217"/>
      <c r="AD16" s="2771"/>
      <c r="AE16" s="2771"/>
      <c r="AF16" s="2771"/>
      <c r="AG16" s="2771"/>
      <c r="AH16" s="2771"/>
      <c r="AI16" s="2771"/>
      <c r="AJ16" s="2772"/>
    </row>
    <row r="17" spans="1:37">
      <c r="A17" s="3312" t="s">
        <v>3251</v>
      </c>
      <c r="B17" s="3303" t="s">
        <v>3252</v>
      </c>
      <c r="C17" s="3313">
        <f>ROUND(IF(OR(E2="工业",E2="公共服务"),1,IF(AND(E18=0,E19=0),1,IF(AND(E18=J24,E19=G19),0.8,IF(E19=0,1+E17*(-0.2),1+E17*G17*(-0.2))))),4)</f>
        <v>1</v>
      </c>
      <c r="D17" s="3304" t="s">
        <v>3253</v>
      </c>
      <c r="E17" s="3313">
        <f>ROUND(G18/I18,2)</f>
        <v>0</v>
      </c>
      <c r="F17" s="3304" t="s">
        <v>3256</v>
      </c>
      <c r="G17" s="3313" t="e">
        <f>ROUND(E19/G19,2)</f>
        <v>#DIV/0!</v>
      </c>
      <c r="H17" s="3313"/>
      <c r="I17" s="3313"/>
      <c r="J17" s="3314"/>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5"/>
      <c r="B18" s="2992"/>
      <c r="C18" s="3310"/>
      <c r="D18" s="3305" t="s">
        <v>3254</v>
      </c>
      <c r="E18" s="3311"/>
      <c r="F18" s="3306" t="s">
        <v>3257</v>
      </c>
      <c r="G18" s="3310">
        <f>ROUND(1-(1/(POWER(1+G24,E18))),4)</f>
        <v>0</v>
      </c>
      <c r="H18" s="3306" t="s">
        <v>3259</v>
      </c>
      <c r="I18" s="3310">
        <f>ROUND(1-(1/(POWER(1+G24,J24))),4)</f>
        <v>0.88249999999999995</v>
      </c>
      <c r="J18" s="3316"/>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70"/>
    </row>
    <row r="19" spans="1:37" s="2014" customFormat="1" ht="15" thickBot="1">
      <c r="A19" s="3317"/>
      <c r="B19" s="3318"/>
      <c r="C19" s="3319"/>
      <c r="D19" s="3319" t="s">
        <v>3255</v>
      </c>
      <c r="E19" s="3320"/>
      <c r="F19" s="3321" t="s">
        <v>3258</v>
      </c>
      <c r="G19" s="3320"/>
      <c r="H19" s="3319"/>
      <c r="I19" s="3319"/>
      <c r="J19" s="3322"/>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73"/>
      <c r="AH19" s="2141"/>
      <c r="AI19" s="2774"/>
      <c r="AJ19" s="2774"/>
      <c r="AK19" s="2057"/>
    </row>
    <row r="20" spans="1:37" s="2014" customFormat="1" ht="14.25">
      <c r="A20" s="3836" t="s">
        <v>3260</v>
      </c>
      <c r="B20" s="167" t="s">
        <v>1993</v>
      </c>
      <c r="C20" s="3307">
        <f>ROUND(IF(F21="与级别开发程度一致",0,(G21-E21)/C21),0)</f>
        <v>-31</v>
      </c>
      <c r="D20" s="3323" t="s">
        <v>1997</v>
      </c>
      <c r="E20" s="3324"/>
      <c r="F20" s="3842" t="s">
        <v>1994</v>
      </c>
      <c r="G20" s="3843"/>
      <c r="H20" s="3308" t="s">
        <v>4108</v>
      </c>
      <c r="I20" s="3308" t="s">
        <v>4109</v>
      </c>
      <c r="J20" s="3309" t="s">
        <v>4110</v>
      </c>
      <c r="K20" s="2047" t="s">
        <v>4111</v>
      </c>
      <c r="L20" s="2047" t="s">
        <v>4112</v>
      </c>
      <c r="M20" s="2047"/>
      <c r="N20" s="2047" t="s">
        <v>4113</v>
      </c>
      <c r="O20" s="2048"/>
      <c r="P20" s="1997"/>
      <c r="Q20" s="1124"/>
      <c r="R20" s="1124"/>
      <c r="S20" s="1124"/>
      <c r="T20" s="1120"/>
      <c r="U20" s="1120"/>
      <c r="V20" s="1120"/>
      <c r="W20" s="1119"/>
      <c r="X20" s="1119"/>
      <c r="Y20" s="1119"/>
      <c r="Z20" s="1125"/>
      <c r="AA20" s="1125"/>
      <c r="AB20" s="1125"/>
      <c r="AC20" s="1125"/>
      <c r="AD20" s="1125"/>
      <c r="AE20" s="1125"/>
      <c r="AF20" s="1125"/>
      <c r="AG20" s="2770"/>
      <c r="AH20" s="2770"/>
      <c r="AI20" s="2770"/>
      <c r="AJ20" s="2770"/>
    </row>
    <row r="21" spans="1:37" s="2014" customFormat="1" ht="26.25" thickBot="1">
      <c r="A21" s="3837"/>
      <c r="B21" s="2164" t="s">
        <v>1996</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4114</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0</v>
      </c>
      <c r="N21" s="2165">
        <f>SUMPRODUCT((七通一平=N20)*(修正!B1:M1=G2)*(修正!B8:M16))</f>
        <v>20</v>
      </c>
      <c r="O21" s="2167">
        <f>SUMPRODUCT((七通一平=O20)*(修正!B1:M1=G2)*(修正!B8:M16))</f>
        <v>0</v>
      </c>
      <c r="P21" s="1997"/>
      <c r="Q21" s="2770"/>
      <c r="R21" s="1124"/>
      <c r="S21" s="1124"/>
      <c r="T21" s="1120"/>
      <c r="U21" s="1120"/>
      <c r="V21" s="1120"/>
      <c r="W21" s="1119"/>
      <c r="X21" s="1119"/>
      <c r="Y21" s="1119"/>
      <c r="Z21" s="1125"/>
      <c r="AA21" s="1125"/>
      <c r="AB21" s="1125"/>
      <c r="AC21" s="1125"/>
      <c r="AD21" s="1125"/>
      <c r="AE21" s="1125"/>
      <c r="AF21" s="1125"/>
      <c r="AG21" s="2770"/>
      <c r="AH21" s="2770"/>
      <c r="AI21" s="2770"/>
      <c r="AJ21" s="2770"/>
    </row>
    <row r="22" spans="1:37" s="2014" customFormat="1" ht="15.75" thickBot="1">
      <c r="A22" s="2158" t="s">
        <v>363</v>
      </c>
      <c r="B22" s="2159" t="s">
        <v>1999</v>
      </c>
      <c r="C22" s="2160">
        <f>SUMIF(修正!C20:C51,E3,修正!E20:E51)</f>
        <v>1</v>
      </c>
      <c r="D22" s="2161"/>
      <c r="E22" s="2162"/>
      <c r="F22" s="2162"/>
      <c r="G22" s="2162"/>
      <c r="H22" s="2162"/>
      <c r="I22" s="2162"/>
      <c r="J22" s="2163"/>
      <c r="K22" s="1125"/>
      <c r="L22" s="2770"/>
      <c r="M22" s="2770"/>
      <c r="N22" s="2770"/>
      <c r="O22" s="1123"/>
      <c r="P22" s="1123"/>
      <c r="Q22" s="2770"/>
      <c r="R22" s="1124"/>
      <c r="S22" s="1124"/>
      <c r="T22" s="1120"/>
      <c r="U22" s="1120"/>
      <c r="V22" s="1120"/>
      <c r="W22" s="1119"/>
      <c r="X22" s="1119"/>
      <c r="Y22" s="1119"/>
      <c r="Z22" s="1125"/>
      <c r="AA22" s="1125"/>
      <c r="AB22" s="1125"/>
      <c r="AC22" s="1125"/>
      <c r="AD22" s="1125"/>
      <c r="AE22" s="1125"/>
      <c r="AF22" s="1125"/>
      <c r="AG22" s="2770"/>
      <c r="AH22" s="2770"/>
      <c r="AI22" s="2770"/>
      <c r="AJ22" s="2770"/>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2001</v>
      </c>
      <c r="E23" s="761">
        <v>44197</v>
      </c>
      <c r="F23" s="2054" t="s">
        <v>2002</v>
      </c>
      <c r="G23" s="762">
        <f>'数据-取费表'!B2</f>
        <v>45009</v>
      </c>
      <c r="H23" s="3325" t="s">
        <v>3262</v>
      </c>
      <c r="I23" s="3326" t="str">
        <f>IF(H23="季度增幅（自定义）",SUMIF(N25:N28,E2,O25:O28),"")</f>
        <v/>
      </c>
      <c r="J23" s="3428" t="s">
        <v>3261</v>
      </c>
      <c r="K23" s="1125"/>
      <c r="L23" s="2055" t="s">
        <v>2003</v>
      </c>
      <c r="M23" s="1328">
        <f>ROUND(SUMIF(地价!B2:G2,E2,地价!B16:G16),0)</f>
        <v>350</v>
      </c>
      <c r="N23" s="2056" t="s">
        <v>2004</v>
      </c>
      <c r="O23" s="763">
        <f>ROUNDDOWN(DATEDIF(E23,G23,"M")/3,0)</f>
        <v>8</v>
      </c>
      <c r="P23" s="1122"/>
      <c r="Q23" s="2770"/>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0.73340000000000005</v>
      </c>
      <c r="D24" s="2060" t="s">
        <v>2006</v>
      </c>
      <c r="E24" s="1335">
        <f>存贷款利率!E22/100</f>
        <v>4.3499999999999997E-2</v>
      </c>
      <c r="F24" s="2060" t="s">
        <v>1998</v>
      </c>
      <c r="G24" s="768">
        <f>SUMIF(M30:Q30,E2,M33:Q33)</f>
        <v>5.5E-2</v>
      </c>
      <c r="H24" s="2060" t="s">
        <v>2007</v>
      </c>
      <c r="I24" s="769">
        <f>SUMIF('数据-取费表'!C6:C15,E2,'数据-取费表'!F6:F15)/COUNTIF('数据-取费表'!C6:C15,E2)</f>
        <v>19.46</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70"/>
      <c r="AH24" s="2770"/>
      <c r="AI24" s="2770"/>
      <c r="AJ24" s="2770"/>
    </row>
    <row r="25" spans="1:37" ht="15">
      <c r="A25" s="2065" t="s">
        <v>366</v>
      </c>
      <c r="B25" s="2066" t="s">
        <v>3341</v>
      </c>
      <c r="C25" s="771">
        <f>IF(B25="容积率修正",IF(G3&lt;10,D26,J26),C27)</f>
        <v>1.0491999999999999</v>
      </c>
      <c r="D25" s="2067"/>
      <c r="E25" s="2067"/>
      <c r="F25" s="2067"/>
      <c r="G25" s="2067"/>
      <c r="H25" s="2067"/>
      <c r="I25" s="2067"/>
      <c r="J25" s="2068"/>
      <c r="K25" s="1125"/>
      <c r="L25" s="2770"/>
      <c r="M25" s="2770"/>
      <c r="N25" s="2069" t="s">
        <v>2012</v>
      </c>
      <c r="O25" s="1173"/>
      <c r="P25" s="1174">
        <f>SUMPRODUCT((地价!A3:A40=YEAR(G23)&amp;"-"&amp;ROUNDUP(MONTH(G23)/3,0))*(地价!AD2:AH2=N25)*(地价!AD3:AH40))</f>
        <v>0</v>
      </c>
      <c r="Q25" s="2770"/>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27" t="s">
        <v>3263</v>
      </c>
      <c r="D26" s="1352">
        <f>IF(E26=G26,F26,IF(G3&lt;10,ROUND(F26+(H26-F26)*(G3-E26)/(G26-E26),4),"——"))</f>
        <v>1.0491999999999999</v>
      </c>
      <c r="E26" s="752">
        <f>ROUNDDOWN(G3,1)</f>
        <v>2.4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1.0511999999999999</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3327" t="s">
        <v>3264</v>
      </c>
      <c r="J26" s="772" t="str">
        <f>IF(G3&gt;=10,D115,"——")</f>
        <v>——</v>
      </c>
      <c r="K26" s="1125"/>
      <c r="L26" s="2770"/>
      <c r="M26" s="2770"/>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1.0598000000000001</v>
      </c>
      <c r="D28" s="2052"/>
      <c r="E28" s="2077"/>
      <c r="F28" s="2077"/>
      <c r="G28" s="2077"/>
      <c r="H28" s="2077"/>
      <c r="I28" s="2077"/>
      <c r="J28" s="2078"/>
      <c r="K28" s="1125"/>
      <c r="L28" s="2770"/>
      <c r="M28" s="2770"/>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67" t="s">
        <v>2022</v>
      </c>
      <c r="O29" s="2768"/>
      <c r="P29" s="2769">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49724</v>
      </c>
      <c r="D30" s="2083"/>
      <c r="E30" s="2046"/>
      <c r="F30" s="2084"/>
      <c r="G30" s="2046"/>
      <c r="H30" s="2046"/>
      <c r="I30" s="2046"/>
      <c r="J30" s="2085"/>
      <c r="K30" s="1119"/>
      <c r="L30" s="3333" t="s">
        <v>1935</v>
      </c>
      <c r="M30" s="3334" t="s">
        <v>1989</v>
      </c>
      <c r="N30" s="3334" t="s">
        <v>1990</v>
      </c>
      <c r="O30" s="3334" t="s">
        <v>1991</v>
      </c>
      <c r="P30" s="3334" t="s">
        <v>1992</v>
      </c>
      <c r="Q30" s="3337"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2775</v>
      </c>
      <c r="D31" s="2087"/>
      <c r="E31" s="2088"/>
      <c r="F31" s="2089"/>
      <c r="G31" s="2088"/>
      <c r="H31" s="2088"/>
      <c r="I31" s="2088"/>
      <c r="J31" s="2090"/>
      <c r="K31" s="1119"/>
      <c r="L31" s="3335" t="s">
        <v>1995</v>
      </c>
      <c r="M31" s="2000">
        <v>0.25</v>
      </c>
      <c r="N31" s="2000">
        <v>0.2</v>
      </c>
      <c r="O31" s="2000">
        <v>0.15</v>
      </c>
      <c r="P31" s="2000">
        <v>0.1</v>
      </c>
      <c r="Q31" s="3330">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36" t="s">
        <v>1998</v>
      </c>
      <c r="M32" s="2552">
        <f>ROUND($E$24*(1+M31),3)</f>
        <v>5.3999999999999999E-2</v>
      </c>
      <c r="N32" s="2552">
        <f>ROUND($E$24*(1+N31),3)</f>
        <v>5.1999999999999998E-2</v>
      </c>
      <c r="O32" s="2552">
        <f>ROUND($E$24*(1+O31),3)</f>
        <v>0.05</v>
      </c>
      <c r="P32" s="2552">
        <f>ROUND($E$24*(1+P31),3)</f>
        <v>4.8000000000000001E-2</v>
      </c>
      <c r="Q32" s="3338">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25979</v>
      </c>
      <c r="D33" s="2098">
        <f>'数据-汇总表'!F19</f>
        <v>14866.55</v>
      </c>
      <c r="E33" s="773">
        <f>ROUND(C33*D33/10000,0)</f>
        <v>38622</v>
      </c>
      <c r="F33" s="3328" t="s">
        <v>3266</v>
      </c>
      <c r="G33" s="2099"/>
      <c r="H33" s="2099"/>
      <c r="I33" s="2099"/>
      <c r="J33" s="2100"/>
      <c r="K33" s="1119"/>
      <c r="L33" s="3331" t="s">
        <v>3269</v>
      </c>
      <c r="M33" s="3332">
        <v>5.5E-2</v>
      </c>
      <c r="N33" s="3332">
        <v>5.5E-2</v>
      </c>
      <c r="O33" s="3332">
        <v>0.05</v>
      </c>
      <c r="P33" s="3332">
        <v>0.05</v>
      </c>
      <c r="Q33" s="3332">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6495</v>
      </c>
      <c r="D34" s="2103"/>
      <c r="E34" s="773">
        <f>ROUND(IF(B25="楼层修正",SUM(V2:V16)*M40,C34*D34/10000),0)</f>
        <v>0</v>
      </c>
      <c r="F34" s="2104" t="s">
        <v>2031</v>
      </c>
      <c r="G34" s="2105"/>
      <c r="H34" s="2105"/>
      <c r="I34" s="2105"/>
      <c r="J34" s="2106"/>
      <c r="K34" s="1119"/>
      <c r="L34" s="3331" t="s">
        <v>3270</v>
      </c>
      <c r="M34" s="3332">
        <v>6.5000000000000002E-2</v>
      </c>
      <c r="N34" s="3332">
        <v>6.5000000000000002E-2</v>
      </c>
      <c r="O34" s="3332">
        <v>0.06</v>
      </c>
      <c r="P34" s="3332">
        <v>0.06</v>
      </c>
      <c r="Q34" s="3332">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29" t="s">
        <v>3267</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39" t="s">
        <v>3271</v>
      </c>
      <c r="L36" s="3429">
        <f ca="1">'数据-取费表'!B40</f>
        <v>4.1499999999999995E-2</v>
      </c>
      <c r="M36" s="3340">
        <f ca="1">ROUND($L$36*(1+M31),3)</f>
        <v>5.1999999999999998E-2</v>
      </c>
      <c r="N36" s="3340">
        <f ca="1">ROUND($L$36*(1+N31),3)</f>
        <v>0.05</v>
      </c>
      <c r="O36" s="3340">
        <f ca="1">ROUND($L$36*(1+O31),3)</f>
        <v>4.8000000000000001E-2</v>
      </c>
      <c r="P36" s="3340">
        <f ca="1">ROUND($L$36*(1+P31),3)</f>
        <v>4.5999999999999999E-2</v>
      </c>
      <c r="Q36" s="3340">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40"/>
      <c r="B37" s="2113" t="s">
        <v>2035</v>
      </c>
      <c r="C37" s="175">
        <f>ROUND(D5*C22*C23*C24*C28*F37,0)</f>
        <v>16620</v>
      </c>
      <c r="D37" s="2098">
        <f>'数据-基础表'!K13</f>
        <v>3821.91</v>
      </c>
      <c r="E37" s="171">
        <f>ROUND(C37*D37/10000,0)</f>
        <v>6352</v>
      </c>
      <c r="F37" s="171">
        <f>SUMIF(修正!A57:A68,G2,修正!B57:B68)</f>
        <v>0.7</v>
      </c>
      <c r="G37" s="171">
        <f>ROUND(IF(E2="工业",C37*$M$42,C37*$M$41),0)</f>
        <v>4155</v>
      </c>
      <c r="H37" s="171">
        <f>D37</f>
        <v>3821.91</v>
      </c>
      <c r="I37" s="171">
        <f>ROUND(G37*H37/10000,0)</f>
        <v>1588</v>
      </c>
      <c r="J37" s="2994"/>
      <c r="K37" s="3341" t="s">
        <v>3272</v>
      </c>
      <c r="L37" s="3339">
        <f ca="1">L36+K38</f>
        <v>4.6499999999999993E-2</v>
      </c>
      <c r="M37" s="3340">
        <f ca="1">ROUND($L$37*(1+M31),3)</f>
        <v>5.8000000000000003E-2</v>
      </c>
      <c r="N37" s="3340">
        <f t="shared" ref="N37:Q37" ca="1" si="3">ROUND($L$37*(1+N31),3)</f>
        <v>5.6000000000000001E-2</v>
      </c>
      <c r="O37" s="3340">
        <f t="shared" ca="1" si="3"/>
        <v>5.2999999999999999E-2</v>
      </c>
      <c r="P37" s="3340">
        <f t="shared" ca="1" si="3"/>
        <v>5.0999999999999997E-2</v>
      </c>
      <c r="Q37" s="3340">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41"/>
      <c r="B38" s="2041" t="s">
        <v>2036</v>
      </c>
      <c r="C38" s="175">
        <f>ROUND(D5*C22*C23*C24*C28*F38,0)</f>
        <v>9497</v>
      </c>
      <c r="D38" s="2098"/>
      <c r="E38" s="171">
        <f t="shared" ref="E38:E42" si="4">ROUND(C38*D38/10000,0)</f>
        <v>0</v>
      </c>
      <c r="F38" s="171">
        <f>SUMIF(修正!A57:A68,G2,修正!C57:C68)</f>
        <v>0.4</v>
      </c>
      <c r="G38" s="171">
        <f>ROUND(IF(E2="工业",C38*$M$42,C38*$M$41),0)</f>
        <v>2374</v>
      </c>
      <c r="H38" s="171">
        <f t="shared" ref="H38:H42" si="5">D38</f>
        <v>0</v>
      </c>
      <c r="I38" s="171">
        <f t="shared" ref="I38:I42" si="6">ROUND(G38*H38/10000,0)</f>
        <v>0</v>
      </c>
      <c r="J38" s="2993"/>
      <c r="K38" s="3339">
        <v>5.0000000000000001E-3</v>
      </c>
      <c r="L38" s="3339"/>
      <c r="M38" s="3339"/>
      <c r="N38" s="3339"/>
      <c r="O38" s="3339"/>
      <c r="P38" s="3339"/>
      <c r="Q38" s="3339"/>
      <c r="R38" s="1119"/>
      <c r="S38" s="1119"/>
      <c r="T38" s="1119"/>
      <c r="U38" s="1119"/>
      <c r="V38" s="1119"/>
      <c r="W38" s="1119"/>
      <c r="X38" s="1119"/>
      <c r="Y38" s="1119"/>
      <c r="Z38" s="1120"/>
      <c r="AA38" s="1120"/>
      <c r="AB38" s="1120"/>
      <c r="AC38" s="1120"/>
      <c r="AD38" s="1120"/>
    </row>
    <row r="39" spans="1:37" ht="13.5" thickBot="1">
      <c r="A39" s="3841"/>
      <c r="B39" s="2041" t="s">
        <v>3265</v>
      </c>
      <c r="C39" s="175">
        <f>ROUND(D5*C22*C23*C24*C28*F39,0)</f>
        <v>7123</v>
      </c>
      <c r="D39" s="2098"/>
      <c r="E39" s="171">
        <f t="shared" si="4"/>
        <v>0</v>
      </c>
      <c r="F39" s="171">
        <f>SUMIF(修正!A57:A68,G2,修正!D57:D68)</f>
        <v>0.3</v>
      </c>
      <c r="G39" s="171">
        <f>ROUND(IF(E2="工业",C39*$M$42,C39*$M$41),0)</f>
        <v>1781</v>
      </c>
      <c r="H39" s="171">
        <f t="shared" si="5"/>
        <v>0</v>
      </c>
      <c r="I39" s="171">
        <f t="shared" si="6"/>
        <v>0</v>
      </c>
      <c r="J39" s="299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7123</v>
      </c>
      <c r="D40" s="2098"/>
      <c r="E40" s="171">
        <f t="shared" si="4"/>
        <v>0</v>
      </c>
      <c r="F40" s="175">
        <f>SUMIF(修正!A57:A68,G2,修正!E57:E68)</f>
        <v>0.3</v>
      </c>
      <c r="G40" s="171">
        <f>ROUND(IF(E2="工业",C40*$M$42,C40*$M$41),0)</f>
        <v>1781</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8276</v>
      </c>
      <c r="D41" s="2098"/>
      <c r="E41" s="171">
        <f t="shared" si="4"/>
        <v>0</v>
      </c>
      <c r="F41" s="175">
        <f>SUMIF(修正!A57:A68,G2,修正!F57:F68)</f>
        <v>0.3</v>
      </c>
      <c r="G41" s="171">
        <f>ROUND(IF(E2="工业",C41*$M$42,C41*$M$41),0)</f>
        <v>2069</v>
      </c>
      <c r="H41" s="171">
        <f t="shared" si="5"/>
        <v>0</v>
      </c>
      <c r="I41" s="171">
        <f t="shared" si="6"/>
        <v>0</v>
      </c>
      <c r="J41" s="2114"/>
      <c r="L41" s="3342" t="s">
        <v>3273</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5517</v>
      </c>
      <c r="D42" s="2103">
        <f>'数据-基础表'!M13</f>
        <v>8609.76</v>
      </c>
      <c r="E42" s="187">
        <f t="shared" si="4"/>
        <v>4750</v>
      </c>
      <c r="F42" s="767">
        <f>SUMIF(修正!A57:A68,G2,修正!G57:G68)</f>
        <v>0.2</v>
      </c>
      <c r="G42" s="187">
        <f>ROUND(IF(E2="工业",C42*$M$42,C42*$M$41),0)</f>
        <v>1379</v>
      </c>
      <c r="H42" s="187">
        <f t="shared" si="5"/>
        <v>8609.76</v>
      </c>
      <c r="I42" s="187">
        <f t="shared" si="6"/>
        <v>1187</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0.85209999999999997</v>
      </c>
      <c r="D44" s="171" t="s">
        <v>1998</v>
      </c>
      <c r="E44" s="2153">
        <f>G24</f>
        <v>5.5E-2</v>
      </c>
      <c r="F44" s="171" t="s">
        <v>2007</v>
      </c>
      <c r="G44" s="183">
        <f>项目基本情况!F15</f>
        <v>29.46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1.0598000000000001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t="s">
        <v>4102</v>
      </c>
      <c r="D50" s="1065">
        <f t="shared" ref="D50:D58" si="7">SUMIF($J$49:$N$49,C50,J50:N50)</f>
        <v>2.8400000000000002E-2</v>
      </c>
      <c r="E50" s="744">
        <f>ROUND(SUM(D50:D58),4)</f>
        <v>5.9799999999999999E-2</v>
      </c>
      <c r="F50" s="1814">
        <f>IF(E2="商业",SUMIF(L1:L12,G2,N1:N12),"——")</f>
        <v>9.5000000000000001E-2</v>
      </c>
      <c r="G50" s="1063">
        <f>H50</f>
        <v>1.4200000000000001E-2</v>
      </c>
      <c r="H50" s="1066">
        <f t="shared" ref="H50:H58" si="8">IFERROR(ROUNDDOWN($F$50*I50/2,4),"——")</f>
        <v>1.4200000000000001E-2</v>
      </c>
      <c r="I50" s="3349">
        <v>0.3</v>
      </c>
      <c r="J50" s="1064">
        <f t="shared" ref="J50:J58" si="9">K50+$G50</f>
        <v>2.8400000000000002E-2</v>
      </c>
      <c r="K50" s="1064">
        <f t="shared" ref="K50:K58" si="10">$L50+$G50</f>
        <v>1.4200000000000001E-2</v>
      </c>
      <c r="L50" s="1064">
        <v>0</v>
      </c>
      <c r="M50" s="1064">
        <f t="shared" ref="M50:N58" si="11">L50-$G50</f>
        <v>-1.4200000000000001E-2</v>
      </c>
      <c r="N50" s="1064">
        <f t="shared" si="11"/>
        <v>-2.8400000000000002E-2</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t="s">
        <v>4103</v>
      </c>
      <c r="D51" s="1065">
        <f t="shared" si="7"/>
        <v>1.04E-2</v>
      </c>
      <c r="E51" s="745"/>
      <c r="F51" s="1814"/>
      <c r="G51" s="1063">
        <f t="shared" ref="G51:G58" si="12">H51</f>
        <v>1.04E-2</v>
      </c>
      <c r="H51" s="1066">
        <f t="shared" si="8"/>
        <v>1.04E-2</v>
      </c>
      <c r="I51" s="3349">
        <v>0.22</v>
      </c>
      <c r="J51" s="1064">
        <f t="shared" si="9"/>
        <v>2.0799999999999999E-2</v>
      </c>
      <c r="K51" s="1064">
        <f t="shared" si="10"/>
        <v>1.04E-2</v>
      </c>
      <c r="L51" s="1064">
        <v>0</v>
      </c>
      <c r="M51" s="1064">
        <f t="shared" si="11"/>
        <v>-1.04E-2</v>
      </c>
      <c r="N51" s="1064">
        <f t="shared" si="11"/>
        <v>-2.0799999999999999E-2</v>
      </c>
      <c r="AA51" s="1120"/>
      <c r="AB51" s="1120"/>
      <c r="AC51" s="1120"/>
      <c r="AD51" s="1120"/>
      <c r="AE51" s="1120"/>
      <c r="AF51" s="1120"/>
      <c r="AG51" s="1120"/>
      <c r="AH51" s="1120"/>
      <c r="AI51" s="1120"/>
      <c r="AJ51" s="1120"/>
      <c r="AK51" s="1120"/>
    </row>
    <row r="52" spans="1:37" s="1119" customFormat="1" ht="36">
      <c r="A52" s="3351" t="s">
        <v>3275</v>
      </c>
      <c r="B52" s="2134">
        <f>估价对象房地状况!C19</f>
        <v>0</v>
      </c>
      <c r="C52" s="2044" t="s">
        <v>4103</v>
      </c>
      <c r="D52" s="1065">
        <f t="shared" si="7"/>
        <v>5.7000000000000002E-3</v>
      </c>
      <c r="E52" s="745"/>
      <c r="F52" s="1814"/>
      <c r="G52" s="1063">
        <f t="shared" si="12"/>
        <v>5.7000000000000002E-3</v>
      </c>
      <c r="H52" s="1066">
        <f t="shared" si="8"/>
        <v>5.7000000000000002E-3</v>
      </c>
      <c r="I52" s="3349">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2053</v>
      </c>
      <c r="B53" s="2135" t="s">
        <v>2054</v>
      </c>
      <c r="C53" s="2044" t="s">
        <v>4103</v>
      </c>
      <c r="D53" s="1065">
        <f t="shared" si="7"/>
        <v>2.3E-3</v>
      </c>
      <c r="E53" s="745"/>
      <c r="F53" s="1814"/>
      <c r="G53" s="1063">
        <f t="shared" si="12"/>
        <v>2.3E-3</v>
      </c>
      <c r="H53" s="1066">
        <f t="shared" si="8"/>
        <v>2.3E-3</v>
      </c>
      <c r="I53" s="3349">
        <v>0.05</v>
      </c>
      <c r="J53" s="1064">
        <f t="shared" si="9"/>
        <v>4.5999999999999999E-3</v>
      </c>
      <c r="K53" s="1064">
        <f t="shared" si="10"/>
        <v>2.3E-3</v>
      </c>
      <c r="L53" s="1064">
        <v>0</v>
      </c>
      <c r="M53" s="1064">
        <f t="shared" si="11"/>
        <v>-2.3E-3</v>
      </c>
      <c r="N53" s="1064">
        <f t="shared" si="11"/>
        <v>-4.5999999999999999E-3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4104</v>
      </c>
      <c r="D54" s="1065">
        <f t="shared" si="7"/>
        <v>-3.8E-3</v>
      </c>
      <c r="E54" s="745"/>
      <c r="F54" s="1814"/>
      <c r="G54" s="1063">
        <f t="shared" si="12"/>
        <v>3.8E-3</v>
      </c>
      <c r="H54" s="1066">
        <f t="shared" si="8"/>
        <v>3.8E-3</v>
      </c>
      <c r="I54" s="3349">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2056</v>
      </c>
      <c r="B55" s="2136" t="s">
        <v>2057</v>
      </c>
      <c r="C55" s="2044" t="s">
        <v>4103</v>
      </c>
      <c r="D55" s="1065">
        <f t="shared" si="7"/>
        <v>2.3E-3</v>
      </c>
      <c r="E55" s="745"/>
      <c r="F55" s="1814"/>
      <c r="G55" s="1063">
        <f t="shared" si="12"/>
        <v>2.3E-3</v>
      </c>
      <c r="H55" s="1066">
        <f t="shared" si="8"/>
        <v>2.3E-3</v>
      </c>
      <c r="I55" s="3349">
        <v>0.05</v>
      </c>
      <c r="J55" s="1064">
        <f t="shared" si="9"/>
        <v>4.5999999999999999E-3</v>
      </c>
      <c r="K55" s="1064">
        <f t="shared" si="10"/>
        <v>2.3E-3</v>
      </c>
      <c r="L55" s="1064">
        <v>0</v>
      </c>
      <c r="M55" s="1064">
        <f t="shared" si="11"/>
        <v>-2.3E-3</v>
      </c>
      <c r="N55" s="1064">
        <f t="shared" si="11"/>
        <v>-4.5999999999999999E-3</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t="s">
        <v>4102</v>
      </c>
      <c r="D56" s="1065">
        <f t="shared" si="7"/>
        <v>4.5999999999999999E-3</v>
      </c>
      <c r="E56" s="745"/>
      <c r="F56" s="1814"/>
      <c r="G56" s="1063">
        <f t="shared" si="12"/>
        <v>2.3E-3</v>
      </c>
      <c r="H56" s="1066">
        <f t="shared" si="8"/>
        <v>2.3E-3</v>
      </c>
      <c r="I56" s="3349">
        <v>0.05</v>
      </c>
      <c r="J56" s="1064">
        <f t="shared" si="9"/>
        <v>4.5999999999999999E-3</v>
      </c>
      <c r="K56" s="1064">
        <f t="shared" si="10"/>
        <v>2.3E-3</v>
      </c>
      <c r="L56" s="1064">
        <v>0</v>
      </c>
      <c r="M56" s="1064">
        <f t="shared" si="11"/>
        <v>-2.3E-3</v>
      </c>
      <c r="N56" s="1064">
        <f t="shared" si="11"/>
        <v>-4.5999999999999999E-3</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t="s">
        <v>4102</v>
      </c>
      <c r="D57" s="1065">
        <f t="shared" si="7"/>
        <v>7.6E-3</v>
      </c>
      <c r="E57" s="745"/>
      <c r="F57" s="1814"/>
      <c r="G57" s="1063">
        <f t="shared" si="12"/>
        <v>3.8E-3</v>
      </c>
      <c r="H57" s="1066">
        <f t="shared" si="8"/>
        <v>3.8E-3</v>
      </c>
      <c r="I57" s="3349">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t="s">
        <v>4103</v>
      </c>
      <c r="D58" s="1065">
        <f t="shared" si="7"/>
        <v>2.3E-3</v>
      </c>
      <c r="E58" s="746"/>
      <c r="F58" s="1814"/>
      <c r="G58" s="1063">
        <f t="shared" si="12"/>
        <v>2.3E-3</v>
      </c>
      <c r="H58" s="1066">
        <f t="shared" si="8"/>
        <v>2.3E-3</v>
      </c>
      <c r="I58" s="3350">
        <v>0.05</v>
      </c>
      <c r="J58" s="1064">
        <f t="shared" si="9"/>
        <v>4.5999999999999999E-3</v>
      </c>
      <c r="K58" s="1064">
        <f t="shared" si="10"/>
        <v>2.3E-3</v>
      </c>
      <c r="L58" s="1064">
        <v>0</v>
      </c>
      <c r="M58" s="1064">
        <f t="shared" si="11"/>
        <v>-2.3E-3</v>
      </c>
      <c r="N58" s="1064">
        <f t="shared" si="11"/>
        <v>-4.5999999999999999E-3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49">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49">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51" t="s">
        <v>3275</v>
      </c>
      <c r="B63" s="2134">
        <f>估价对象房地状况!C19</f>
        <v>0</v>
      </c>
      <c r="C63" s="2044"/>
      <c r="D63" s="1065">
        <f t="shared" si="13"/>
        <v>0</v>
      </c>
      <c r="E63" s="745"/>
      <c r="F63" s="1814"/>
      <c r="G63" s="1063"/>
      <c r="H63" s="1066" t="str">
        <f t="shared" si="14"/>
        <v>——</v>
      </c>
      <c r="I63" s="3349">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3"/>
        <v>0</v>
      </c>
      <c r="E64" s="745"/>
      <c r="F64" s="1814"/>
      <c r="G64" s="1063"/>
      <c r="H64" s="1066" t="str">
        <f t="shared" si="14"/>
        <v>——</v>
      </c>
      <c r="I64" s="3349">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3"/>
        <v>0</v>
      </c>
      <c r="E65" s="745"/>
      <c r="F65" s="1814"/>
      <c r="G65" s="1063"/>
      <c r="H65" s="1066" t="str">
        <f t="shared" si="14"/>
        <v>——</v>
      </c>
      <c r="I65" s="3349">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3"/>
        <v>0</v>
      </c>
      <c r="E66" s="745"/>
      <c r="F66" s="1814"/>
      <c r="G66" s="1063"/>
      <c r="H66" s="1066" t="str">
        <f t="shared" si="14"/>
        <v>——</v>
      </c>
      <c r="I66" s="3349">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3"/>
        <v>0</v>
      </c>
      <c r="E67" s="745"/>
      <c r="F67" s="1814"/>
      <c r="G67" s="1063"/>
      <c r="H67" s="1066" t="str">
        <f t="shared" si="14"/>
        <v>——</v>
      </c>
      <c r="I67" s="3349">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3"/>
        <v>0</v>
      </c>
      <c r="E68" s="745"/>
      <c r="F68" s="1814"/>
      <c r="G68" s="1063"/>
      <c r="H68" s="1066" t="str">
        <f t="shared" si="14"/>
        <v>——</v>
      </c>
      <c r="I68" s="3349">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3"/>
        <v>0</v>
      </c>
      <c r="E69" s="746"/>
      <c r="F69" s="1814"/>
      <c r="G69" s="1063"/>
      <c r="H69" s="1066" t="str">
        <f t="shared" si="14"/>
        <v>——</v>
      </c>
      <c r="I69" s="3350">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49">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49">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51" t="s">
        <v>3275</v>
      </c>
      <c r="B74" s="2134">
        <f>估价对象房地状况!C19</f>
        <v>0</v>
      </c>
      <c r="C74" s="2044"/>
      <c r="D74" s="1065">
        <f t="shared" si="18"/>
        <v>0</v>
      </c>
      <c r="E74" s="747"/>
      <c r="F74" s="1814"/>
      <c r="G74" s="1063"/>
      <c r="H74" s="1066" t="str">
        <f t="shared" si="19"/>
        <v>——</v>
      </c>
      <c r="I74" s="3349">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8"/>
        <v>0</v>
      </c>
      <c r="E75" s="747"/>
      <c r="F75" s="1814"/>
      <c r="G75" s="1063"/>
      <c r="H75" s="1066" t="str">
        <f t="shared" si="19"/>
        <v>——</v>
      </c>
      <c r="I75" s="3349">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8"/>
        <v>0</v>
      </c>
      <c r="E76" s="747"/>
      <c r="F76" s="1814"/>
      <c r="G76" s="1063"/>
      <c r="H76" s="1066" t="str">
        <f t="shared" si="19"/>
        <v>——</v>
      </c>
      <c r="I76" s="3349">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2059</v>
      </c>
      <c r="B77" s="1326" t="str">
        <f>估价对象房地状况!C22</f>
        <v>估价对象所在区域基础设施水平</v>
      </c>
      <c r="C77" s="2044"/>
      <c r="D77" s="1065">
        <f t="shared" si="18"/>
        <v>0</v>
      </c>
      <c r="E77" s="747"/>
      <c r="F77" s="1814"/>
      <c r="G77" s="1063"/>
      <c r="H77" s="1066" t="str">
        <f t="shared" si="19"/>
        <v>——</v>
      </c>
      <c r="I77" s="3349">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2056</v>
      </c>
      <c r="B78" s="2136" t="s">
        <v>2057</v>
      </c>
      <c r="C78" s="2044"/>
      <c r="D78" s="1065">
        <f t="shared" si="18"/>
        <v>0</v>
      </c>
      <c r="E78" s="747"/>
      <c r="F78" s="1814"/>
      <c r="G78" s="1063"/>
      <c r="H78" s="1066" t="str">
        <f t="shared" si="19"/>
        <v>——</v>
      </c>
      <c r="I78" s="3349">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8"/>
        <v>0</v>
      </c>
      <c r="E79" s="747"/>
      <c r="F79" s="1814"/>
      <c r="G79" s="1063"/>
      <c r="H79" s="1066" t="str">
        <f t="shared" si="19"/>
        <v>——</v>
      </c>
      <c r="I79" s="3349">
        <v>0.12</v>
      </c>
      <c r="J79" s="1064">
        <f t="shared" si="20"/>
        <v>0</v>
      </c>
      <c r="K79" s="1064">
        <f t="shared" si="21"/>
        <v>0</v>
      </c>
      <c r="L79" s="1064">
        <v>0</v>
      </c>
      <c r="M79" s="1064">
        <f t="shared" si="22"/>
        <v>0</v>
      </c>
      <c r="N79" s="1064">
        <f t="shared" si="22"/>
        <v>0</v>
      </c>
      <c r="Z79" s="1998"/>
      <c r="AA79" s="2053"/>
      <c r="AG79" s="1121"/>
      <c r="AK79" s="2053"/>
    </row>
    <row r="80" spans="1:37" ht="24.75" thickBot="1">
      <c r="A80" s="2138" t="s">
        <v>2067</v>
      </c>
      <c r="B80" s="2142"/>
      <c r="C80" s="2044"/>
      <c r="D80" s="1065">
        <f t="shared" si="18"/>
        <v>0</v>
      </c>
      <c r="E80" s="748"/>
      <c r="F80" s="1814"/>
      <c r="G80" s="1063"/>
      <c r="H80" s="1066" t="str">
        <f t="shared" si="19"/>
        <v>——</v>
      </c>
      <c r="I80" s="3350">
        <v>0.05</v>
      </c>
      <c r="J80" s="1064">
        <f t="shared" si="20"/>
        <v>0</v>
      </c>
      <c r="K80" s="1064">
        <f t="shared" si="21"/>
        <v>0</v>
      </c>
      <c r="L80" s="1064">
        <v>0</v>
      </c>
      <c r="M80" s="1064">
        <f t="shared" si="22"/>
        <v>0</v>
      </c>
      <c r="N80" s="1064">
        <f t="shared" si="22"/>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49">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49">
        <v>0.3</v>
      </c>
      <c r="J84" s="1064">
        <f t="shared" si="25"/>
        <v>0</v>
      </c>
      <c r="K84" s="1064">
        <f t="shared" si="26"/>
        <v>0</v>
      </c>
      <c r="L84" s="1064">
        <v>0</v>
      </c>
      <c r="M84" s="1064">
        <f t="shared" si="27"/>
        <v>0</v>
      </c>
      <c r="N84" s="1064">
        <f t="shared" si="27"/>
        <v>0</v>
      </c>
      <c r="Z84" s="1998"/>
      <c r="AA84" s="2053"/>
      <c r="AG84" s="1121"/>
      <c r="AK84" s="2053"/>
    </row>
    <row r="85" spans="1:37" ht="36">
      <c r="A85" s="3351" t="s">
        <v>3276</v>
      </c>
      <c r="B85" s="2134">
        <f>估价对象房地状况!G17</f>
        <v>0</v>
      </c>
      <c r="C85" s="2044"/>
      <c r="D85" s="1065">
        <f t="shared" si="23"/>
        <v>0</v>
      </c>
      <c r="E85" s="747"/>
      <c r="F85" s="1814"/>
      <c r="G85" s="1063"/>
      <c r="H85" s="1066" t="str">
        <f t="shared" si="24"/>
        <v>——</v>
      </c>
      <c r="I85" s="3349">
        <v>0.1</v>
      </c>
      <c r="J85" s="1064">
        <f t="shared" si="25"/>
        <v>0</v>
      </c>
      <c r="K85" s="1064">
        <f t="shared" si="26"/>
        <v>0</v>
      </c>
      <c r="L85" s="1064">
        <v>0</v>
      </c>
      <c r="M85" s="1064">
        <f t="shared" si="27"/>
        <v>0</v>
      </c>
      <c r="N85" s="1064">
        <f t="shared" si="27"/>
        <v>0</v>
      </c>
      <c r="Z85" s="1998"/>
      <c r="AA85" s="2053"/>
      <c r="AG85" s="1121"/>
      <c r="AK85" s="2053"/>
    </row>
    <row r="86" spans="1:37" ht="14.25">
      <c r="A86" s="2130" t="s">
        <v>2066</v>
      </c>
      <c r="B86" s="2134">
        <f>估价对象房地状况!G22</f>
        <v>0</v>
      </c>
      <c r="C86" s="2044"/>
      <c r="D86" s="1065">
        <f t="shared" si="23"/>
        <v>0</v>
      </c>
      <c r="E86" s="747"/>
      <c r="F86" s="1814"/>
      <c r="G86" s="1063"/>
      <c r="H86" s="1066" t="str">
        <f t="shared" si="24"/>
        <v>——</v>
      </c>
      <c r="I86" s="3349">
        <v>0.05</v>
      </c>
      <c r="J86" s="1064">
        <f t="shared" si="25"/>
        <v>0</v>
      </c>
      <c r="K86" s="1064">
        <f t="shared" si="26"/>
        <v>0</v>
      </c>
      <c r="L86" s="1064">
        <v>0</v>
      </c>
      <c r="M86" s="1064">
        <f t="shared" si="27"/>
        <v>0</v>
      </c>
      <c r="N86" s="1064">
        <f t="shared" si="27"/>
        <v>0</v>
      </c>
      <c r="Z86" s="1998"/>
      <c r="AA86" s="2053"/>
      <c r="AG86" s="1121"/>
      <c r="AK86" s="2053"/>
    </row>
    <row r="87" spans="1:37" ht="25.5">
      <c r="A87" s="2130" t="s">
        <v>2058</v>
      </c>
      <c r="B87" s="1326" t="str">
        <f>估价对象房地状况!G19</f>
        <v>估价对象所在区域公共配套设施齐备情况</v>
      </c>
      <c r="C87" s="2044"/>
      <c r="D87" s="1065">
        <f t="shared" si="23"/>
        <v>0</v>
      </c>
      <c r="E87" s="747"/>
      <c r="F87" s="1814"/>
      <c r="G87" s="1063"/>
      <c r="H87" s="1066" t="str">
        <f t="shared" si="24"/>
        <v>——</v>
      </c>
      <c r="I87" s="3349">
        <v>0.06</v>
      </c>
      <c r="J87" s="1064">
        <f t="shared" si="25"/>
        <v>0</v>
      </c>
      <c r="K87" s="1064">
        <f t="shared" si="26"/>
        <v>0</v>
      </c>
      <c r="L87" s="1064">
        <v>0</v>
      </c>
      <c r="M87" s="1064">
        <f t="shared" si="27"/>
        <v>0</v>
      </c>
      <c r="N87" s="1064">
        <f t="shared" si="27"/>
        <v>0</v>
      </c>
    </row>
    <row r="88" spans="1:37" ht="25.5">
      <c r="A88" s="2130" t="s">
        <v>2059</v>
      </c>
      <c r="B88" s="1326" t="str">
        <f>估价对象房地状况!G20</f>
        <v>估价对象所在区域基础设施水平</v>
      </c>
      <c r="C88" s="2044"/>
      <c r="D88" s="1065">
        <f t="shared" si="23"/>
        <v>0</v>
      </c>
      <c r="E88" s="747"/>
      <c r="F88" s="1814"/>
      <c r="G88" s="1063"/>
      <c r="H88" s="1066" t="str">
        <f t="shared" si="24"/>
        <v>——</v>
      </c>
      <c r="I88" s="3349">
        <v>0.12</v>
      </c>
      <c r="J88" s="1064">
        <f t="shared" si="25"/>
        <v>0</v>
      </c>
      <c r="K88" s="1064">
        <f t="shared" si="26"/>
        <v>0</v>
      </c>
      <c r="L88" s="1064">
        <v>0</v>
      </c>
      <c r="M88" s="1064">
        <f t="shared" si="27"/>
        <v>0</v>
      </c>
      <c r="N88" s="1064">
        <f t="shared" si="27"/>
        <v>0</v>
      </c>
    </row>
    <row r="89" spans="1:37" ht="24">
      <c r="A89" s="2130" t="s">
        <v>2056</v>
      </c>
      <c r="B89" s="2136" t="s">
        <v>2070</v>
      </c>
      <c r="C89" s="2044"/>
      <c r="D89" s="1065">
        <f t="shared" si="23"/>
        <v>0</v>
      </c>
      <c r="E89" s="747"/>
      <c r="F89" s="1814"/>
      <c r="G89" s="1063"/>
      <c r="H89" s="1066" t="str">
        <f t="shared" si="24"/>
        <v>——</v>
      </c>
      <c r="I89" s="3349">
        <v>0.06</v>
      </c>
      <c r="J89" s="1064">
        <f t="shared" si="25"/>
        <v>0</v>
      </c>
      <c r="K89" s="1064">
        <f t="shared" si="26"/>
        <v>0</v>
      </c>
      <c r="L89" s="1064">
        <v>0</v>
      </c>
      <c r="M89" s="1064">
        <f t="shared" si="27"/>
        <v>0</v>
      </c>
      <c r="N89" s="1064">
        <f t="shared" si="27"/>
        <v>0</v>
      </c>
    </row>
    <row r="90" spans="1:37" ht="39" thickBot="1">
      <c r="A90" s="2138" t="s">
        <v>2071</v>
      </c>
      <c r="B90" s="2143" t="str">
        <f>估价对象房地状况!G18</f>
        <v>该园区内是否有污染型企业，绿化情况，卫生条件，整体环境状况判断</v>
      </c>
      <c r="C90" s="2044"/>
      <c r="D90" s="1065">
        <f t="shared" si="23"/>
        <v>0</v>
      </c>
      <c r="E90" s="748"/>
      <c r="F90" s="1814"/>
      <c r="G90" s="1063"/>
      <c r="H90" s="1066" t="str">
        <f t="shared" si="24"/>
        <v>——</v>
      </c>
      <c r="I90" s="3350">
        <v>0.05</v>
      </c>
      <c r="J90" s="1064">
        <f t="shared" si="25"/>
        <v>0</v>
      </c>
      <c r="K90" s="1064">
        <f t="shared" si="26"/>
        <v>0</v>
      </c>
      <c r="L90" s="1064">
        <v>0</v>
      </c>
      <c r="M90" s="1064">
        <f t="shared" si="27"/>
        <v>0</v>
      </c>
      <c r="N90" s="1064">
        <f t="shared" si="27"/>
        <v>0</v>
      </c>
    </row>
    <row r="91" spans="1:37" ht="15">
      <c r="A91" s="3359" t="s">
        <v>2614</v>
      </c>
      <c r="B91" s="3360">
        <f>1+E93</f>
        <v>1</v>
      </c>
      <c r="C91" s="3353"/>
      <c r="D91" s="3354"/>
      <c r="E91" s="1814"/>
      <c r="F91" s="1814"/>
      <c r="G91" s="3355"/>
      <c r="H91" s="3356"/>
      <c r="I91" s="3357"/>
      <c r="J91" s="3358"/>
      <c r="K91" s="3358"/>
      <c r="L91" s="3358"/>
      <c r="M91" s="3358"/>
      <c r="N91" s="3358"/>
    </row>
    <row r="92" spans="1:37" ht="24.75">
      <c r="A92" s="3361" t="s">
        <v>3277</v>
      </c>
      <c r="B92" s="3348"/>
      <c r="C92" s="3348" t="s">
        <v>3286</v>
      </c>
      <c r="D92" s="3348" t="s">
        <v>3287</v>
      </c>
      <c r="E92" s="3330" t="s">
        <v>3288</v>
      </c>
      <c r="F92" s="3363" t="s">
        <v>3289</v>
      </c>
      <c r="G92" s="3348" t="s">
        <v>3290</v>
      </c>
      <c r="H92" s="3370" t="s">
        <v>3293</v>
      </c>
      <c r="I92" s="3348" t="s">
        <v>3294</v>
      </c>
      <c r="J92" s="3371" t="s">
        <v>3295</v>
      </c>
      <c r="K92" s="3371" t="s">
        <v>3296</v>
      </c>
      <c r="L92" s="3371" t="s">
        <v>3297</v>
      </c>
      <c r="M92" s="3371" t="s">
        <v>3298</v>
      </c>
      <c r="N92" s="3371" t="s">
        <v>3299</v>
      </c>
    </row>
    <row r="93" spans="1:37" ht="24">
      <c r="A93" s="3351" t="s">
        <v>3278</v>
      </c>
      <c r="B93" s="1306"/>
      <c r="C93" s="2044"/>
      <c r="D93" s="3348">
        <f>SUMIF($J$92:$N$92,C93,J93:N93)</f>
        <v>0</v>
      </c>
      <c r="E93" s="3364">
        <f>ROUND(SUM(D93:D101),4)</f>
        <v>0</v>
      </c>
      <c r="F93" s="1814" t="str">
        <f>IF(E2="公共服务",SUMIF(L1:L12,G2,N1:N12),"——")</f>
        <v>——</v>
      </c>
      <c r="G93" s="3355"/>
      <c r="H93" s="3403" t="str">
        <f>IFERROR(ROUNDDOWN($F$93*I93/2,4),"——")</f>
        <v>——</v>
      </c>
      <c r="I93" s="3349">
        <v>0.25</v>
      </c>
      <c r="J93" s="3327">
        <f t="shared" ref="J93:J101" si="28">K93+$G93</f>
        <v>0</v>
      </c>
      <c r="K93" s="3327">
        <f t="shared" ref="K93:K101" si="29">$L93+$G93</f>
        <v>0</v>
      </c>
      <c r="L93" s="3327">
        <v>0</v>
      </c>
      <c r="M93" s="3327">
        <f t="shared" ref="M93:N101" si="30">L93-$G93</f>
        <v>0</v>
      </c>
      <c r="N93" s="3327">
        <f t="shared" si="30"/>
        <v>0</v>
      </c>
    </row>
    <row r="94" spans="1:37" ht="38.25">
      <c r="A94" s="3361" t="s">
        <v>3279</v>
      </c>
      <c r="B94" s="3352" t="str">
        <f>估价对象房地状况!C18</f>
        <v>估价对象周边道路状况、公共交通通达情况、停车便捷程度，综合评价交通便捷度较好</v>
      </c>
      <c r="C94" s="2044"/>
      <c r="D94" s="3348">
        <f t="shared" ref="D94:D101" si="31">SUMIF($J$60:$N$60,C94,J94:N94)</f>
        <v>0</v>
      </c>
      <c r="E94" s="3365"/>
      <c r="F94" s="1814"/>
      <c r="G94" s="3355"/>
      <c r="H94" s="3403" t="str">
        <f>IFERROR(ROUNDDOWN($F$93*I94/2,4),"——")</f>
        <v>——</v>
      </c>
      <c r="I94" s="3349">
        <v>0.26</v>
      </c>
      <c r="J94" s="3327">
        <f t="shared" si="28"/>
        <v>0</v>
      </c>
      <c r="K94" s="3327">
        <f t="shared" si="29"/>
        <v>0</v>
      </c>
      <c r="L94" s="3327">
        <v>0</v>
      </c>
      <c r="M94" s="3327">
        <f t="shared" si="30"/>
        <v>0</v>
      </c>
      <c r="N94" s="3327">
        <f t="shared" si="30"/>
        <v>0</v>
      </c>
    </row>
    <row r="95" spans="1:37" ht="36">
      <c r="A95" s="3351" t="s">
        <v>3275</v>
      </c>
      <c r="B95" s="3352">
        <f>估价对象房地状况!C19</f>
        <v>0</v>
      </c>
      <c r="C95" s="2044"/>
      <c r="D95" s="3348">
        <f t="shared" si="31"/>
        <v>0</v>
      </c>
      <c r="E95" s="3365"/>
      <c r="F95" s="1814"/>
      <c r="G95" s="3355"/>
      <c r="H95" s="3403" t="str">
        <f t="shared" ref="H95:H101" si="32">IFERROR(ROUNDDOWN($F$93*I95/2,4),"——")</f>
        <v>——</v>
      </c>
      <c r="I95" s="3349">
        <v>0.11</v>
      </c>
      <c r="J95" s="3327">
        <f t="shared" si="28"/>
        <v>0</v>
      </c>
      <c r="K95" s="3327">
        <f t="shared" si="29"/>
        <v>0</v>
      </c>
      <c r="L95" s="3327">
        <v>0</v>
      </c>
      <c r="M95" s="3327">
        <f t="shared" si="30"/>
        <v>0</v>
      </c>
      <c r="N95" s="3327">
        <f t="shared" si="30"/>
        <v>0</v>
      </c>
    </row>
    <row r="96" spans="1:37" ht="36.75">
      <c r="A96" s="3361" t="s">
        <v>3280</v>
      </c>
      <c r="B96" s="3367" t="s">
        <v>3291</v>
      </c>
      <c r="C96" s="2044"/>
      <c r="D96" s="3348">
        <f t="shared" si="31"/>
        <v>0</v>
      </c>
      <c r="E96" s="3365"/>
      <c r="F96" s="1814"/>
      <c r="G96" s="3355"/>
      <c r="H96" s="3403" t="str">
        <f t="shared" si="32"/>
        <v>——</v>
      </c>
      <c r="I96" s="3349">
        <v>0.05</v>
      </c>
      <c r="J96" s="3327">
        <f t="shared" si="28"/>
        <v>0</v>
      </c>
      <c r="K96" s="3327">
        <f t="shared" si="29"/>
        <v>0</v>
      </c>
      <c r="L96" s="3327">
        <v>0</v>
      </c>
      <c r="M96" s="3327">
        <f t="shared" si="30"/>
        <v>0</v>
      </c>
      <c r="N96" s="3327">
        <f t="shared" si="30"/>
        <v>0</v>
      </c>
    </row>
    <row r="97" spans="1:14" ht="24">
      <c r="A97" s="3361" t="s">
        <v>3281</v>
      </c>
      <c r="B97" s="3352">
        <f>估价对象房地状况!C24</f>
        <v>0</v>
      </c>
      <c r="C97" s="2044"/>
      <c r="D97" s="3348">
        <f t="shared" si="31"/>
        <v>0</v>
      </c>
      <c r="E97" s="3365"/>
      <c r="F97" s="1814"/>
      <c r="G97" s="3355"/>
      <c r="H97" s="3403" t="str">
        <f t="shared" si="32"/>
        <v>——</v>
      </c>
      <c r="I97" s="3349">
        <v>0.05</v>
      </c>
      <c r="J97" s="3327">
        <f t="shared" si="28"/>
        <v>0</v>
      </c>
      <c r="K97" s="3327">
        <f t="shared" si="29"/>
        <v>0</v>
      </c>
      <c r="L97" s="3327">
        <v>0</v>
      </c>
      <c r="M97" s="3327">
        <f t="shared" si="30"/>
        <v>0</v>
      </c>
      <c r="N97" s="3327">
        <f t="shared" si="30"/>
        <v>0</v>
      </c>
    </row>
    <row r="98" spans="1:14" ht="24">
      <c r="A98" s="3361" t="s">
        <v>3282</v>
      </c>
      <c r="B98" s="3368" t="s">
        <v>3292</v>
      </c>
      <c r="C98" s="2044"/>
      <c r="D98" s="3348">
        <f t="shared" si="31"/>
        <v>0</v>
      </c>
      <c r="E98" s="3365"/>
      <c r="F98" s="1814"/>
      <c r="G98" s="3355"/>
      <c r="H98" s="3403" t="str">
        <f t="shared" si="32"/>
        <v>——</v>
      </c>
      <c r="I98" s="3349">
        <v>0.06</v>
      </c>
      <c r="J98" s="3327">
        <f t="shared" si="28"/>
        <v>0</v>
      </c>
      <c r="K98" s="3327">
        <f t="shared" si="29"/>
        <v>0</v>
      </c>
      <c r="L98" s="3327">
        <v>0</v>
      </c>
      <c r="M98" s="3327">
        <f t="shared" si="30"/>
        <v>0</v>
      </c>
      <c r="N98" s="3327">
        <f t="shared" si="30"/>
        <v>0</v>
      </c>
    </row>
    <row r="99" spans="1:14" ht="25.5">
      <c r="A99" s="3361" t="s">
        <v>3283</v>
      </c>
      <c r="B99" s="3352" t="str">
        <f>估价对象房地状况!C21</f>
        <v>估价对象所在区域公共配套设施齐备情况</v>
      </c>
      <c r="C99" s="2044"/>
      <c r="D99" s="3348">
        <f t="shared" si="31"/>
        <v>0</v>
      </c>
      <c r="E99" s="3365"/>
      <c r="F99" s="1814"/>
      <c r="G99" s="3355"/>
      <c r="H99" s="3403" t="str">
        <f t="shared" si="32"/>
        <v>——</v>
      </c>
      <c r="I99" s="3349">
        <v>0.06</v>
      </c>
      <c r="J99" s="3327">
        <f t="shared" si="28"/>
        <v>0</v>
      </c>
      <c r="K99" s="3327">
        <f t="shared" si="29"/>
        <v>0</v>
      </c>
      <c r="L99" s="3327">
        <v>0</v>
      </c>
      <c r="M99" s="3327">
        <f t="shared" si="30"/>
        <v>0</v>
      </c>
      <c r="N99" s="3327">
        <f t="shared" si="30"/>
        <v>0</v>
      </c>
    </row>
    <row r="100" spans="1:14" ht="25.5">
      <c r="A100" s="3361" t="s">
        <v>3284</v>
      </c>
      <c r="B100" s="3352" t="str">
        <f>估价对象房地状况!C22</f>
        <v>估价对象所在区域基础设施水平</v>
      </c>
      <c r="C100" s="2044"/>
      <c r="D100" s="3348">
        <f t="shared" si="31"/>
        <v>0</v>
      </c>
      <c r="E100" s="3365"/>
      <c r="F100" s="1814"/>
      <c r="G100" s="3355"/>
      <c r="H100" s="3403" t="str">
        <f t="shared" si="32"/>
        <v>——</v>
      </c>
      <c r="I100" s="3349">
        <v>0.09</v>
      </c>
      <c r="J100" s="3327">
        <f t="shared" si="28"/>
        <v>0</v>
      </c>
      <c r="K100" s="3327">
        <f t="shared" si="29"/>
        <v>0</v>
      </c>
      <c r="L100" s="3327">
        <v>0</v>
      </c>
      <c r="M100" s="3327">
        <f t="shared" si="30"/>
        <v>0</v>
      </c>
      <c r="N100" s="3327">
        <f t="shared" si="30"/>
        <v>0</v>
      </c>
    </row>
    <row r="101" spans="1:14" ht="26.25" thickBot="1">
      <c r="A101" s="3362" t="s">
        <v>3285</v>
      </c>
      <c r="B101" s="3369" t="str">
        <f>估价对象房地状况!C20</f>
        <v>区域自然环境：；人文环境；综合评价环境状况一般</v>
      </c>
      <c r="C101" s="2044"/>
      <c r="D101" s="3348">
        <f t="shared" si="31"/>
        <v>0</v>
      </c>
      <c r="E101" s="3366"/>
      <c r="F101" s="1814"/>
      <c r="G101" s="3355"/>
      <c r="H101" s="3403" t="str">
        <f t="shared" si="32"/>
        <v>——</v>
      </c>
      <c r="I101" s="3350">
        <v>7.0000000000000007E-2</v>
      </c>
      <c r="J101" s="3327">
        <f t="shared" si="28"/>
        <v>0</v>
      </c>
      <c r="K101" s="3327">
        <f t="shared" si="29"/>
        <v>0</v>
      </c>
      <c r="L101" s="3327">
        <v>0</v>
      </c>
      <c r="M101" s="3327">
        <f t="shared" si="30"/>
        <v>0</v>
      </c>
      <c r="N101" s="3327">
        <f t="shared" si="30"/>
        <v>0</v>
      </c>
    </row>
    <row r="103" spans="1:14">
      <c r="A103" s="3838" t="s">
        <v>3300</v>
      </c>
      <c r="B103" s="3838"/>
      <c r="C103" s="3838"/>
      <c r="D103" s="3838"/>
      <c r="E103" s="3838"/>
      <c r="F103" s="3838"/>
      <c r="G103" s="3838"/>
      <c r="H103" s="3838"/>
      <c r="I103" s="3838"/>
      <c r="J103" s="3838"/>
      <c r="K103" s="3372"/>
      <c r="L103" s="3372"/>
      <c r="M103" s="3372"/>
      <c r="N103" s="3372"/>
    </row>
    <row r="104" spans="1:14">
      <c r="A104" s="3839" t="s">
        <v>3301</v>
      </c>
      <c r="B104" s="3839" t="s">
        <v>3302</v>
      </c>
      <c r="C104" s="3373" t="s">
        <v>3303</v>
      </c>
      <c r="D104" s="3374"/>
      <c r="E104" s="3374"/>
      <c r="F104" s="3374"/>
      <c r="G104" s="3374"/>
      <c r="H104" s="3374"/>
      <c r="I104" s="3374"/>
      <c r="J104" s="3375"/>
      <c r="K104" s="3376"/>
      <c r="L104" s="3376"/>
      <c r="M104" s="3376"/>
      <c r="N104" s="3376"/>
    </row>
    <row r="105" spans="1:14">
      <c r="A105" s="3839"/>
      <c r="B105" s="3839"/>
      <c r="C105" s="3377" t="s">
        <v>3304</v>
      </c>
      <c r="D105" s="3377" t="s">
        <v>3305</v>
      </c>
      <c r="E105" s="3377" t="s">
        <v>3306</v>
      </c>
      <c r="F105" s="3377" t="s">
        <v>3307</v>
      </c>
      <c r="G105" s="3377" t="s">
        <v>3308</v>
      </c>
      <c r="H105" s="3377" t="s">
        <v>3309</v>
      </c>
      <c r="I105" s="3377" t="s">
        <v>3310</v>
      </c>
      <c r="J105" s="3377" t="s">
        <v>3311</v>
      </c>
      <c r="K105" s="3377" t="s">
        <v>3312</v>
      </c>
      <c r="L105" s="3377" t="s">
        <v>3313</v>
      </c>
      <c r="M105" s="3377" t="s">
        <v>3314</v>
      </c>
      <c r="N105" s="3377" t="s">
        <v>3315</v>
      </c>
    </row>
    <row r="106" spans="1:14">
      <c r="A106" s="3825" t="s">
        <v>3316</v>
      </c>
      <c r="B106" s="3377">
        <v>1</v>
      </c>
      <c r="C106" s="3377">
        <v>1.5206</v>
      </c>
      <c r="D106" s="3377">
        <v>1.5206</v>
      </c>
      <c r="E106" s="3377">
        <v>1.5019</v>
      </c>
      <c r="F106" s="3377">
        <v>1.5019</v>
      </c>
      <c r="G106" s="3377">
        <v>1.5019</v>
      </c>
      <c r="H106" s="3377">
        <v>1.5019</v>
      </c>
      <c r="I106" s="3377">
        <v>1.5019</v>
      </c>
      <c r="J106" s="3377">
        <v>1.5418000000000001</v>
      </c>
      <c r="K106" s="3377">
        <v>1.5418000000000001</v>
      </c>
      <c r="L106" s="3377">
        <v>1.5418000000000001</v>
      </c>
      <c r="M106" s="3377">
        <v>1.5418000000000001</v>
      </c>
      <c r="N106" s="3377">
        <v>1.5418000000000001</v>
      </c>
    </row>
    <row r="107" spans="1:14">
      <c r="A107" s="3826"/>
      <c r="B107" s="3377">
        <v>2</v>
      </c>
      <c r="C107" s="3377">
        <v>1.2072000000000001</v>
      </c>
      <c r="D107" s="3377">
        <v>1.2072000000000001</v>
      </c>
      <c r="E107" s="3377">
        <v>1.1838</v>
      </c>
      <c r="F107" s="3377">
        <v>1.1838</v>
      </c>
      <c r="G107" s="3377">
        <v>1.1838</v>
      </c>
      <c r="H107" s="3377">
        <v>1.1838</v>
      </c>
      <c r="I107" s="3377">
        <v>1.1838</v>
      </c>
      <c r="J107" s="3377">
        <v>1.1883999999999999</v>
      </c>
      <c r="K107" s="3377">
        <v>1.1883999999999999</v>
      </c>
      <c r="L107" s="3377">
        <v>1.1883999999999999</v>
      </c>
      <c r="M107" s="3377">
        <v>1.1883999999999999</v>
      </c>
      <c r="N107" s="3377">
        <v>1.1883999999999999</v>
      </c>
    </row>
    <row r="108" spans="1:14">
      <c r="A108" s="3826"/>
      <c r="B108" s="3377">
        <v>3</v>
      </c>
      <c r="C108" s="3377">
        <v>1.0430999999999999</v>
      </c>
      <c r="D108" s="3377">
        <v>1.0430999999999999</v>
      </c>
      <c r="E108" s="3377">
        <v>1.0004999999999999</v>
      </c>
      <c r="F108" s="3377">
        <v>1.0004999999999999</v>
      </c>
      <c r="G108" s="3377">
        <v>1.0004999999999999</v>
      </c>
      <c r="H108" s="3377">
        <v>1.0004999999999999</v>
      </c>
      <c r="I108" s="3377">
        <v>1.0004999999999999</v>
      </c>
      <c r="J108" s="3377">
        <v>0.96940000000000004</v>
      </c>
      <c r="K108" s="3377">
        <v>0.96940000000000004</v>
      </c>
      <c r="L108" s="3377">
        <v>0.96940000000000004</v>
      </c>
      <c r="M108" s="3377">
        <v>0.96940000000000004</v>
      </c>
      <c r="N108" s="3377">
        <v>0.96940000000000004</v>
      </c>
    </row>
    <row r="109" spans="1:14">
      <c r="A109" s="3826"/>
      <c r="B109" s="3377">
        <v>4</v>
      </c>
      <c r="C109" s="3377">
        <v>0.94389999999999996</v>
      </c>
      <c r="D109" s="3377">
        <v>0.94389999999999996</v>
      </c>
      <c r="E109" s="3377">
        <v>0.88239999999999996</v>
      </c>
      <c r="F109" s="3377">
        <v>0.88239999999999996</v>
      </c>
      <c r="G109" s="3377">
        <v>0.88239999999999996</v>
      </c>
      <c r="H109" s="3377">
        <v>0.88239999999999996</v>
      </c>
      <c r="I109" s="3377">
        <v>0.88239999999999996</v>
      </c>
      <c r="J109" s="3377">
        <v>0.82299999999999995</v>
      </c>
      <c r="K109" s="3377">
        <v>0.82299999999999995</v>
      </c>
      <c r="L109" s="3377">
        <v>0.82299999999999995</v>
      </c>
      <c r="M109" s="3377">
        <v>0.82299999999999995</v>
      </c>
      <c r="N109" s="3377">
        <v>0.82299999999999995</v>
      </c>
    </row>
    <row r="110" spans="1:14">
      <c r="A110" s="3826"/>
      <c r="B110" s="3377">
        <v>5</v>
      </c>
      <c r="C110" s="3377">
        <v>0.89959999999999996</v>
      </c>
      <c r="D110" s="3377">
        <v>0.89959999999999996</v>
      </c>
      <c r="E110" s="3377">
        <v>0.84799999999999998</v>
      </c>
      <c r="F110" s="3377">
        <v>0.84799999999999998</v>
      </c>
      <c r="G110" s="3377">
        <v>0.84799999999999998</v>
      </c>
      <c r="H110" s="3377">
        <v>0.84799999999999998</v>
      </c>
      <c r="I110" s="3377">
        <v>0.84799999999999998</v>
      </c>
      <c r="J110" s="3377">
        <v>0.74980000000000002</v>
      </c>
      <c r="K110" s="3377">
        <v>0.74980000000000002</v>
      </c>
      <c r="L110" s="3377">
        <v>0.74980000000000002</v>
      </c>
      <c r="M110" s="3377">
        <v>0.74980000000000002</v>
      </c>
      <c r="N110" s="3377">
        <v>0.74980000000000002</v>
      </c>
    </row>
    <row r="111" spans="1:14">
      <c r="A111" s="3826"/>
      <c r="B111" s="3377" t="s">
        <v>3274</v>
      </c>
      <c r="C111" s="3378">
        <f>$I$3</f>
        <v>0</v>
      </c>
      <c r="D111" s="3378">
        <f t="shared" ref="D111:M111" si="33">$I$3</f>
        <v>0</v>
      </c>
      <c r="E111" s="3378">
        <f t="shared" si="33"/>
        <v>0</v>
      </c>
      <c r="F111" s="3378">
        <f t="shared" si="33"/>
        <v>0</v>
      </c>
      <c r="G111" s="3378">
        <f t="shared" si="33"/>
        <v>0</v>
      </c>
      <c r="H111" s="3378">
        <f t="shared" si="33"/>
        <v>0</v>
      </c>
      <c r="I111" s="3378">
        <f t="shared" si="33"/>
        <v>0</v>
      </c>
      <c r="J111" s="3378">
        <f t="shared" si="33"/>
        <v>0</v>
      </c>
      <c r="K111" s="3378">
        <f t="shared" si="33"/>
        <v>0</v>
      </c>
      <c r="L111" s="3378">
        <f t="shared" si="33"/>
        <v>0</v>
      </c>
      <c r="M111" s="3378">
        <f t="shared" si="33"/>
        <v>0</v>
      </c>
      <c r="N111" s="3378">
        <f>$I$3</f>
        <v>0</v>
      </c>
    </row>
    <row r="112" spans="1:14">
      <c r="A112" s="3827"/>
      <c r="B112" s="3377">
        <v>6</v>
      </c>
      <c r="C112" s="3370">
        <f>(-0.5556*(C111^2)-0.2719*C111+8944)*(10^(-4))</f>
        <v>0.89440000000000008</v>
      </c>
      <c r="D112" s="3370">
        <f>(-0.5556*(D111^2)-0.2719*D111+8944)*(10^(-4))</f>
        <v>0.89440000000000008</v>
      </c>
      <c r="E112" s="3370">
        <f>(-0.7912*(E111^2)-11.3794*E111+8482)*(10^(-4))</f>
        <v>0.84820000000000007</v>
      </c>
      <c r="F112" s="3370">
        <f t="shared" ref="F112:I112" si="34">(-0.7912*(F111^2)-11.3794*F111+8482)*(10^(-4))</f>
        <v>0.84820000000000007</v>
      </c>
      <c r="G112" s="3370">
        <f t="shared" si="34"/>
        <v>0.84820000000000007</v>
      </c>
      <c r="H112" s="3370">
        <f t="shared" si="34"/>
        <v>0.84820000000000007</v>
      </c>
      <c r="I112" s="3370">
        <f t="shared" si="34"/>
        <v>0.84820000000000007</v>
      </c>
      <c r="J112" s="3370">
        <f>(-0.989*(J111^2)-63.78*J111+7771)*(10^(-4))</f>
        <v>0.77710000000000001</v>
      </c>
      <c r="K112" s="3370">
        <f t="shared" ref="K112:N112" si="35">(-0.989*(K111^2)-63.78*K111+7771)*(10^(-4))</f>
        <v>0.77710000000000001</v>
      </c>
      <c r="L112" s="3370">
        <f t="shared" si="35"/>
        <v>0.77710000000000001</v>
      </c>
      <c r="M112" s="3370">
        <f t="shared" si="35"/>
        <v>0.77710000000000001</v>
      </c>
      <c r="N112" s="3370">
        <f t="shared" si="35"/>
        <v>0.77710000000000001</v>
      </c>
    </row>
    <row r="113" spans="1:14">
      <c r="A113" s="3828" t="s">
        <v>3317</v>
      </c>
      <c r="B113" s="3828"/>
      <c r="C113" s="3828"/>
      <c r="D113" s="3828"/>
      <c r="E113" s="3828"/>
      <c r="F113" s="3828"/>
      <c r="G113" s="3828"/>
      <c r="H113" s="3828"/>
      <c r="I113" s="3828"/>
      <c r="J113" s="3828"/>
      <c r="K113" s="3379"/>
      <c r="L113" s="3379"/>
      <c r="M113" s="3379"/>
      <c r="N113" s="3379"/>
    </row>
    <row r="114" spans="1:14">
      <c r="A114" s="3380"/>
      <c r="B114" s="3380"/>
      <c r="C114" s="3380"/>
      <c r="D114" s="3380"/>
      <c r="E114" s="3380"/>
      <c r="F114" s="3380"/>
      <c r="G114" s="3380"/>
      <c r="H114" s="3380"/>
      <c r="I114" s="3380"/>
      <c r="J114" s="3380"/>
      <c r="K114" s="3339"/>
      <c r="L114" s="3380"/>
      <c r="M114" s="3380"/>
      <c r="N114" s="3380"/>
    </row>
    <row r="115" spans="1:14" ht="13.5" thickBot="1">
      <c r="A115" s="3380"/>
      <c r="B115" s="3380"/>
      <c r="C115" s="3380"/>
      <c r="D115" s="3380"/>
      <c r="E115" s="3380"/>
      <c r="F115" s="3380"/>
      <c r="G115" s="3380"/>
      <c r="H115" s="3380"/>
      <c r="I115" s="3380"/>
      <c r="J115" s="3380"/>
      <c r="K115" s="3339"/>
      <c r="L115" s="3380"/>
      <c r="M115" s="3380"/>
      <c r="N115" s="3380"/>
    </row>
    <row r="116" spans="1:14" ht="25.5" thickBot="1">
      <c r="A116" s="3381" t="s">
        <v>3318</v>
      </c>
      <c r="B116" s="3398">
        <f>G3</f>
        <v>2.4300000000000002</v>
      </c>
      <c r="C116" s="3382" t="s">
        <v>3319</v>
      </c>
      <c r="D116" s="3383">
        <f>SUMPRODUCT((A118:A122=F116)*(B117:M117=H116)*B118:M122)</f>
        <v>0.97009999999999996</v>
      </c>
      <c r="E116" s="2000" t="s">
        <v>3320</v>
      </c>
      <c r="F116" s="3384" t="str">
        <f>E2</f>
        <v>商业</v>
      </c>
      <c r="G116" s="2000" t="s">
        <v>3321</v>
      </c>
      <c r="H116" s="3384" t="str">
        <f>G2</f>
        <v>二级</v>
      </c>
      <c r="I116" s="2000"/>
      <c r="J116" s="3385"/>
      <c r="K116" s="3385"/>
      <c r="L116" s="3385"/>
      <c r="M116" s="3385"/>
      <c r="N116" s="3380"/>
    </row>
    <row r="117" spans="1:14">
      <c r="A117" s="3386"/>
      <c r="B117" s="3387" t="s">
        <v>3322</v>
      </c>
      <c r="C117" s="3387" t="s">
        <v>3323</v>
      </c>
      <c r="D117" s="3387" t="s">
        <v>3324</v>
      </c>
      <c r="E117" s="3388" t="s">
        <v>3325</v>
      </c>
      <c r="F117" s="3388" t="s">
        <v>3326</v>
      </c>
      <c r="G117" s="3388" t="s">
        <v>3327</v>
      </c>
      <c r="H117" s="3389" t="s">
        <v>3328</v>
      </c>
      <c r="I117" s="3389" t="s">
        <v>3329</v>
      </c>
      <c r="J117" s="3390" t="s">
        <v>3330</v>
      </c>
      <c r="K117" s="3390" t="s">
        <v>3331</v>
      </c>
      <c r="L117" s="3390" t="s">
        <v>3332</v>
      </c>
      <c r="M117" s="3391" t="s">
        <v>3333</v>
      </c>
      <c r="N117" s="3380"/>
    </row>
    <row r="118" spans="1:14">
      <c r="A118" s="3392" t="s">
        <v>3334</v>
      </c>
      <c r="B118" s="3370">
        <f>ROUND(0.9968-0.011*B116,4)</f>
        <v>0.97009999999999996</v>
      </c>
      <c r="C118" s="3370">
        <f>B118</f>
        <v>0.97009999999999996</v>
      </c>
      <c r="D118" s="3370">
        <f>ROUND(0.949-0.014*B116,4)</f>
        <v>0.91500000000000004</v>
      </c>
      <c r="E118" s="3370">
        <f>D118</f>
        <v>0.91500000000000004</v>
      </c>
      <c r="F118" s="3370">
        <f>E118</f>
        <v>0.91500000000000004</v>
      </c>
      <c r="G118" s="3370">
        <f>F118</f>
        <v>0.91500000000000004</v>
      </c>
      <c r="H118" s="3370">
        <f>G118</f>
        <v>0.91500000000000004</v>
      </c>
      <c r="I118" s="3370">
        <f>ROUND(0.8486-0.018*B116,4)</f>
        <v>0.80489999999999995</v>
      </c>
      <c r="J118" s="3370">
        <f t="shared" ref="J118:M122" si="36">I118</f>
        <v>0.80489999999999995</v>
      </c>
      <c r="K118" s="3370">
        <f t="shared" si="36"/>
        <v>0.80489999999999995</v>
      </c>
      <c r="L118" s="3370">
        <f t="shared" si="36"/>
        <v>0.80489999999999995</v>
      </c>
      <c r="M118" s="3393">
        <f t="shared" si="36"/>
        <v>0.80489999999999995</v>
      </c>
      <c r="N118" s="3380"/>
    </row>
    <row r="119" spans="1:14">
      <c r="A119" s="3392" t="s">
        <v>3335</v>
      </c>
      <c r="B119" s="3370">
        <f>ROUND(0.993-0.0112*B116,4)</f>
        <v>0.96579999999999999</v>
      </c>
      <c r="C119" s="3370">
        <f>B119</f>
        <v>0.96579999999999999</v>
      </c>
      <c r="D119" s="3370">
        <f>ROUND(0.9415-0.0142*B116,4)</f>
        <v>0.90700000000000003</v>
      </c>
      <c r="E119" s="3370">
        <f t="shared" ref="E119:H120" si="37">D119</f>
        <v>0.90700000000000003</v>
      </c>
      <c r="F119" s="3370">
        <f t="shared" si="37"/>
        <v>0.90700000000000003</v>
      </c>
      <c r="G119" s="3370">
        <f t="shared" si="37"/>
        <v>0.90700000000000003</v>
      </c>
      <c r="H119" s="3370">
        <f t="shared" si="37"/>
        <v>0.90700000000000003</v>
      </c>
      <c r="I119" s="3370">
        <f>ROUND(0.838-0.0182*B116,4)</f>
        <v>0.79379999999999995</v>
      </c>
      <c r="J119" s="3370">
        <f t="shared" si="36"/>
        <v>0.79379999999999995</v>
      </c>
      <c r="K119" s="3370">
        <f t="shared" si="36"/>
        <v>0.79379999999999995</v>
      </c>
      <c r="L119" s="3370">
        <f t="shared" si="36"/>
        <v>0.79379999999999995</v>
      </c>
      <c r="M119" s="3393">
        <f t="shared" si="36"/>
        <v>0.79379999999999995</v>
      </c>
      <c r="N119" s="3380"/>
    </row>
    <row r="120" spans="1:14">
      <c r="A120" s="3392" t="s">
        <v>3336</v>
      </c>
      <c r="B120" s="3370">
        <f>ROUND(0.9448-0.0115*B116,4)</f>
        <v>0.91690000000000005</v>
      </c>
      <c r="C120" s="3370">
        <f>B120</f>
        <v>0.91690000000000005</v>
      </c>
      <c r="D120" s="3370">
        <f>ROUND(0.937-0.0145*B116,4)</f>
        <v>0.90180000000000005</v>
      </c>
      <c r="E120" s="3370">
        <f t="shared" si="37"/>
        <v>0.90180000000000005</v>
      </c>
      <c r="F120" s="3370">
        <f t="shared" si="37"/>
        <v>0.90180000000000005</v>
      </c>
      <c r="G120" s="3370">
        <f t="shared" si="37"/>
        <v>0.90180000000000005</v>
      </c>
      <c r="H120" s="3370">
        <f t="shared" si="37"/>
        <v>0.90180000000000005</v>
      </c>
      <c r="I120" s="3370">
        <f>ROUND(0.7965-0.0185*B116,4)</f>
        <v>0.75149999999999995</v>
      </c>
      <c r="J120" s="3370">
        <f t="shared" si="36"/>
        <v>0.75149999999999995</v>
      </c>
      <c r="K120" s="3370">
        <f t="shared" si="36"/>
        <v>0.75149999999999995</v>
      </c>
      <c r="L120" s="3370">
        <f t="shared" si="36"/>
        <v>0.75149999999999995</v>
      </c>
      <c r="M120" s="3393">
        <f t="shared" si="36"/>
        <v>0.75149999999999995</v>
      </c>
      <c r="N120" s="3380"/>
    </row>
    <row r="121" spans="1:14" ht="13.5" thickBot="1">
      <c r="A121" s="3394" t="s">
        <v>3337</v>
      </c>
      <c r="B121" s="3395">
        <f>ROUND(0.7836-0.012*B116,4)</f>
        <v>0.75439999999999996</v>
      </c>
      <c r="C121" s="3395">
        <f>B121</f>
        <v>0.75439999999999996</v>
      </c>
      <c r="D121" s="3395">
        <f>ROUND(0.753-0.015*B116,4)</f>
        <v>0.71660000000000001</v>
      </c>
      <c r="E121" s="3395">
        <f>D121</f>
        <v>0.71660000000000001</v>
      </c>
      <c r="F121" s="3395">
        <f>E121</f>
        <v>0.71660000000000001</v>
      </c>
      <c r="G121" s="3395">
        <f>ROUND(0.6612-0.018*B116,4)</f>
        <v>0.61750000000000005</v>
      </c>
      <c r="H121" s="3395">
        <f>G121</f>
        <v>0.61750000000000005</v>
      </c>
      <c r="I121" s="3395">
        <f>ROUND(0.5905-0.019*B116,4)</f>
        <v>0.54430000000000001</v>
      </c>
      <c r="J121" s="3395">
        <f t="shared" si="36"/>
        <v>0.54430000000000001</v>
      </c>
      <c r="K121" s="3395">
        <f t="shared" si="36"/>
        <v>0.54430000000000001</v>
      </c>
      <c r="L121" s="3395">
        <f t="shared" si="36"/>
        <v>0.54430000000000001</v>
      </c>
      <c r="M121" s="3396">
        <f t="shared" si="36"/>
        <v>0.54430000000000001</v>
      </c>
      <c r="N121" s="3380"/>
    </row>
    <row r="122" spans="1:14">
      <c r="A122" s="3397" t="s">
        <v>2614</v>
      </c>
      <c r="B122" s="3370">
        <f>ROUND(0.9404-0.0106*B116,4)</f>
        <v>0.91459999999999997</v>
      </c>
      <c r="C122" s="3370">
        <f>B122</f>
        <v>0.91459999999999997</v>
      </c>
      <c r="D122" s="3370">
        <f>ROUND(0.8955-0.0135*B116,4)</f>
        <v>0.86270000000000002</v>
      </c>
      <c r="E122" s="3370">
        <f t="shared" ref="E122:H122" si="38">D122</f>
        <v>0.86270000000000002</v>
      </c>
      <c r="F122" s="3370">
        <f t="shared" si="38"/>
        <v>0.86270000000000002</v>
      </c>
      <c r="G122" s="3370">
        <f t="shared" si="38"/>
        <v>0.86270000000000002</v>
      </c>
      <c r="H122" s="3370">
        <f t="shared" si="38"/>
        <v>0.86270000000000002</v>
      </c>
      <c r="I122" s="3370">
        <f>ROUND(0.7632-0.0166*B116,4)</f>
        <v>0.72289999999999999</v>
      </c>
      <c r="J122" s="3370">
        <f t="shared" si="36"/>
        <v>0.72289999999999999</v>
      </c>
      <c r="K122" s="3370">
        <f t="shared" si="36"/>
        <v>0.72289999999999999</v>
      </c>
      <c r="L122" s="3370">
        <f t="shared" si="36"/>
        <v>0.72289999999999999</v>
      </c>
      <c r="M122" s="3393">
        <f t="shared" si="36"/>
        <v>0.72289999999999999</v>
      </c>
      <c r="N122" s="338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76" priority="6" stopIfTrue="1" operator="notEqual">
      <formula>"——"</formula>
    </cfRule>
  </conditionalFormatting>
  <conditionalFormatting sqref="F61">
    <cfRule type="cellIs" dxfId="375" priority="5" stopIfTrue="1" operator="notEqual">
      <formula>"——"</formula>
    </cfRule>
  </conditionalFormatting>
  <conditionalFormatting sqref="F72">
    <cfRule type="cellIs" dxfId="374" priority="4" stopIfTrue="1" operator="notEqual">
      <formula>"——"</formula>
    </cfRule>
  </conditionalFormatting>
  <conditionalFormatting sqref="F83">
    <cfRule type="cellIs" dxfId="373" priority="3" stopIfTrue="1" operator="notEqual">
      <formula>"——"</formula>
    </cfRule>
  </conditionalFormatting>
  <conditionalFormatting sqref="H50:H58 H61:H69 H72:H80 H83:H91">
    <cfRule type="cellIs" dxfId="372" priority="2" operator="notEqual">
      <formula>"——"</formula>
    </cfRule>
  </conditionalFormatting>
  <conditionalFormatting sqref="H93:H101">
    <cfRule type="cellIs" dxfId="37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6" customWidth="1"/>
    <col min="14" max="14" width="10" style="3056" customWidth="1"/>
    <col min="15" max="16" width="8.25" style="3056"/>
    <col min="17" max="17" width="34.125" style="3056" customWidth="1"/>
    <col min="18" max="18" width="8.25" style="3056" customWidth="1"/>
    <col min="19" max="19" width="8.25" style="3056"/>
    <col min="20" max="20" width="11.625" style="3056" customWidth="1"/>
    <col min="21" max="16384" width="8.25" style="3056"/>
  </cols>
  <sheetData>
    <row r="1" spans="1:13" ht="19.5" customHeight="1" thickBot="1">
      <c r="A1" s="3053" t="s">
        <v>2596</v>
      </c>
      <c r="B1" s="3054" t="s">
        <v>2597</v>
      </c>
      <c r="C1" s="3054" t="s">
        <v>2598</v>
      </c>
      <c r="D1" s="3054" t="s">
        <v>2599</v>
      </c>
      <c r="E1" s="3054" t="s">
        <v>2600</v>
      </c>
      <c r="F1" s="3054" t="s">
        <v>2601</v>
      </c>
      <c r="G1" s="3054" t="s">
        <v>2602</v>
      </c>
      <c r="H1" s="3054" t="s">
        <v>2603</v>
      </c>
      <c r="I1" s="3054" t="s">
        <v>2604</v>
      </c>
      <c r="J1" s="3054" t="s">
        <v>2605</v>
      </c>
      <c r="K1" s="3054" t="s">
        <v>2606</v>
      </c>
      <c r="L1" s="3054" t="s">
        <v>2607</v>
      </c>
      <c r="M1" s="3055" t="s">
        <v>2608</v>
      </c>
    </row>
    <row r="2" spans="1:13" ht="19.5" customHeight="1">
      <c r="A2" s="3057" t="s">
        <v>2609</v>
      </c>
      <c r="B2" s="3058">
        <v>3.5</v>
      </c>
      <c r="C2" s="3058">
        <v>3.5</v>
      </c>
      <c r="D2" s="3059">
        <v>2.5</v>
      </c>
      <c r="E2" s="3059">
        <v>2.5</v>
      </c>
      <c r="F2" s="3059">
        <v>2.5</v>
      </c>
      <c r="G2" s="3059">
        <v>2.5</v>
      </c>
      <c r="H2" s="3059">
        <v>2.5</v>
      </c>
      <c r="I2" s="3058">
        <v>2</v>
      </c>
      <c r="J2" s="3058">
        <v>2</v>
      </c>
      <c r="K2" s="3058">
        <v>2</v>
      </c>
      <c r="L2" s="3058">
        <v>2</v>
      </c>
      <c r="M2" s="3060">
        <v>2</v>
      </c>
    </row>
    <row r="3" spans="1:13" ht="19.5" customHeight="1">
      <c r="A3" s="3002" t="s">
        <v>2610</v>
      </c>
      <c r="B3" s="3005">
        <v>3.5</v>
      </c>
      <c r="C3" s="3005">
        <v>3.5</v>
      </c>
      <c r="D3" s="3061">
        <v>2.5</v>
      </c>
      <c r="E3" s="3061">
        <v>2.5</v>
      </c>
      <c r="F3" s="3061">
        <v>2.5</v>
      </c>
      <c r="G3" s="3061">
        <v>2.5</v>
      </c>
      <c r="H3" s="3061">
        <v>2.5</v>
      </c>
      <c r="I3" s="3005">
        <v>2</v>
      </c>
      <c r="J3" s="3005">
        <v>2</v>
      </c>
      <c r="K3" s="3005">
        <v>2</v>
      </c>
      <c r="L3" s="3005">
        <v>2</v>
      </c>
      <c r="M3" s="3009">
        <v>2</v>
      </c>
    </row>
    <row r="4" spans="1:13" ht="19.5" customHeight="1">
      <c r="A4" s="3002" t="s">
        <v>2611</v>
      </c>
      <c r="B4" s="3061">
        <v>2.5</v>
      </c>
      <c r="C4" s="3061">
        <v>2.5</v>
      </c>
      <c r="D4" s="3061">
        <v>2.5</v>
      </c>
      <c r="E4" s="3061">
        <v>2.5</v>
      </c>
      <c r="F4" s="3061">
        <v>2.5</v>
      </c>
      <c r="G4" s="3061">
        <v>2.5</v>
      </c>
      <c r="H4" s="3061">
        <v>2.5</v>
      </c>
      <c r="I4" s="3005">
        <v>1.5</v>
      </c>
      <c r="J4" s="3005">
        <v>1.5</v>
      </c>
      <c r="K4" s="3005">
        <v>1.5</v>
      </c>
      <c r="L4" s="3005">
        <v>1.5</v>
      </c>
      <c r="M4" s="3009">
        <v>1.5</v>
      </c>
    </row>
    <row r="5" spans="1:13" ht="19.5" customHeight="1">
      <c r="A5" s="3062" t="s">
        <v>2612</v>
      </c>
      <c r="B5" s="3005">
        <v>1.5</v>
      </c>
      <c r="C5" s="3005">
        <v>1.5</v>
      </c>
      <c r="D5" s="3005">
        <v>1.5</v>
      </c>
      <c r="E5" s="3005">
        <v>1.5</v>
      </c>
      <c r="F5" s="3005">
        <v>1.5</v>
      </c>
      <c r="G5" s="3005">
        <v>1.2</v>
      </c>
      <c r="H5" s="3005">
        <v>1.2</v>
      </c>
      <c r="I5" s="3005">
        <v>1</v>
      </c>
      <c r="J5" s="3005">
        <v>1</v>
      </c>
      <c r="K5" s="3005">
        <v>1</v>
      </c>
      <c r="L5" s="3005">
        <v>1</v>
      </c>
      <c r="M5" s="3009">
        <v>1</v>
      </c>
    </row>
    <row r="6" spans="1:13" ht="19.5" customHeight="1">
      <c r="A6" s="3063" t="s">
        <v>2613</v>
      </c>
      <c r="B6" s="3064">
        <v>2.5</v>
      </c>
      <c r="C6" s="3064">
        <v>2.5</v>
      </c>
      <c r="D6" s="3064">
        <v>2</v>
      </c>
      <c r="E6" s="3064">
        <v>2</v>
      </c>
      <c r="F6" s="3064">
        <v>2</v>
      </c>
      <c r="G6" s="3064">
        <v>2</v>
      </c>
      <c r="H6" s="3064">
        <v>2</v>
      </c>
      <c r="I6" s="3065">
        <v>1.5</v>
      </c>
      <c r="J6" s="3065">
        <v>1.5</v>
      </c>
      <c r="K6" s="3065">
        <v>1.5</v>
      </c>
      <c r="L6" s="3065">
        <v>1.5</v>
      </c>
      <c r="M6" s="3066">
        <v>1.5</v>
      </c>
    </row>
    <row r="7" spans="1:13" ht="19.5" customHeight="1" thickBot="1">
      <c r="A7" s="3067" t="s">
        <v>2614</v>
      </c>
      <c r="B7" s="3068">
        <v>2.5</v>
      </c>
      <c r="C7" s="3068">
        <v>2.5</v>
      </c>
      <c r="D7" s="3068">
        <v>2</v>
      </c>
      <c r="E7" s="3068">
        <v>2</v>
      </c>
      <c r="F7" s="3068">
        <v>2</v>
      </c>
      <c r="G7" s="3068">
        <v>2</v>
      </c>
      <c r="H7" s="3068">
        <v>2</v>
      </c>
      <c r="I7" s="3014">
        <v>1.5</v>
      </c>
      <c r="J7" s="3014">
        <v>1.5</v>
      </c>
      <c r="K7" s="3014">
        <v>1.5</v>
      </c>
      <c r="L7" s="3014">
        <v>1.5</v>
      </c>
      <c r="M7" s="3069">
        <v>1.5</v>
      </c>
    </row>
    <row r="8" spans="1:13" ht="19.5" customHeight="1">
      <c r="A8" s="3070" t="s">
        <v>2615</v>
      </c>
      <c r="B8" s="3071">
        <v>80</v>
      </c>
      <c r="C8" s="3071">
        <v>80</v>
      </c>
      <c r="D8" s="3071">
        <v>70</v>
      </c>
      <c r="E8" s="3071">
        <v>70</v>
      </c>
      <c r="F8" s="3071">
        <v>70</v>
      </c>
      <c r="G8" s="3071">
        <v>70</v>
      </c>
      <c r="H8" s="3071">
        <v>70</v>
      </c>
      <c r="I8" s="3071">
        <v>60</v>
      </c>
      <c r="J8" s="3071">
        <v>60</v>
      </c>
      <c r="K8" s="3071">
        <v>60</v>
      </c>
      <c r="L8" s="3071">
        <v>60</v>
      </c>
      <c r="M8" s="3072">
        <v>60</v>
      </c>
    </row>
    <row r="9" spans="1:13" ht="19.5" customHeight="1">
      <c r="A9" s="3073" t="s">
        <v>2616</v>
      </c>
      <c r="B9" s="3074">
        <v>70</v>
      </c>
      <c r="C9" s="3074">
        <v>70</v>
      </c>
      <c r="D9" s="3074">
        <v>60</v>
      </c>
      <c r="E9" s="3074">
        <v>60</v>
      </c>
      <c r="F9" s="3074">
        <v>60</v>
      </c>
      <c r="G9" s="3074">
        <v>60</v>
      </c>
      <c r="H9" s="3074">
        <v>60</v>
      </c>
      <c r="I9" s="3074">
        <v>50</v>
      </c>
      <c r="J9" s="3074">
        <v>50</v>
      </c>
      <c r="K9" s="3074">
        <v>50</v>
      </c>
      <c r="L9" s="3074">
        <v>50</v>
      </c>
      <c r="M9" s="3075">
        <v>50</v>
      </c>
    </row>
    <row r="10" spans="1:13" ht="19.5" customHeight="1">
      <c r="A10" s="3073" t="s">
        <v>2617</v>
      </c>
      <c r="B10" s="3074">
        <v>20</v>
      </c>
      <c r="C10" s="3074">
        <v>20</v>
      </c>
      <c r="D10" s="3074">
        <v>15</v>
      </c>
      <c r="E10" s="3074">
        <v>15</v>
      </c>
      <c r="F10" s="3074">
        <v>15</v>
      </c>
      <c r="G10" s="3074">
        <v>15</v>
      </c>
      <c r="H10" s="3074">
        <v>15</v>
      </c>
      <c r="I10" s="3074">
        <v>10</v>
      </c>
      <c r="J10" s="3074">
        <v>10</v>
      </c>
      <c r="K10" s="3074">
        <v>10</v>
      </c>
      <c r="L10" s="3074">
        <v>10</v>
      </c>
      <c r="M10" s="3075">
        <v>10</v>
      </c>
    </row>
    <row r="11" spans="1:13" ht="19.5" customHeight="1">
      <c r="A11" s="3073" t="s">
        <v>2618</v>
      </c>
      <c r="B11" s="3074">
        <v>30</v>
      </c>
      <c r="C11" s="3074">
        <v>30</v>
      </c>
      <c r="D11" s="3074">
        <v>25</v>
      </c>
      <c r="E11" s="3074">
        <v>25</v>
      </c>
      <c r="F11" s="3074">
        <v>25</v>
      </c>
      <c r="G11" s="3074">
        <v>25</v>
      </c>
      <c r="H11" s="3074">
        <v>25</v>
      </c>
      <c r="I11" s="3074">
        <v>20</v>
      </c>
      <c r="J11" s="3074">
        <v>20</v>
      </c>
      <c r="K11" s="3074">
        <v>20</v>
      </c>
      <c r="L11" s="3074">
        <v>20</v>
      </c>
      <c r="M11" s="3075">
        <v>20</v>
      </c>
    </row>
    <row r="12" spans="1:13" ht="19.5" customHeight="1">
      <c r="A12" s="3073" t="s">
        <v>2619</v>
      </c>
      <c r="B12" s="3074">
        <v>45</v>
      </c>
      <c r="C12" s="3074">
        <v>45</v>
      </c>
      <c r="D12" s="3074">
        <v>40</v>
      </c>
      <c r="E12" s="3074">
        <v>40</v>
      </c>
      <c r="F12" s="3074">
        <v>40</v>
      </c>
      <c r="G12" s="3074">
        <v>40</v>
      </c>
      <c r="H12" s="3074">
        <v>40</v>
      </c>
      <c r="I12" s="3074">
        <v>35</v>
      </c>
      <c r="J12" s="3074">
        <v>35</v>
      </c>
      <c r="K12" s="3074">
        <v>35</v>
      </c>
      <c r="L12" s="3074">
        <v>35</v>
      </c>
      <c r="M12" s="3075">
        <v>35</v>
      </c>
    </row>
    <row r="13" spans="1:13" ht="19.5" customHeight="1">
      <c r="A13" s="3073" t="s">
        <v>2620</v>
      </c>
      <c r="B13" s="3074">
        <v>60</v>
      </c>
      <c r="C13" s="3074">
        <v>60</v>
      </c>
      <c r="D13" s="3074">
        <v>50</v>
      </c>
      <c r="E13" s="3074">
        <v>50</v>
      </c>
      <c r="F13" s="3074">
        <v>50</v>
      </c>
      <c r="G13" s="3074">
        <v>50</v>
      </c>
      <c r="H13" s="3074">
        <v>50</v>
      </c>
      <c r="I13" s="3074">
        <v>40</v>
      </c>
      <c r="J13" s="3074">
        <v>40</v>
      </c>
      <c r="K13" s="3074">
        <v>40</v>
      </c>
      <c r="L13" s="3074">
        <v>40</v>
      </c>
      <c r="M13" s="3075">
        <v>40</v>
      </c>
    </row>
    <row r="14" spans="1:13" ht="19.5" customHeight="1">
      <c r="A14" s="3073" t="s">
        <v>2621</v>
      </c>
      <c r="B14" s="3074">
        <v>50</v>
      </c>
      <c r="C14" s="3074">
        <v>50</v>
      </c>
      <c r="D14" s="3074">
        <v>40</v>
      </c>
      <c r="E14" s="3074">
        <v>40</v>
      </c>
      <c r="F14" s="3074">
        <v>40</v>
      </c>
      <c r="G14" s="3074">
        <v>40</v>
      </c>
      <c r="H14" s="3074">
        <v>40</v>
      </c>
      <c r="I14" s="3074">
        <v>30</v>
      </c>
      <c r="J14" s="3074">
        <v>30</v>
      </c>
      <c r="K14" s="3074">
        <v>30</v>
      </c>
      <c r="L14" s="3074">
        <v>30</v>
      </c>
      <c r="M14" s="3075">
        <v>30</v>
      </c>
    </row>
    <row r="15" spans="1:13" ht="19.5" customHeight="1">
      <c r="A15" s="3076" t="s">
        <v>2622</v>
      </c>
      <c r="B15" s="3077">
        <v>20</v>
      </c>
      <c r="C15" s="3077">
        <v>20</v>
      </c>
      <c r="D15" s="3077">
        <v>15</v>
      </c>
      <c r="E15" s="3077">
        <v>15</v>
      </c>
      <c r="F15" s="3077">
        <v>15</v>
      </c>
      <c r="G15" s="3077">
        <v>15</v>
      </c>
      <c r="H15" s="3077">
        <v>15</v>
      </c>
      <c r="I15" s="3077">
        <v>10</v>
      </c>
      <c r="J15" s="3077">
        <v>10</v>
      </c>
      <c r="K15" s="3077">
        <v>10</v>
      </c>
      <c r="L15" s="3077">
        <v>10</v>
      </c>
      <c r="M15" s="3078">
        <v>10</v>
      </c>
    </row>
    <row r="16" spans="1:13" ht="19.5" customHeight="1">
      <c r="A16" s="3074" t="s">
        <v>2623</v>
      </c>
      <c r="B16" s="3005">
        <v>0</v>
      </c>
      <c r="C16" s="3005">
        <v>0</v>
      </c>
      <c r="D16" s="3005">
        <v>0</v>
      </c>
      <c r="E16" s="3005">
        <v>0</v>
      </c>
      <c r="F16" s="3005">
        <v>0</v>
      </c>
      <c r="G16" s="3005">
        <v>0</v>
      </c>
      <c r="H16" s="3005">
        <v>0</v>
      </c>
      <c r="I16" s="3005">
        <v>0</v>
      </c>
      <c r="J16" s="3005">
        <v>0</v>
      </c>
      <c r="K16" s="3005">
        <v>0</v>
      </c>
      <c r="L16" s="3005">
        <v>0</v>
      </c>
      <c r="M16" s="3005">
        <v>0</v>
      </c>
    </row>
    <row r="17" spans="1:13" ht="19.5" customHeight="1">
      <c r="A17" s="3074" t="s">
        <v>2624</v>
      </c>
      <c r="B17" s="3005">
        <f>SUM(B8:B15)</f>
        <v>375</v>
      </c>
      <c r="C17" s="3005">
        <f t="shared" ref="C17:H17" si="0">SUM(C8:C15)</f>
        <v>375</v>
      </c>
      <c r="D17" s="3005">
        <f t="shared" si="0"/>
        <v>315</v>
      </c>
      <c r="E17" s="3005">
        <f t="shared" si="0"/>
        <v>315</v>
      </c>
      <c r="F17" s="3005">
        <f t="shared" si="0"/>
        <v>315</v>
      </c>
      <c r="G17" s="3005">
        <f t="shared" si="0"/>
        <v>315</v>
      </c>
      <c r="H17" s="3005">
        <f t="shared" si="0"/>
        <v>315</v>
      </c>
      <c r="I17" s="3005">
        <f>SUM(I8:I15)-I13-I14</f>
        <v>185</v>
      </c>
      <c r="J17" s="3005">
        <f t="shared" ref="J17:M17" si="1">SUM(J8:J15)-J13-J14</f>
        <v>185</v>
      </c>
      <c r="K17" s="3005">
        <f t="shared" si="1"/>
        <v>185</v>
      </c>
      <c r="L17" s="3005">
        <f t="shared" si="1"/>
        <v>185</v>
      </c>
      <c r="M17" s="3005">
        <f t="shared" si="1"/>
        <v>185</v>
      </c>
    </row>
    <row r="18" spans="1:13" s="3081" customFormat="1" ht="19.5" customHeight="1">
      <c r="A18" s="3079" t="s">
        <v>2625</v>
      </c>
      <c r="B18" s="3079"/>
      <c r="C18" s="3080"/>
      <c r="D18" s="3080"/>
      <c r="E18" s="3079"/>
      <c r="F18" s="3080"/>
      <c r="G18" s="3080"/>
    </row>
    <row r="19" spans="1:13" ht="19.5" customHeight="1" thickBot="1">
      <c r="A19" s="3077" t="s">
        <v>2626</v>
      </c>
      <c r="B19" s="3082" t="s">
        <v>2627</v>
      </c>
      <c r="C19" s="3082" t="s">
        <v>2628</v>
      </c>
      <c r="D19" s="3083"/>
      <c r="E19" s="3077" t="s">
        <v>2629</v>
      </c>
      <c r="F19" s="3084"/>
      <c r="G19" s="3084"/>
    </row>
    <row r="20" spans="1:13" ht="19.5" customHeight="1">
      <c r="A20" s="3851" t="s">
        <v>2609</v>
      </c>
      <c r="B20" s="3844" t="s">
        <v>2630</v>
      </c>
      <c r="C20" s="3085" t="s">
        <v>2441</v>
      </c>
      <c r="D20" s="3086"/>
      <c r="E20" s="3087">
        <v>1</v>
      </c>
      <c r="F20" s="3088" t="s">
        <v>2442</v>
      </c>
      <c r="G20" s="3088"/>
    </row>
    <row r="21" spans="1:13" ht="19.5" customHeight="1">
      <c r="A21" s="3852"/>
      <c r="B21" s="3845"/>
      <c r="C21" s="3089" t="s">
        <v>2443</v>
      </c>
      <c r="D21" s="3090"/>
      <c r="E21" s="3091">
        <v>1</v>
      </c>
      <c r="F21" s="3088" t="s">
        <v>2444</v>
      </c>
      <c r="G21" s="3088"/>
    </row>
    <row r="22" spans="1:13" ht="19.5" customHeight="1">
      <c r="A22" s="3852"/>
      <c r="B22" s="3845"/>
      <c r="C22" s="3089" t="s">
        <v>2445</v>
      </c>
      <c r="D22" s="3090"/>
      <c r="E22" s="3091">
        <v>0.9</v>
      </c>
      <c r="F22" s="3088" t="s">
        <v>2446</v>
      </c>
      <c r="G22" s="3088"/>
    </row>
    <row r="23" spans="1:13" ht="19.5" customHeight="1">
      <c r="A23" s="3852"/>
      <c r="B23" s="3845"/>
      <c r="C23" s="3089" t="s">
        <v>2447</v>
      </c>
      <c r="D23" s="3090"/>
      <c r="E23" s="3091">
        <v>0.9</v>
      </c>
      <c r="F23" s="3088" t="s">
        <v>2448</v>
      </c>
      <c r="G23" s="3088"/>
    </row>
    <row r="24" spans="1:13" ht="19.5" customHeight="1">
      <c r="A24" s="3852"/>
      <c r="B24" s="3845"/>
      <c r="C24" s="3089" t="s">
        <v>2449</v>
      </c>
      <c r="D24" s="3090"/>
      <c r="E24" s="3091">
        <v>0.8</v>
      </c>
      <c r="F24" s="3088" t="s">
        <v>2450</v>
      </c>
      <c r="G24" s="3088"/>
    </row>
    <row r="25" spans="1:13" ht="19.5" customHeight="1" thickBot="1">
      <c r="A25" s="3853"/>
      <c r="B25" s="3846"/>
      <c r="C25" s="3092" t="s">
        <v>2451</v>
      </c>
      <c r="D25" s="3093"/>
      <c r="E25" s="3094">
        <v>0.8</v>
      </c>
      <c r="F25" s="3088" t="s">
        <v>2452</v>
      </c>
      <c r="G25" s="3088"/>
    </row>
    <row r="26" spans="1:13" ht="19.5" customHeight="1" thickBot="1">
      <c r="A26" s="3095" t="s">
        <v>2631</v>
      </c>
      <c r="B26" s="3096" t="s">
        <v>2630</v>
      </c>
      <c r="C26" s="3097" t="s">
        <v>2632</v>
      </c>
      <c r="D26" s="3098"/>
      <c r="E26" s="3099">
        <v>1</v>
      </c>
      <c r="F26" s="3088" t="s">
        <v>2453</v>
      </c>
      <c r="G26" s="3088"/>
    </row>
    <row r="27" spans="1:13" ht="19.5" customHeight="1">
      <c r="A27" s="3847" t="s">
        <v>2633</v>
      </c>
      <c r="B27" s="3844" t="s">
        <v>2614</v>
      </c>
      <c r="C27" s="3085" t="s">
        <v>2454</v>
      </c>
      <c r="D27" s="3086"/>
      <c r="E27" s="3087">
        <v>1</v>
      </c>
      <c r="F27" s="3088" t="s">
        <v>2455</v>
      </c>
      <c r="G27" s="3088"/>
    </row>
    <row r="28" spans="1:13" ht="19.5" customHeight="1">
      <c r="A28" s="3848"/>
      <c r="B28" s="3845"/>
      <c r="C28" s="3089" t="s">
        <v>2456</v>
      </c>
      <c r="D28" s="3090"/>
      <c r="E28" s="3091">
        <v>1</v>
      </c>
      <c r="F28" s="3088" t="s">
        <v>2457</v>
      </c>
      <c r="G28" s="3088"/>
    </row>
    <row r="29" spans="1:13" ht="19.5" customHeight="1">
      <c r="A29" s="3848"/>
      <c r="B29" s="3845"/>
      <c r="C29" s="3089" t="s">
        <v>2458</v>
      </c>
      <c r="D29" s="3090"/>
      <c r="E29" s="3091">
        <v>0.8</v>
      </c>
      <c r="F29" s="3088" t="s">
        <v>2459</v>
      </c>
      <c r="G29" s="3088"/>
    </row>
    <row r="30" spans="1:13" ht="19.5" customHeight="1">
      <c r="A30" s="3848"/>
      <c r="B30" s="3845"/>
      <c r="C30" s="3089" t="s">
        <v>2460</v>
      </c>
      <c r="D30" s="3090"/>
      <c r="E30" s="3091">
        <v>0.8</v>
      </c>
      <c r="F30" s="3088" t="s">
        <v>2461</v>
      </c>
      <c r="G30" s="3088"/>
    </row>
    <row r="31" spans="1:13" ht="19.5" customHeight="1">
      <c r="A31" s="3848"/>
      <c r="B31" s="3845"/>
      <c r="C31" s="3089" t="s">
        <v>2462</v>
      </c>
      <c r="D31" s="3090"/>
      <c r="E31" s="3091">
        <v>0.8</v>
      </c>
      <c r="F31" s="3088" t="s">
        <v>2463</v>
      </c>
      <c r="G31" s="3088"/>
    </row>
    <row r="32" spans="1:13" ht="19.5" customHeight="1">
      <c r="A32" s="3848"/>
      <c r="B32" s="3845"/>
      <c r="C32" s="3089" t="s">
        <v>2464</v>
      </c>
      <c r="D32" s="3090"/>
      <c r="E32" s="3091">
        <v>0.7</v>
      </c>
      <c r="F32" s="3088" t="s">
        <v>2465</v>
      </c>
      <c r="G32" s="3088"/>
    </row>
    <row r="33" spans="1:7" ht="19.5" customHeight="1">
      <c r="A33" s="3848"/>
      <c r="B33" s="3845"/>
      <c r="C33" s="3089" t="s">
        <v>2466</v>
      </c>
      <c r="D33" s="3090"/>
      <c r="E33" s="3091">
        <v>0.8</v>
      </c>
      <c r="F33" s="3088" t="s">
        <v>2467</v>
      </c>
      <c r="G33" s="3088"/>
    </row>
    <row r="34" spans="1:7" ht="19.5" customHeight="1">
      <c r="A34" s="3848"/>
      <c r="B34" s="3845"/>
      <c r="C34" s="3089" t="s">
        <v>2468</v>
      </c>
      <c r="D34" s="3090"/>
      <c r="E34" s="3091">
        <v>0.6</v>
      </c>
      <c r="F34" s="3088" t="s">
        <v>2469</v>
      </c>
      <c r="G34" s="3088"/>
    </row>
    <row r="35" spans="1:7" ht="19.5" customHeight="1">
      <c r="A35" s="3848"/>
      <c r="B35" s="3845"/>
      <c r="C35" s="3089" t="s">
        <v>2470</v>
      </c>
      <c r="D35" s="3090"/>
      <c r="E35" s="3091">
        <v>0.2</v>
      </c>
      <c r="F35" s="3088" t="s">
        <v>2471</v>
      </c>
      <c r="G35" s="3088"/>
    </row>
    <row r="36" spans="1:7" ht="19.5" customHeight="1">
      <c r="A36" s="3848"/>
      <c r="B36" s="3845"/>
      <c r="C36" s="3089" t="s">
        <v>2472</v>
      </c>
      <c r="D36" s="3090"/>
      <c r="E36" s="3091">
        <v>0.2</v>
      </c>
      <c r="F36" s="3088" t="s">
        <v>2473</v>
      </c>
      <c r="G36" s="3088"/>
    </row>
    <row r="37" spans="1:7" ht="19.5" customHeight="1">
      <c r="A37" s="3848"/>
      <c r="B37" s="3850" t="s">
        <v>2634</v>
      </c>
      <c r="C37" s="3089" t="s">
        <v>2474</v>
      </c>
      <c r="D37" s="3090"/>
      <c r="E37" s="3091">
        <v>0.6</v>
      </c>
      <c r="F37" s="3088" t="s">
        <v>2475</v>
      </c>
      <c r="G37" s="3088"/>
    </row>
    <row r="38" spans="1:7" ht="19.5" customHeight="1">
      <c r="A38" s="3848"/>
      <c r="B38" s="3845"/>
      <c r="C38" s="3089" t="s">
        <v>2476</v>
      </c>
      <c r="D38" s="3090"/>
      <c r="E38" s="3091">
        <v>0.6</v>
      </c>
      <c r="F38" s="3088" t="s">
        <v>2477</v>
      </c>
      <c r="G38" s="3088"/>
    </row>
    <row r="39" spans="1:7" ht="19.5" customHeight="1" thickBot="1">
      <c r="A39" s="3849"/>
      <c r="B39" s="3846"/>
      <c r="C39" s="3092" t="s">
        <v>2478</v>
      </c>
      <c r="D39" s="3093"/>
      <c r="E39" s="3094">
        <v>0.6</v>
      </c>
      <c r="F39" s="3088" t="s">
        <v>2479</v>
      </c>
      <c r="G39" s="3088"/>
    </row>
    <row r="40" spans="1:7" ht="19.5" customHeight="1" thickBot="1">
      <c r="A40" s="3095" t="s">
        <v>2611</v>
      </c>
      <c r="B40" s="3096" t="s">
        <v>2611</v>
      </c>
      <c r="C40" s="3097" t="s">
        <v>2635</v>
      </c>
      <c r="D40" s="3098"/>
      <c r="E40" s="3099">
        <v>1</v>
      </c>
      <c r="F40" s="3088" t="s">
        <v>2480</v>
      </c>
      <c r="G40" s="3088"/>
    </row>
    <row r="41" spans="1:7" ht="19.5" customHeight="1">
      <c r="A41" s="3851" t="s">
        <v>2612</v>
      </c>
      <c r="B41" s="3844" t="s">
        <v>2636</v>
      </c>
      <c r="C41" s="3085" t="s">
        <v>2481</v>
      </c>
      <c r="D41" s="3086"/>
      <c r="E41" s="3087">
        <v>1</v>
      </c>
      <c r="F41" s="3088" t="s">
        <v>2482</v>
      </c>
      <c r="G41" s="3088"/>
    </row>
    <row r="42" spans="1:7" ht="19.5" customHeight="1">
      <c r="A42" s="3852"/>
      <c r="B42" s="3845"/>
      <c r="C42" s="3089" t="s">
        <v>2483</v>
      </c>
      <c r="D42" s="3090"/>
      <c r="E42" s="3091">
        <v>1</v>
      </c>
      <c r="F42" s="3088" t="s">
        <v>2484</v>
      </c>
      <c r="G42" s="3088"/>
    </row>
    <row r="43" spans="1:7" ht="19.5" customHeight="1">
      <c r="A43" s="3852"/>
      <c r="B43" s="3854"/>
      <c r="C43" s="3089" t="s">
        <v>2485</v>
      </c>
      <c r="D43" s="3090"/>
      <c r="E43" s="3091">
        <v>1.5</v>
      </c>
      <c r="F43" s="3088" t="s">
        <v>2486</v>
      </c>
      <c r="G43" s="3088"/>
    </row>
    <row r="44" spans="1:7" ht="19.5" customHeight="1">
      <c r="A44" s="3852"/>
      <c r="B44" s="3100" t="s">
        <v>2637</v>
      </c>
      <c r="C44" s="3089" t="s">
        <v>2638</v>
      </c>
      <c r="D44" s="3090"/>
      <c r="E44" s="3091">
        <v>2</v>
      </c>
      <c r="F44" s="3088" t="s">
        <v>2487</v>
      </c>
      <c r="G44" s="3088"/>
    </row>
    <row r="45" spans="1:7" ht="19.5" customHeight="1">
      <c r="A45" s="3852"/>
      <c r="B45" s="3850" t="s">
        <v>2639</v>
      </c>
      <c r="C45" s="3089" t="s">
        <v>2488</v>
      </c>
      <c r="D45" s="3090"/>
      <c r="E45" s="3091">
        <v>1</v>
      </c>
      <c r="F45" s="3088" t="s">
        <v>2489</v>
      </c>
      <c r="G45" s="3088"/>
    </row>
    <row r="46" spans="1:7" ht="19.5" customHeight="1">
      <c r="A46" s="3852"/>
      <c r="B46" s="3845"/>
      <c r="C46" s="3089" t="s">
        <v>2490</v>
      </c>
      <c r="D46" s="3090"/>
      <c r="E46" s="3091">
        <v>1</v>
      </c>
      <c r="F46" s="3088" t="s">
        <v>2491</v>
      </c>
      <c r="G46" s="3088"/>
    </row>
    <row r="47" spans="1:7" ht="19.5" customHeight="1">
      <c r="A47" s="3852"/>
      <c r="B47" s="3845"/>
      <c r="C47" s="3089" t="s">
        <v>2492</v>
      </c>
      <c r="D47" s="3090"/>
      <c r="E47" s="3091">
        <v>1</v>
      </c>
      <c r="F47" s="3088" t="s">
        <v>2493</v>
      </c>
      <c r="G47" s="3088"/>
    </row>
    <row r="48" spans="1:7" ht="19.5" customHeight="1">
      <c r="A48" s="3852"/>
      <c r="B48" s="3845"/>
      <c r="C48" s="3089" t="s">
        <v>2494</v>
      </c>
      <c r="D48" s="3090"/>
      <c r="E48" s="3091">
        <v>1</v>
      </c>
      <c r="F48" s="3088" t="s">
        <v>2495</v>
      </c>
      <c r="G48" s="3088"/>
    </row>
    <row r="49" spans="1:7" ht="19.5" customHeight="1">
      <c r="A49" s="3852"/>
      <c r="B49" s="3845"/>
      <c r="C49" s="3089" t="s">
        <v>2496</v>
      </c>
      <c r="D49" s="3090"/>
      <c r="E49" s="3091">
        <v>1</v>
      </c>
      <c r="F49" s="3088" t="s">
        <v>2497</v>
      </c>
      <c r="G49" s="3088"/>
    </row>
    <row r="50" spans="1:7" ht="19.5" customHeight="1">
      <c r="A50" s="3852"/>
      <c r="B50" s="3845"/>
      <c r="C50" s="3089" t="s">
        <v>2498</v>
      </c>
      <c r="D50" s="3090"/>
      <c r="E50" s="3091">
        <v>1</v>
      </c>
      <c r="F50" s="3088" t="s">
        <v>2499</v>
      </c>
      <c r="G50" s="3088"/>
    </row>
    <row r="51" spans="1:7" ht="19.5" customHeight="1" thickBot="1">
      <c r="A51" s="3853"/>
      <c r="B51" s="3846"/>
      <c r="C51" s="3092" t="s">
        <v>2500</v>
      </c>
      <c r="D51" s="3093"/>
      <c r="E51" s="3094">
        <v>1</v>
      </c>
      <c r="F51" s="3088" t="s">
        <v>2501</v>
      </c>
      <c r="G51" s="3088"/>
    </row>
    <row r="52" spans="1:7" ht="19.5" customHeight="1">
      <c r="A52" s="3101"/>
      <c r="B52" s="3101"/>
      <c r="C52" s="3101"/>
      <c r="D52" s="3101"/>
      <c r="E52" s="3101"/>
      <c r="F52" s="3101"/>
      <c r="G52" s="3101"/>
    </row>
    <row r="54" spans="1:7" ht="19.5" customHeight="1">
      <c r="A54" s="3102"/>
      <c r="B54" s="3074" t="s">
        <v>2640</v>
      </c>
      <c r="C54" s="3074" t="s">
        <v>2640</v>
      </c>
      <c r="D54" s="3074" t="s">
        <v>2640</v>
      </c>
      <c r="E54" s="3077" t="s">
        <v>2640</v>
      </c>
      <c r="F54" s="3077" t="s">
        <v>2641</v>
      </c>
      <c r="G54" s="3077" t="s">
        <v>2642</v>
      </c>
    </row>
    <row r="55" spans="1:7" ht="19.5" customHeight="1">
      <c r="A55" s="3103"/>
      <c r="B55" s="3077" t="s">
        <v>2609</v>
      </c>
      <c r="C55" s="3077" t="s">
        <v>2609</v>
      </c>
      <c r="D55" s="3077" t="s">
        <v>2609</v>
      </c>
      <c r="E55" s="3074" t="s">
        <v>2610</v>
      </c>
      <c r="F55" s="3074" t="s">
        <v>2612</v>
      </c>
      <c r="G55" s="3074" t="s">
        <v>2643</v>
      </c>
    </row>
    <row r="56" spans="1:7" ht="19.5" customHeight="1">
      <c r="A56" s="3104"/>
      <c r="B56" s="3074">
        <v>1</v>
      </c>
      <c r="C56" s="3074">
        <v>2</v>
      </c>
      <c r="D56" s="3074">
        <v>3</v>
      </c>
      <c r="E56" s="3105" t="s">
        <v>2644</v>
      </c>
      <c r="F56" s="3105" t="s">
        <v>2644</v>
      </c>
      <c r="G56" s="3105" t="s">
        <v>2644</v>
      </c>
    </row>
    <row r="57" spans="1:7" ht="19.5" customHeight="1">
      <c r="A57" s="3106" t="s">
        <v>2597</v>
      </c>
      <c r="B57" s="3074">
        <v>0.7</v>
      </c>
      <c r="C57" s="3074">
        <v>0.4</v>
      </c>
      <c r="D57" s="3074">
        <v>0.3</v>
      </c>
      <c r="E57" s="3105">
        <v>0.3</v>
      </c>
      <c r="F57" s="3074">
        <v>0.3</v>
      </c>
      <c r="G57" s="3074">
        <v>0.2</v>
      </c>
    </row>
    <row r="58" spans="1:7" ht="19.5" customHeight="1">
      <c r="A58" s="3106" t="s">
        <v>2598</v>
      </c>
      <c r="B58" s="3074">
        <v>0.7</v>
      </c>
      <c r="C58" s="3074">
        <v>0.4</v>
      </c>
      <c r="D58" s="3074">
        <v>0.3</v>
      </c>
      <c r="E58" s="3074">
        <v>0.3</v>
      </c>
      <c r="F58" s="3074">
        <v>0.3</v>
      </c>
      <c r="G58" s="3074">
        <v>0.2</v>
      </c>
    </row>
    <row r="59" spans="1:7" ht="19.5" customHeight="1">
      <c r="A59" s="3106" t="s">
        <v>2599</v>
      </c>
      <c r="B59" s="3074">
        <v>0.6</v>
      </c>
      <c r="C59" s="3074">
        <v>0.3</v>
      </c>
      <c r="D59" s="3074">
        <v>0.25</v>
      </c>
      <c r="E59" s="3074">
        <v>0.25</v>
      </c>
      <c r="F59" s="3074">
        <v>0.25</v>
      </c>
      <c r="G59" s="3074">
        <v>0.15</v>
      </c>
    </row>
    <row r="60" spans="1:7" ht="19.5" customHeight="1">
      <c r="A60" s="3106" t="s">
        <v>2600</v>
      </c>
      <c r="B60" s="3074">
        <v>0.6</v>
      </c>
      <c r="C60" s="3074">
        <v>0.3</v>
      </c>
      <c r="D60" s="3074">
        <v>0.25</v>
      </c>
      <c r="E60" s="3074">
        <v>0.25</v>
      </c>
      <c r="F60" s="3074">
        <v>0.25</v>
      </c>
      <c r="G60" s="3074">
        <v>0.15</v>
      </c>
    </row>
    <row r="61" spans="1:7" ht="19.5" customHeight="1">
      <c r="A61" s="3106" t="s">
        <v>2601</v>
      </c>
      <c r="B61" s="3074">
        <v>0.6</v>
      </c>
      <c r="C61" s="3074">
        <v>0.3</v>
      </c>
      <c r="D61" s="3074">
        <v>0.25</v>
      </c>
      <c r="E61" s="3074">
        <v>0.25</v>
      </c>
      <c r="F61" s="3074">
        <v>0.25</v>
      </c>
      <c r="G61" s="3074">
        <v>0.15</v>
      </c>
    </row>
    <row r="62" spans="1:7" ht="19.5" customHeight="1">
      <c r="A62" s="3106" t="s">
        <v>2602</v>
      </c>
      <c r="B62" s="3074">
        <v>0.6</v>
      </c>
      <c r="C62" s="3074">
        <v>0.3</v>
      </c>
      <c r="D62" s="3074">
        <v>0.25</v>
      </c>
      <c r="E62" s="3074">
        <v>0.25</v>
      </c>
      <c r="F62" s="3074">
        <v>0.25</v>
      </c>
      <c r="G62" s="3074">
        <v>0.15</v>
      </c>
    </row>
    <row r="63" spans="1:7" ht="19.5" customHeight="1">
      <c r="A63" s="3106" t="s">
        <v>2603</v>
      </c>
      <c r="B63" s="3074">
        <v>0.6</v>
      </c>
      <c r="C63" s="3074">
        <v>0.3</v>
      </c>
      <c r="D63" s="3074">
        <v>0.25</v>
      </c>
      <c r="E63" s="3074">
        <v>0.25</v>
      </c>
      <c r="F63" s="3074">
        <v>0.25</v>
      </c>
      <c r="G63" s="3074">
        <v>0.15</v>
      </c>
    </row>
    <row r="64" spans="1:7" ht="19.5" customHeight="1">
      <c r="A64" s="3106" t="s">
        <v>2604</v>
      </c>
      <c r="B64" s="3074">
        <v>0.5</v>
      </c>
      <c r="C64" s="3074">
        <v>0.2</v>
      </c>
      <c r="D64" s="3074">
        <v>0.2</v>
      </c>
      <c r="E64" s="3074">
        <v>0.2</v>
      </c>
      <c r="F64" s="3074">
        <v>0.2</v>
      </c>
      <c r="G64" s="3074">
        <v>0.1</v>
      </c>
    </row>
    <row r="65" spans="1:7" ht="19.5" customHeight="1">
      <c r="A65" s="3106" t="s">
        <v>2605</v>
      </c>
      <c r="B65" s="3074">
        <v>0.5</v>
      </c>
      <c r="C65" s="3074">
        <v>0.2</v>
      </c>
      <c r="D65" s="3074">
        <v>0.2</v>
      </c>
      <c r="E65" s="3074">
        <v>0.2</v>
      </c>
      <c r="F65" s="3074">
        <v>0.2</v>
      </c>
      <c r="G65" s="3074">
        <v>0.1</v>
      </c>
    </row>
    <row r="66" spans="1:7" ht="19.5" customHeight="1">
      <c r="A66" s="3106" t="s">
        <v>2606</v>
      </c>
      <c r="B66" s="3074">
        <v>0.5</v>
      </c>
      <c r="C66" s="3074">
        <v>0.2</v>
      </c>
      <c r="D66" s="3074">
        <v>0.2</v>
      </c>
      <c r="E66" s="3074">
        <v>0.2</v>
      </c>
      <c r="F66" s="3074">
        <v>0.2</v>
      </c>
      <c r="G66" s="3074">
        <v>0.1</v>
      </c>
    </row>
    <row r="67" spans="1:7" ht="19.5" customHeight="1">
      <c r="A67" s="3106" t="s">
        <v>2607</v>
      </c>
      <c r="B67" s="3074">
        <v>0.5</v>
      </c>
      <c r="C67" s="3074">
        <v>0.2</v>
      </c>
      <c r="D67" s="3074">
        <v>0.2</v>
      </c>
      <c r="E67" s="3074">
        <v>0.2</v>
      </c>
      <c r="F67" s="3074">
        <v>0.2</v>
      </c>
      <c r="G67" s="3074">
        <v>0.1</v>
      </c>
    </row>
    <row r="68" spans="1:7" ht="19.5" customHeight="1">
      <c r="A68" s="3106" t="s">
        <v>2608</v>
      </c>
      <c r="B68" s="3074">
        <v>0.5</v>
      </c>
      <c r="C68" s="3074">
        <v>0.2</v>
      </c>
      <c r="D68" s="3074">
        <v>0.2</v>
      </c>
      <c r="E68" s="3074">
        <v>0.2</v>
      </c>
      <c r="F68" s="3074">
        <v>0.2</v>
      </c>
      <c r="G68" s="3074">
        <v>0.1</v>
      </c>
    </row>
    <row r="70" spans="1:7" ht="19.5" customHeight="1">
      <c r="A70" s="3107"/>
      <c r="B70" s="3108"/>
      <c r="C70" s="3108"/>
      <c r="D70" s="3108" t="s">
        <v>2645</v>
      </c>
      <c r="E70" s="3108"/>
      <c r="F70" s="3108"/>
    </row>
    <row r="71" spans="1:7" ht="19.5" customHeight="1">
      <c r="A71" s="3100" t="s">
        <v>2646</v>
      </c>
      <c r="B71" s="3100" t="s">
        <v>2647</v>
      </c>
      <c r="C71" s="3100" t="s">
        <v>2648</v>
      </c>
      <c r="D71" s="3100" t="s">
        <v>2649</v>
      </c>
      <c r="E71" s="3100" t="s">
        <v>2650</v>
      </c>
      <c r="F71" s="3100" t="s">
        <v>2651</v>
      </c>
    </row>
    <row r="72" spans="1:7" ht="13.5">
      <c r="A72" s="3100"/>
      <c r="B72" s="3100"/>
      <c r="C72" s="3100" t="s">
        <v>2652</v>
      </c>
      <c r="D72" s="3100"/>
      <c r="E72" s="3100" t="s">
        <v>2623</v>
      </c>
      <c r="F72" s="3100" t="s">
        <v>2623</v>
      </c>
    </row>
    <row r="73" spans="1:7" ht="13.5">
      <c r="A73" s="3100">
        <v>1</v>
      </c>
      <c r="B73" s="3850" t="s">
        <v>2653</v>
      </c>
      <c r="C73" s="3074" t="s">
        <v>2654</v>
      </c>
      <c r="D73" s="3074" t="s">
        <v>2655</v>
      </c>
      <c r="E73" s="3100">
        <v>0.2</v>
      </c>
      <c r="F73" s="3100">
        <v>25</v>
      </c>
    </row>
    <row r="74" spans="1:7" ht="24">
      <c r="A74" s="3100">
        <v>2</v>
      </c>
      <c r="B74" s="3845"/>
      <c r="C74" s="3074" t="s">
        <v>2656</v>
      </c>
      <c r="D74" s="3074" t="s">
        <v>2657</v>
      </c>
      <c r="E74" s="3100">
        <v>0.2</v>
      </c>
      <c r="F74" s="3100">
        <v>25</v>
      </c>
    </row>
    <row r="75" spans="1:7" ht="24">
      <c r="A75" s="3100">
        <v>3</v>
      </c>
      <c r="B75" s="3845"/>
      <c r="C75" s="3074" t="s">
        <v>2658</v>
      </c>
      <c r="D75" s="3074" t="s">
        <v>2659</v>
      </c>
      <c r="E75" s="3100">
        <v>0.2</v>
      </c>
      <c r="F75" s="3100">
        <v>25</v>
      </c>
    </row>
    <row r="76" spans="1:7" ht="13.5">
      <c r="A76" s="3100">
        <v>4</v>
      </c>
      <c r="B76" s="3845"/>
      <c r="C76" s="3074" t="s">
        <v>2660</v>
      </c>
      <c r="D76" s="3074" t="s">
        <v>2661</v>
      </c>
      <c r="E76" s="3100">
        <v>0.15</v>
      </c>
      <c r="F76" s="3100">
        <v>20</v>
      </c>
    </row>
    <row r="77" spans="1:7" ht="24">
      <c r="A77" s="3100">
        <v>5</v>
      </c>
      <c r="B77" s="3845"/>
      <c r="C77" s="3074" t="s">
        <v>2662</v>
      </c>
      <c r="D77" s="3074" t="s">
        <v>2663</v>
      </c>
      <c r="E77" s="3100">
        <v>0.15</v>
      </c>
      <c r="F77" s="3100">
        <v>20</v>
      </c>
    </row>
    <row r="78" spans="1:7" ht="24">
      <c r="A78" s="3100">
        <v>6</v>
      </c>
      <c r="B78" s="3845"/>
      <c r="C78" s="3074" t="s">
        <v>2664</v>
      </c>
      <c r="D78" s="3074" t="s">
        <v>2665</v>
      </c>
      <c r="E78" s="3100">
        <v>0.15</v>
      </c>
      <c r="F78" s="3100">
        <v>20</v>
      </c>
    </row>
    <row r="79" spans="1:7" ht="24">
      <c r="A79" s="3100">
        <v>7</v>
      </c>
      <c r="B79" s="3845"/>
      <c r="C79" s="3074" t="s">
        <v>2666</v>
      </c>
      <c r="D79" s="3074" t="s">
        <v>2667</v>
      </c>
      <c r="E79" s="3100">
        <v>0.15</v>
      </c>
      <c r="F79" s="3100">
        <v>20</v>
      </c>
    </row>
    <row r="80" spans="1:7" ht="24">
      <c r="A80" s="3100">
        <v>8</v>
      </c>
      <c r="B80" s="3845"/>
      <c r="C80" s="3074" t="s">
        <v>2668</v>
      </c>
      <c r="D80" s="3074" t="s">
        <v>2669</v>
      </c>
      <c r="E80" s="3100">
        <v>0.1</v>
      </c>
      <c r="F80" s="3100">
        <v>15</v>
      </c>
    </row>
    <row r="81" spans="1:6" ht="24">
      <c r="A81" s="3100">
        <v>9</v>
      </c>
      <c r="B81" s="3845"/>
      <c r="C81" s="3074" t="s">
        <v>2670</v>
      </c>
      <c r="D81" s="3074" t="s">
        <v>2671</v>
      </c>
      <c r="E81" s="3100">
        <v>0.1</v>
      </c>
      <c r="F81" s="3100">
        <v>15</v>
      </c>
    </row>
    <row r="82" spans="1:6" ht="24">
      <c r="A82" s="3100">
        <v>10</v>
      </c>
      <c r="B82" s="3845"/>
      <c r="C82" s="3074" t="s">
        <v>2672</v>
      </c>
      <c r="D82" s="3074" t="s">
        <v>2673</v>
      </c>
      <c r="E82" s="3100">
        <v>0.1</v>
      </c>
      <c r="F82" s="3100">
        <v>15</v>
      </c>
    </row>
    <row r="83" spans="1:6" ht="24">
      <c r="A83" s="3100">
        <v>11</v>
      </c>
      <c r="B83" s="3845"/>
      <c r="C83" s="3074" t="s">
        <v>2674</v>
      </c>
      <c r="D83" s="3074" t="s">
        <v>2675</v>
      </c>
      <c r="E83" s="3100">
        <v>0.1</v>
      </c>
      <c r="F83" s="3100">
        <v>15</v>
      </c>
    </row>
    <row r="84" spans="1:6" ht="24">
      <c r="A84" s="3100">
        <v>12</v>
      </c>
      <c r="B84" s="3845"/>
      <c r="C84" s="3074" t="s">
        <v>2676</v>
      </c>
      <c r="D84" s="3074" t="s">
        <v>2677</v>
      </c>
      <c r="E84" s="3100">
        <v>0.1</v>
      </c>
      <c r="F84" s="3100">
        <v>15</v>
      </c>
    </row>
    <row r="85" spans="1:6" ht="13.5">
      <c r="A85" s="3100">
        <v>13</v>
      </c>
      <c r="B85" s="3845"/>
      <c r="C85" s="3074" t="s">
        <v>2678</v>
      </c>
      <c r="D85" s="3074" t="s">
        <v>2679</v>
      </c>
      <c r="E85" s="3100">
        <v>0.1</v>
      </c>
      <c r="F85" s="3100">
        <v>15</v>
      </c>
    </row>
    <row r="86" spans="1:6" ht="13.5">
      <c r="A86" s="3100">
        <v>14</v>
      </c>
      <c r="B86" s="3845"/>
      <c r="C86" s="3074" t="s">
        <v>2680</v>
      </c>
      <c r="D86" s="3074" t="s">
        <v>2681</v>
      </c>
      <c r="E86" s="3100">
        <v>0.1</v>
      </c>
      <c r="F86" s="3100">
        <v>15</v>
      </c>
    </row>
    <row r="87" spans="1:6" ht="13.5">
      <c r="A87" s="3100">
        <v>15</v>
      </c>
      <c r="B87" s="3845"/>
      <c r="C87" s="3074" t="s">
        <v>2682</v>
      </c>
      <c r="D87" s="3074" t="s">
        <v>2683</v>
      </c>
      <c r="E87" s="3100">
        <v>0.1</v>
      </c>
      <c r="F87" s="3100">
        <v>15</v>
      </c>
    </row>
    <row r="88" spans="1:6" ht="24">
      <c r="A88" s="3100">
        <v>16</v>
      </c>
      <c r="B88" s="3845"/>
      <c r="C88" s="3074" t="s">
        <v>2684</v>
      </c>
      <c r="D88" s="3074" t="s">
        <v>2685</v>
      </c>
      <c r="E88" s="3100">
        <v>0.1</v>
      </c>
      <c r="F88" s="3100">
        <v>15</v>
      </c>
    </row>
    <row r="89" spans="1:6" ht="24">
      <c r="A89" s="3100">
        <v>17</v>
      </c>
      <c r="B89" s="3854"/>
      <c r="C89" s="3074" t="s">
        <v>2686</v>
      </c>
      <c r="D89" s="3074" t="s">
        <v>2687</v>
      </c>
      <c r="E89" s="3100">
        <v>0.1</v>
      </c>
      <c r="F89" s="3100">
        <v>15</v>
      </c>
    </row>
    <row r="90" spans="1:6" ht="13.5">
      <c r="A90" s="3100">
        <v>18</v>
      </c>
      <c r="B90" s="3850" t="s">
        <v>2688</v>
      </c>
      <c r="C90" s="3074" t="s">
        <v>2689</v>
      </c>
      <c r="D90" s="3074" t="s">
        <v>2690</v>
      </c>
      <c r="E90" s="3100">
        <v>0.2</v>
      </c>
      <c r="F90" s="3100">
        <v>25</v>
      </c>
    </row>
    <row r="91" spans="1:6" ht="24">
      <c r="A91" s="3100">
        <v>19</v>
      </c>
      <c r="B91" s="3845"/>
      <c r="C91" s="3074" t="s">
        <v>2691</v>
      </c>
      <c r="D91" s="3074" t="s">
        <v>2692</v>
      </c>
      <c r="E91" s="3100">
        <v>0.2</v>
      </c>
      <c r="F91" s="3100">
        <v>25</v>
      </c>
    </row>
    <row r="92" spans="1:6" ht="13.5">
      <c r="A92" s="3100">
        <v>20</v>
      </c>
      <c r="B92" s="3845"/>
      <c r="C92" s="3074" t="s">
        <v>2693</v>
      </c>
      <c r="D92" s="3074" t="s">
        <v>2694</v>
      </c>
      <c r="E92" s="3100">
        <v>0.15</v>
      </c>
      <c r="F92" s="3100">
        <v>20</v>
      </c>
    </row>
    <row r="93" spans="1:6" ht="13.5">
      <c r="A93" s="3100">
        <v>21</v>
      </c>
      <c r="B93" s="3845"/>
      <c r="C93" s="3074" t="s">
        <v>2695</v>
      </c>
      <c r="D93" s="3074" t="s">
        <v>2696</v>
      </c>
      <c r="E93" s="3100">
        <v>0.15</v>
      </c>
      <c r="F93" s="3100">
        <v>20</v>
      </c>
    </row>
    <row r="94" spans="1:6" ht="13.5">
      <c r="A94" s="3100">
        <v>22</v>
      </c>
      <c r="B94" s="3845"/>
      <c r="C94" s="3074" t="s">
        <v>2697</v>
      </c>
      <c r="D94" s="3074" t="s">
        <v>2698</v>
      </c>
      <c r="E94" s="3100">
        <v>0.15</v>
      </c>
      <c r="F94" s="3100">
        <v>20</v>
      </c>
    </row>
    <row r="95" spans="1:6" ht="36">
      <c r="A95" s="3100">
        <v>23</v>
      </c>
      <c r="B95" s="3845"/>
      <c r="C95" s="3074" t="s">
        <v>2699</v>
      </c>
      <c r="D95" s="3074" t="s">
        <v>2700</v>
      </c>
      <c r="E95" s="3100">
        <v>0.15</v>
      </c>
      <c r="F95" s="3100">
        <v>20</v>
      </c>
    </row>
    <row r="96" spans="1:6" ht="13.5">
      <c r="A96" s="3100">
        <v>24</v>
      </c>
      <c r="B96" s="3845"/>
      <c r="C96" s="3074" t="s">
        <v>2701</v>
      </c>
      <c r="D96" s="3074" t="s">
        <v>2702</v>
      </c>
      <c r="E96" s="3100">
        <v>0.1</v>
      </c>
      <c r="F96" s="3100">
        <v>15</v>
      </c>
    </row>
    <row r="97" spans="1:6" ht="13.5">
      <c r="A97" s="3100">
        <v>25</v>
      </c>
      <c r="B97" s="3845"/>
      <c r="C97" s="3074" t="s">
        <v>2703</v>
      </c>
      <c r="D97" s="3074" t="s">
        <v>2704</v>
      </c>
      <c r="E97" s="3100">
        <v>0.1</v>
      </c>
      <c r="F97" s="3100">
        <v>15</v>
      </c>
    </row>
    <row r="98" spans="1:6" ht="24">
      <c r="A98" s="3100">
        <v>26</v>
      </c>
      <c r="B98" s="3845"/>
      <c r="C98" s="3074" t="s">
        <v>2705</v>
      </c>
      <c r="D98" s="3074" t="s">
        <v>2706</v>
      </c>
      <c r="E98" s="3100">
        <v>0.1</v>
      </c>
      <c r="F98" s="3100">
        <v>15</v>
      </c>
    </row>
    <row r="99" spans="1:6" ht="24">
      <c r="A99" s="3100">
        <v>27</v>
      </c>
      <c r="B99" s="3845"/>
      <c r="C99" s="3074" t="s">
        <v>2707</v>
      </c>
      <c r="D99" s="3074" t="s">
        <v>2708</v>
      </c>
      <c r="E99" s="3100">
        <v>0.1</v>
      </c>
      <c r="F99" s="3100">
        <v>15</v>
      </c>
    </row>
    <row r="100" spans="1:6" ht="13.5">
      <c r="A100" s="3100">
        <v>28</v>
      </c>
      <c r="B100" s="3845"/>
      <c r="C100" s="3074" t="s">
        <v>2709</v>
      </c>
      <c r="D100" s="3074" t="s">
        <v>2710</v>
      </c>
      <c r="E100" s="3100">
        <v>0.1</v>
      </c>
      <c r="F100" s="3100">
        <v>15</v>
      </c>
    </row>
    <row r="101" spans="1:6" ht="13.5">
      <c r="A101" s="3100">
        <v>29</v>
      </c>
      <c r="B101" s="3845"/>
      <c r="C101" s="3074" t="s">
        <v>2711</v>
      </c>
      <c r="D101" s="3074" t="s">
        <v>2712</v>
      </c>
      <c r="E101" s="3100">
        <v>0.1</v>
      </c>
      <c r="F101" s="3100">
        <v>15</v>
      </c>
    </row>
    <row r="102" spans="1:6" ht="13.5">
      <c r="A102" s="3100">
        <v>30</v>
      </c>
      <c r="B102" s="3845"/>
      <c r="C102" s="3074" t="s">
        <v>2713</v>
      </c>
      <c r="D102" s="3074" t="s">
        <v>2714</v>
      </c>
      <c r="E102" s="3100">
        <v>0.1</v>
      </c>
      <c r="F102" s="3100">
        <v>15</v>
      </c>
    </row>
    <row r="103" spans="1:6" ht="24">
      <c r="A103" s="3100">
        <v>31</v>
      </c>
      <c r="B103" s="3845"/>
      <c r="C103" s="3074" t="s">
        <v>2715</v>
      </c>
      <c r="D103" s="3074" t="s">
        <v>2716</v>
      </c>
      <c r="E103" s="3100">
        <v>0.1</v>
      </c>
      <c r="F103" s="3100">
        <v>15</v>
      </c>
    </row>
    <row r="104" spans="1:6" ht="24">
      <c r="A104" s="3100">
        <v>32</v>
      </c>
      <c r="B104" s="3845"/>
      <c r="C104" s="3074" t="s">
        <v>2717</v>
      </c>
      <c r="D104" s="3074" t="s">
        <v>2718</v>
      </c>
      <c r="E104" s="3100">
        <v>0.1</v>
      </c>
      <c r="F104" s="3100">
        <v>15</v>
      </c>
    </row>
    <row r="105" spans="1:6" ht="24">
      <c r="A105" s="3100">
        <v>33</v>
      </c>
      <c r="B105" s="3845"/>
      <c r="C105" s="3074" t="s">
        <v>2719</v>
      </c>
      <c r="D105" s="3074" t="s">
        <v>2720</v>
      </c>
      <c r="E105" s="3100">
        <v>0.1</v>
      </c>
      <c r="F105" s="3100">
        <v>15</v>
      </c>
    </row>
    <row r="106" spans="1:6" ht="24">
      <c r="A106" s="3100">
        <v>34</v>
      </c>
      <c r="B106" s="3854"/>
      <c r="C106" s="3074" t="s">
        <v>2721</v>
      </c>
      <c r="D106" s="3074" t="s">
        <v>2722</v>
      </c>
      <c r="E106" s="3100">
        <v>0.1</v>
      </c>
      <c r="F106" s="3100">
        <v>15</v>
      </c>
    </row>
    <row r="107" spans="1:6" ht="24">
      <c r="A107" s="3100">
        <v>35</v>
      </c>
      <c r="B107" s="3850" t="s">
        <v>2723</v>
      </c>
      <c r="C107" s="3100" t="s">
        <v>2724</v>
      </c>
      <c r="D107" s="3074" t="s">
        <v>2725</v>
      </c>
      <c r="E107" s="3100">
        <v>0.15</v>
      </c>
      <c r="F107" s="3100">
        <v>20</v>
      </c>
    </row>
    <row r="108" spans="1:6" ht="13.5">
      <c r="A108" s="3100">
        <v>36</v>
      </c>
      <c r="B108" s="3845"/>
      <c r="C108" s="3100" t="s">
        <v>2726</v>
      </c>
      <c r="D108" s="3074" t="s">
        <v>2727</v>
      </c>
      <c r="E108" s="3100">
        <v>0.15</v>
      </c>
      <c r="F108" s="3100">
        <v>20</v>
      </c>
    </row>
    <row r="109" spans="1:6" ht="13.5">
      <c r="A109" s="3100">
        <v>37</v>
      </c>
      <c r="B109" s="3845"/>
      <c r="C109" s="3100" t="s">
        <v>2728</v>
      </c>
      <c r="D109" s="3074" t="s">
        <v>2729</v>
      </c>
      <c r="E109" s="3100">
        <v>0.15</v>
      </c>
      <c r="F109" s="3100">
        <v>20</v>
      </c>
    </row>
    <row r="110" spans="1:6" ht="13.5">
      <c r="A110" s="3100">
        <v>38</v>
      </c>
      <c r="B110" s="3845"/>
      <c r="C110" s="3100" t="s">
        <v>2730</v>
      </c>
      <c r="D110" s="3074" t="s">
        <v>2731</v>
      </c>
      <c r="E110" s="3100">
        <v>0.1</v>
      </c>
      <c r="F110" s="3100">
        <v>15</v>
      </c>
    </row>
    <row r="111" spans="1:6" ht="24">
      <c r="A111" s="3100">
        <v>39</v>
      </c>
      <c r="B111" s="3845"/>
      <c r="C111" s="3100" t="s">
        <v>2732</v>
      </c>
      <c r="D111" s="3074" t="s">
        <v>2733</v>
      </c>
      <c r="E111" s="3100">
        <v>0.1</v>
      </c>
      <c r="F111" s="3100">
        <v>15</v>
      </c>
    </row>
    <row r="112" spans="1:6" ht="24">
      <c r="A112" s="3100">
        <v>40</v>
      </c>
      <c r="B112" s="3854"/>
      <c r="C112" s="3100" t="s">
        <v>2734</v>
      </c>
      <c r="D112" s="3074" t="s">
        <v>2735</v>
      </c>
      <c r="E112" s="3100">
        <v>0.1</v>
      </c>
      <c r="F112" s="3100">
        <v>15</v>
      </c>
    </row>
    <row r="113" spans="1:6" ht="13.5">
      <c r="A113" s="3100">
        <v>41</v>
      </c>
      <c r="B113" s="3855" t="s">
        <v>2736</v>
      </c>
      <c r="C113" s="3100" t="s">
        <v>2737</v>
      </c>
      <c r="D113" s="3074" t="s">
        <v>2738</v>
      </c>
      <c r="E113" s="3100">
        <v>0.1</v>
      </c>
      <c r="F113" s="3100">
        <v>15</v>
      </c>
    </row>
    <row r="114" spans="1:6" ht="13.5">
      <c r="A114" s="3100">
        <v>42</v>
      </c>
      <c r="B114" s="3855"/>
      <c r="C114" s="3100" t="s">
        <v>2739</v>
      </c>
      <c r="D114" s="3074" t="s">
        <v>2740</v>
      </c>
      <c r="E114" s="3100">
        <v>0.1</v>
      </c>
      <c r="F114" s="3100">
        <v>15</v>
      </c>
    </row>
    <row r="115" spans="1:6" ht="24">
      <c r="A115" s="3100">
        <v>43</v>
      </c>
      <c r="B115" s="3855"/>
      <c r="C115" s="3100" t="s">
        <v>2741</v>
      </c>
      <c r="D115" s="3074" t="s">
        <v>2742</v>
      </c>
      <c r="E115" s="3100">
        <v>0.1</v>
      </c>
      <c r="F115" s="3100">
        <v>15</v>
      </c>
    </row>
    <row r="116" spans="1:6" ht="13.5">
      <c r="A116" s="3100">
        <v>44</v>
      </c>
      <c r="B116" s="3850" t="s">
        <v>2743</v>
      </c>
      <c r="C116" s="3100" t="s">
        <v>2744</v>
      </c>
      <c r="D116" s="3074" t="s">
        <v>2745</v>
      </c>
      <c r="E116" s="3100">
        <v>0.1</v>
      </c>
      <c r="F116" s="3100">
        <v>15</v>
      </c>
    </row>
    <row r="117" spans="1:6" ht="24">
      <c r="A117" s="3100">
        <v>45</v>
      </c>
      <c r="B117" s="3854"/>
      <c r="C117" s="3074" t="s">
        <v>2746</v>
      </c>
      <c r="D117" s="3074" t="s">
        <v>2747</v>
      </c>
      <c r="E117" s="3100">
        <v>0.1</v>
      </c>
      <c r="F117" s="3100">
        <v>15</v>
      </c>
    </row>
    <row r="118" spans="1:6" ht="24">
      <c r="A118" s="3100">
        <v>46</v>
      </c>
      <c r="B118" s="3850" t="s">
        <v>2748</v>
      </c>
      <c r="C118" s="3100" t="s">
        <v>2749</v>
      </c>
      <c r="D118" s="3074" t="s">
        <v>2750</v>
      </c>
      <c r="E118" s="3100">
        <v>0.1</v>
      </c>
      <c r="F118" s="3100">
        <v>15</v>
      </c>
    </row>
    <row r="119" spans="1:6" ht="24">
      <c r="A119" s="3100">
        <v>47</v>
      </c>
      <c r="B119" s="3854"/>
      <c r="C119" s="3100" t="s">
        <v>2751</v>
      </c>
      <c r="D119" s="3074" t="s">
        <v>2752</v>
      </c>
      <c r="E119" s="3100">
        <v>0.1</v>
      </c>
      <c r="F119" s="3100">
        <v>15</v>
      </c>
    </row>
    <row r="120" spans="1:6" ht="13.5">
      <c r="A120" s="3100">
        <v>48</v>
      </c>
      <c r="B120" s="3850" t="s">
        <v>2753</v>
      </c>
      <c r="C120" s="3100" t="s">
        <v>2754</v>
      </c>
      <c r="D120" s="3074" t="s">
        <v>2755</v>
      </c>
      <c r="E120" s="3100">
        <v>0.1</v>
      </c>
      <c r="F120" s="3100">
        <v>15</v>
      </c>
    </row>
    <row r="121" spans="1:6" ht="13.5">
      <c r="A121" s="3100">
        <v>49</v>
      </c>
      <c r="B121" s="3854"/>
      <c r="C121" s="3100" t="s">
        <v>2756</v>
      </c>
      <c r="D121" s="3074" t="s">
        <v>2757</v>
      </c>
      <c r="E121" s="3100">
        <v>0.1</v>
      </c>
      <c r="F121" s="3100">
        <v>15</v>
      </c>
    </row>
    <row r="122" spans="1:6" ht="24">
      <c r="A122" s="3100">
        <v>50</v>
      </c>
      <c r="B122" s="3855" t="s">
        <v>2758</v>
      </c>
      <c r="C122" s="3100" t="s">
        <v>2759</v>
      </c>
      <c r="D122" s="3074" t="s">
        <v>2760</v>
      </c>
      <c r="E122" s="3100">
        <v>0.1</v>
      </c>
      <c r="F122" s="3100">
        <v>15</v>
      </c>
    </row>
    <row r="123" spans="1:6" ht="24">
      <c r="A123" s="3100">
        <v>51</v>
      </c>
      <c r="B123" s="3855"/>
      <c r="C123" s="3100" t="s">
        <v>2761</v>
      </c>
      <c r="D123" s="3074" t="s">
        <v>2762</v>
      </c>
      <c r="E123" s="3100">
        <v>0.1</v>
      </c>
      <c r="F123" s="3100">
        <v>15</v>
      </c>
    </row>
    <row r="124" spans="1:6" ht="24">
      <c r="A124" s="3100">
        <v>52</v>
      </c>
      <c r="B124" s="3855" t="s">
        <v>2763</v>
      </c>
      <c r="C124" s="3100" t="s">
        <v>2764</v>
      </c>
      <c r="D124" s="3074" t="s">
        <v>2765</v>
      </c>
      <c r="E124" s="3100">
        <v>0.1</v>
      </c>
      <c r="F124" s="3100">
        <v>15</v>
      </c>
    </row>
    <row r="125" spans="1:6" ht="24">
      <c r="A125" s="3100">
        <v>53</v>
      </c>
      <c r="B125" s="3855"/>
      <c r="C125" s="3100" t="s">
        <v>2766</v>
      </c>
      <c r="D125" s="3074" t="s">
        <v>2767</v>
      </c>
      <c r="E125" s="3100">
        <v>0.1</v>
      </c>
      <c r="F125" s="3100">
        <v>15</v>
      </c>
    </row>
    <row r="126" spans="1:6" ht="13.5">
      <c r="A126" s="3100">
        <v>54</v>
      </c>
      <c r="B126" s="3100" t="s">
        <v>2768</v>
      </c>
      <c r="C126" s="3100" t="s">
        <v>2769</v>
      </c>
      <c r="D126" s="3074" t="s">
        <v>2770</v>
      </c>
      <c r="E126" s="3100">
        <v>0.1</v>
      </c>
      <c r="F126" s="3100">
        <v>15</v>
      </c>
    </row>
    <row r="127" spans="1:6" ht="13.5">
      <c r="A127" s="3100">
        <v>55</v>
      </c>
      <c r="B127" s="3855" t="s">
        <v>2771</v>
      </c>
      <c r="C127" s="3100" t="s">
        <v>2772</v>
      </c>
      <c r="D127" s="3074" t="s">
        <v>2773</v>
      </c>
      <c r="E127" s="3100">
        <v>0.1</v>
      </c>
      <c r="F127" s="3100">
        <v>15</v>
      </c>
    </row>
    <row r="128" spans="1:6" ht="13.5">
      <c r="A128" s="3100">
        <v>56</v>
      </c>
      <c r="B128" s="3855"/>
      <c r="C128" s="3100" t="s">
        <v>2774</v>
      </c>
      <c r="D128" s="3074" t="s">
        <v>2775</v>
      </c>
      <c r="E128" s="3100">
        <v>0.1</v>
      </c>
      <c r="F128" s="3100">
        <v>15</v>
      </c>
    </row>
    <row r="129" spans="1:6" ht="24">
      <c r="A129" s="3100">
        <v>57</v>
      </c>
      <c r="B129" s="3855"/>
      <c r="C129" s="3100" t="s">
        <v>2776</v>
      </c>
      <c r="D129" s="3074" t="s">
        <v>2777</v>
      </c>
      <c r="E129" s="3100">
        <v>0.1</v>
      </c>
      <c r="F129" s="3100">
        <v>15</v>
      </c>
    </row>
    <row r="130" spans="1:6" ht="24">
      <c r="A130" s="3100">
        <v>58</v>
      </c>
      <c r="B130" s="3855" t="s">
        <v>2778</v>
      </c>
      <c r="C130" s="3100" t="s">
        <v>2779</v>
      </c>
      <c r="D130" s="3074" t="s">
        <v>2780</v>
      </c>
      <c r="E130" s="3100">
        <v>0.1</v>
      </c>
      <c r="F130" s="3100">
        <v>15</v>
      </c>
    </row>
    <row r="131" spans="1:6" ht="13.5">
      <c r="A131" s="3100">
        <v>59</v>
      </c>
      <c r="B131" s="3855"/>
      <c r="C131" s="3100" t="s">
        <v>2781</v>
      </c>
      <c r="D131" s="3074" t="s">
        <v>2782</v>
      </c>
      <c r="E131" s="3100">
        <v>0.1</v>
      </c>
      <c r="F131" s="3100">
        <v>15</v>
      </c>
    </row>
    <row r="132" spans="1:6" ht="13.5">
      <c r="A132" s="3100">
        <v>60</v>
      </c>
      <c r="B132" s="3850" t="s">
        <v>2783</v>
      </c>
      <c r="C132" s="3100" t="s">
        <v>2784</v>
      </c>
      <c r="D132" s="3074" t="s">
        <v>2785</v>
      </c>
      <c r="E132" s="3100">
        <v>0.1</v>
      </c>
      <c r="F132" s="3100">
        <v>15</v>
      </c>
    </row>
    <row r="133" spans="1:6" ht="13.5">
      <c r="A133" s="3100">
        <v>61</v>
      </c>
      <c r="B133" s="3854"/>
      <c r="C133" s="3100" t="s">
        <v>2786</v>
      </c>
      <c r="D133" s="3074" t="s">
        <v>2787</v>
      </c>
      <c r="E133" s="3100">
        <v>0.1</v>
      </c>
      <c r="F133" s="3100">
        <v>15</v>
      </c>
    </row>
    <row r="134" spans="1:6" ht="24">
      <c r="A134" s="3100">
        <v>62</v>
      </c>
      <c r="B134" s="3100" t="s">
        <v>2788</v>
      </c>
      <c r="C134" s="3100" t="s">
        <v>2789</v>
      </c>
      <c r="D134" s="3074" t="s">
        <v>2790</v>
      </c>
      <c r="E134" s="3100">
        <v>0.1</v>
      </c>
      <c r="F134" s="3100">
        <v>15</v>
      </c>
    </row>
    <row r="135" spans="1:6" ht="13.5">
      <c r="A135" s="3100">
        <v>63</v>
      </c>
      <c r="B135" s="3855" t="s">
        <v>2791</v>
      </c>
      <c r="C135" s="3100" t="s">
        <v>2792</v>
      </c>
      <c r="D135" s="3074" t="s">
        <v>2793</v>
      </c>
      <c r="E135" s="3100">
        <v>0.1</v>
      </c>
      <c r="F135" s="3100">
        <v>15</v>
      </c>
    </row>
    <row r="136" spans="1:6" ht="13.5">
      <c r="A136" s="3100">
        <v>64</v>
      </c>
      <c r="B136" s="3855"/>
      <c r="C136" s="3100" t="s">
        <v>2794</v>
      </c>
      <c r="D136" s="3074" t="s">
        <v>2795</v>
      </c>
      <c r="E136" s="3100">
        <v>0.1</v>
      </c>
      <c r="F136" s="3100">
        <v>15</v>
      </c>
    </row>
    <row r="137" spans="1:6" ht="13.5">
      <c r="A137" s="3100">
        <v>65</v>
      </c>
      <c r="B137" s="3100" t="s">
        <v>2796</v>
      </c>
      <c r="C137" s="3100" t="s">
        <v>2797</v>
      </c>
      <c r="D137" s="3074" t="s">
        <v>2798</v>
      </c>
      <c r="E137" s="3100">
        <v>0.1</v>
      </c>
      <c r="F137" s="3100">
        <v>15</v>
      </c>
    </row>
    <row r="138" spans="1:6" ht="13.5">
      <c r="A138" s="3100"/>
      <c r="B138" s="3100"/>
      <c r="C138" s="3100"/>
      <c r="D138" s="3100"/>
      <c r="E138" s="3100" t="s">
        <v>2799</v>
      </c>
      <c r="F138" s="3100"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3"/>
      <c r="C2" s="3543"/>
      <c r="D2" s="3543"/>
      <c r="E2" s="3543"/>
    </row>
    <row r="3" spans="1:5" ht="18">
      <c r="A3" s="3544" t="str">
        <f>IF(项目基本情况!B9="房地产市场价值","估价结果一览表（市场价值不需“结果表-1”）","估价结果一览表")</f>
        <v>估价结果一览表</v>
      </c>
      <c r="B3" s="3544"/>
      <c r="C3" s="3544"/>
      <c r="D3" s="3544"/>
      <c r="E3" s="3544"/>
    </row>
    <row r="4" spans="1:5" ht="19.5" thickBot="1">
      <c r="A4" s="1493"/>
      <c r="B4" s="3542" t="s">
        <v>917</v>
      </c>
      <c r="C4" s="3542"/>
      <c r="D4" s="3542"/>
      <c r="E4" s="1493"/>
    </row>
    <row r="5" spans="1:5" ht="16.5" thickTop="1">
      <c r="A5" s="1491"/>
      <c r="B5" s="3540" t="s">
        <v>909</v>
      </c>
      <c r="C5" s="1494" t="s">
        <v>910</v>
      </c>
      <c r="D5" s="850">
        <f ca="1">结果表!H101</f>
        <v>153414</v>
      </c>
      <c r="E5" s="1491"/>
    </row>
    <row r="6" spans="1:5" ht="15.75">
      <c r="A6" s="1491"/>
      <c r="B6" s="3540"/>
      <c r="C6" s="1494" t="s">
        <v>911</v>
      </c>
      <c r="D6" s="850" t="str">
        <f ca="1">NUMBERSTRING(INT(D5*10000),2)&amp;"元整"</f>
        <v>壹拾伍亿叁仟肆佰壹拾肆万元整</v>
      </c>
      <c r="E6" s="1491"/>
    </row>
    <row r="7" spans="1:5" ht="15.75">
      <c r="A7" s="1491"/>
      <c r="B7" s="3545"/>
      <c r="C7" s="1495" t="s">
        <v>912</v>
      </c>
      <c r="D7" s="851">
        <f ca="1">结果表!H102</f>
        <v>56199</v>
      </c>
      <c r="E7" s="1491"/>
    </row>
    <row r="8" spans="1:5" ht="15.75">
      <c r="A8" s="1491"/>
      <c r="B8" s="3546" t="str">
        <f>结果表!E103</f>
        <v>2.估价师知悉的法定优先受偿款</v>
      </c>
      <c r="C8" s="1496" t="s">
        <v>913</v>
      </c>
      <c r="D8" s="851">
        <f>结果表!H103</f>
        <v>0</v>
      </c>
      <c r="E8" s="1491"/>
    </row>
    <row r="9" spans="1:5" ht="15.75">
      <c r="A9" s="1491"/>
      <c r="B9" s="354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39" t="str">
        <f>结果表!E107</f>
        <v>3.房地产抵押价值</v>
      </c>
      <c r="C13" s="1499" t="s">
        <v>910</v>
      </c>
      <c r="D13" s="853">
        <f ca="1">结果表!H107</f>
        <v>153414</v>
      </c>
      <c r="E13" s="1491"/>
    </row>
    <row r="14" spans="1:5" ht="15.75">
      <c r="A14" s="1491"/>
      <c r="B14" s="3540"/>
      <c r="C14" s="1494" t="s">
        <v>911</v>
      </c>
      <c r="D14" s="850" t="str">
        <f ca="1">NUMBERSTRING(INT(D13*10000),2)&amp;"元整"</f>
        <v>壹拾伍亿叁仟肆佰壹拾肆万元整</v>
      </c>
      <c r="E14" s="1491"/>
    </row>
    <row r="15" spans="1:5" ht="15">
      <c r="A15" s="1491"/>
      <c r="B15" s="3545"/>
      <c r="C15" s="1495" t="s">
        <v>921</v>
      </c>
      <c r="D15" s="859">
        <f ca="1">结果表!H108</f>
        <v>56199</v>
      </c>
      <c r="E15" s="1491"/>
    </row>
    <row r="16" spans="1:5" ht="15">
      <c r="A16" s="1491"/>
      <c r="B16" s="3546" t="str">
        <f>结果表!E109</f>
        <v>——</v>
      </c>
      <c r="C16" s="1499" t="s">
        <v>922</v>
      </c>
      <c r="D16" s="1500" t="str">
        <f>结果表!H109</f>
        <v>——</v>
      </c>
      <c r="E16" s="1491"/>
    </row>
    <row r="17" spans="1:5" ht="15.75">
      <c r="A17" s="1491"/>
      <c r="B17" s="3547"/>
      <c r="C17" s="1494" t="s">
        <v>923</v>
      </c>
      <c r="D17" s="850" t="e">
        <f>NUMBERSTRING(INT(D16*10000),2)&amp;"元整"</f>
        <v>#VALUE!</v>
      </c>
      <c r="E17" s="1491"/>
    </row>
    <row r="18" spans="1:5" ht="15">
      <c r="A18" s="1491"/>
      <c r="B18" s="3548"/>
      <c r="C18" s="1495" t="s">
        <v>912</v>
      </c>
      <c r="D18" s="859" t="str">
        <f>结果表!H110</f>
        <v>——</v>
      </c>
      <c r="E18" s="1491"/>
    </row>
    <row r="19" spans="1:5" ht="15.75">
      <c r="A19" s="1491"/>
      <c r="B19" s="3539" t="str">
        <f>结果表!E111</f>
        <v>4.抵押净值</v>
      </c>
      <c r="C19" s="1499" t="s">
        <v>910</v>
      </c>
      <c r="D19" s="851">
        <f ca="1">结果表!H111</f>
        <v>135935</v>
      </c>
      <c r="E19" s="1491"/>
    </row>
    <row r="20" spans="1:5" ht="15.75">
      <c r="A20" s="1491"/>
      <c r="B20" s="3540"/>
      <c r="C20" s="1494" t="s">
        <v>923</v>
      </c>
      <c r="D20" s="850" t="str">
        <f ca="1">NUMBERSTRING(INT(D19*10000),2)&amp;"元整"</f>
        <v>壹拾叁亿伍仟玖佰叁拾伍万元整</v>
      </c>
      <c r="E20" s="1491"/>
    </row>
    <row r="21" spans="1:5" ht="15.75" thickBot="1">
      <c r="A21" s="1491"/>
      <c r="B21" s="3541"/>
      <c r="C21" s="1501" t="s">
        <v>921</v>
      </c>
      <c r="D21" s="860">
        <f ca="1">结果表!H112</f>
        <v>49796</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3"/>
    <col min="14" max="16384" width="9" style="750"/>
  </cols>
  <sheetData>
    <row r="1" spans="1:20" ht="15" thickBot="1">
      <c r="A1" s="3109" t="s">
        <v>2800</v>
      </c>
      <c r="B1" s="3109"/>
      <c r="C1" s="3109"/>
      <c r="D1" s="3109"/>
      <c r="E1" s="3109"/>
      <c r="F1" s="3109"/>
      <c r="G1" s="3109"/>
      <c r="H1" s="3109"/>
      <c r="I1" s="3109"/>
      <c r="J1" s="3109"/>
      <c r="K1" s="3109"/>
      <c r="L1" s="3109"/>
      <c r="M1" s="3109"/>
      <c r="N1" s="749"/>
    </row>
    <row r="2" spans="1:20">
      <c r="A2" s="3110" t="s">
        <v>2801</v>
      </c>
      <c r="B2" s="3111" t="s">
        <v>2597</v>
      </c>
      <c r="C2" s="3111" t="s">
        <v>2598</v>
      </c>
      <c r="D2" s="3111" t="s">
        <v>2599</v>
      </c>
      <c r="E2" s="3111" t="s">
        <v>2600</v>
      </c>
      <c r="F2" s="3111" t="s">
        <v>2601</v>
      </c>
      <c r="G2" s="3111" t="s">
        <v>2602</v>
      </c>
      <c r="H2" s="3112" t="s">
        <v>2603</v>
      </c>
      <c r="I2" s="3112" t="s">
        <v>2604</v>
      </c>
      <c r="J2" s="3113" t="s">
        <v>2605</v>
      </c>
      <c r="K2" s="3113" t="s">
        <v>2606</v>
      </c>
      <c r="L2" s="3113" t="s">
        <v>2607</v>
      </c>
      <c r="M2" s="3114" t="s">
        <v>2608</v>
      </c>
      <c r="Q2" s="3124" t="s">
        <v>2806</v>
      </c>
      <c r="R2" s="3124" t="s">
        <v>2807</v>
      </c>
      <c r="S2" s="3124" t="s">
        <v>2808</v>
      </c>
      <c r="T2" s="3124" t="s">
        <v>2809</v>
      </c>
    </row>
    <row r="3" spans="1:20">
      <c r="A3" s="3115">
        <v>1</v>
      </c>
      <c r="B3" s="3116">
        <v>1.2574000000000001</v>
      </c>
      <c r="C3" s="3116">
        <v>1.2574000000000001</v>
      </c>
      <c r="D3" s="3116">
        <v>1.2299</v>
      </c>
      <c r="E3" s="3116">
        <v>1.2299</v>
      </c>
      <c r="F3" s="3116">
        <v>1.2299</v>
      </c>
      <c r="G3" s="3116">
        <v>1.2299</v>
      </c>
      <c r="H3" s="3116">
        <v>1.2299</v>
      </c>
      <c r="I3" s="3116">
        <v>1.2333000000000001</v>
      </c>
      <c r="J3" s="3116">
        <v>1.2333000000000001</v>
      </c>
      <c r="K3" s="3116">
        <v>1.2333000000000001</v>
      </c>
      <c r="L3" s="3116">
        <v>1.2333000000000001</v>
      </c>
      <c r="M3" s="3117">
        <v>1.2333000000000001</v>
      </c>
      <c r="N3" s="751"/>
      <c r="Q3" s="3124">
        <v>10</v>
      </c>
      <c r="R3" s="3124">
        <f>ROUND(0.9968-0.011*Q3,4)</f>
        <v>0.88680000000000003</v>
      </c>
      <c r="S3" s="3124">
        <f>ROUND(0.949-0.014*Q3,4)</f>
        <v>0.80900000000000005</v>
      </c>
      <c r="T3" s="3124">
        <f>ROUND(0.8486-0.018*Q3,4)</f>
        <v>0.66859999999999997</v>
      </c>
    </row>
    <row r="4" spans="1:20">
      <c r="A4" s="3115">
        <v>1.1000000000000001</v>
      </c>
      <c r="B4" s="3116">
        <v>1.2283999999999999</v>
      </c>
      <c r="C4" s="3116">
        <v>1.2283999999999999</v>
      </c>
      <c r="D4" s="3116">
        <v>1.1984999999999999</v>
      </c>
      <c r="E4" s="3116">
        <v>1.1984999999999999</v>
      </c>
      <c r="F4" s="3116">
        <v>1.1984999999999999</v>
      </c>
      <c r="G4" s="3116">
        <v>1.1984999999999999</v>
      </c>
      <c r="H4" s="3116">
        <v>1.1984999999999999</v>
      </c>
      <c r="I4" s="3116">
        <v>1.1899</v>
      </c>
      <c r="J4" s="3116">
        <v>1.1899</v>
      </c>
      <c r="K4" s="3116">
        <v>1.1899</v>
      </c>
      <c r="L4" s="3116">
        <v>1.1899</v>
      </c>
      <c r="M4" s="3117">
        <v>1.1899</v>
      </c>
    </row>
    <row r="5" spans="1:20">
      <c r="A5" s="3115">
        <v>1.2</v>
      </c>
      <c r="B5" s="3116">
        <v>1.2031000000000001</v>
      </c>
      <c r="C5" s="3116">
        <v>1.2031000000000001</v>
      </c>
      <c r="D5" s="3116">
        <v>1.1711</v>
      </c>
      <c r="E5" s="3116">
        <v>1.1711</v>
      </c>
      <c r="F5" s="3116">
        <v>1.1711</v>
      </c>
      <c r="G5" s="3116">
        <v>1.1711</v>
      </c>
      <c r="H5" s="3116">
        <v>1.1711</v>
      </c>
      <c r="I5" s="3116">
        <v>1.1528</v>
      </c>
      <c r="J5" s="3116">
        <v>1.1528</v>
      </c>
      <c r="K5" s="3116">
        <v>1.1528</v>
      </c>
      <c r="L5" s="3116">
        <v>1.1528</v>
      </c>
      <c r="M5" s="3117">
        <v>1.1528</v>
      </c>
    </row>
    <row r="6" spans="1:20">
      <c r="A6" s="3115">
        <v>1.3</v>
      </c>
      <c r="B6" s="3116">
        <v>1.1811</v>
      </c>
      <c r="C6" s="3116">
        <v>1.1811</v>
      </c>
      <c r="D6" s="3116">
        <v>1.1472</v>
      </c>
      <c r="E6" s="3116">
        <v>1.1472</v>
      </c>
      <c r="F6" s="3116">
        <v>1.1472</v>
      </c>
      <c r="G6" s="3116">
        <v>1.1472</v>
      </c>
      <c r="H6" s="3116">
        <v>1.1472</v>
      </c>
      <c r="I6" s="3116">
        <v>1.1214</v>
      </c>
      <c r="J6" s="3116">
        <v>1.1214</v>
      </c>
      <c r="K6" s="3116">
        <v>1.1214</v>
      </c>
      <c r="L6" s="3116">
        <v>1.1214</v>
      </c>
      <c r="M6" s="3117">
        <v>1.1214</v>
      </c>
    </row>
    <row r="7" spans="1:20">
      <c r="A7" s="3115">
        <v>1.4</v>
      </c>
      <c r="B7" s="3116">
        <v>1.1619999999999999</v>
      </c>
      <c r="C7" s="3116">
        <v>1.1619999999999999</v>
      </c>
      <c r="D7" s="3116">
        <v>1.1265000000000001</v>
      </c>
      <c r="E7" s="3116">
        <v>1.1265000000000001</v>
      </c>
      <c r="F7" s="3116">
        <v>1.1265000000000001</v>
      </c>
      <c r="G7" s="3116">
        <v>1.1265000000000001</v>
      </c>
      <c r="H7" s="3116">
        <v>1.1265000000000001</v>
      </c>
      <c r="I7" s="3116">
        <v>1.0948</v>
      </c>
      <c r="J7" s="3116">
        <v>1.0948</v>
      </c>
      <c r="K7" s="3116">
        <v>1.0948</v>
      </c>
      <c r="L7" s="3116">
        <v>1.0948</v>
      </c>
      <c r="M7" s="3117">
        <v>1.0948</v>
      </c>
    </row>
    <row r="8" spans="1:20">
      <c r="A8" s="3115">
        <v>1.5</v>
      </c>
      <c r="B8" s="3116">
        <v>1.1453</v>
      </c>
      <c r="C8" s="3116">
        <v>1.1453</v>
      </c>
      <c r="D8" s="3116">
        <v>1.1084000000000001</v>
      </c>
      <c r="E8" s="3116">
        <v>1.1084000000000001</v>
      </c>
      <c r="F8" s="3116">
        <v>1.1084000000000001</v>
      </c>
      <c r="G8" s="3116">
        <v>1.1084000000000001</v>
      </c>
      <c r="H8" s="3116">
        <v>1.1084000000000001</v>
      </c>
      <c r="I8" s="3116">
        <v>1.0725</v>
      </c>
      <c r="J8" s="3116">
        <v>1.0725</v>
      </c>
      <c r="K8" s="3116">
        <v>1.0725</v>
      </c>
      <c r="L8" s="3116">
        <v>1.0725</v>
      </c>
      <c r="M8" s="3117">
        <v>1.0725</v>
      </c>
    </row>
    <row r="9" spans="1:20">
      <c r="A9" s="3115">
        <v>1.6</v>
      </c>
      <c r="B9" s="3116">
        <v>1.1306</v>
      </c>
      <c r="C9" s="3116">
        <v>1.1306</v>
      </c>
      <c r="D9" s="3116">
        <v>1.0924</v>
      </c>
      <c r="E9" s="3116">
        <v>1.0924</v>
      </c>
      <c r="F9" s="3116">
        <v>1.0924</v>
      </c>
      <c r="G9" s="3116">
        <v>1.0924</v>
      </c>
      <c r="H9" s="3116">
        <v>1.0924</v>
      </c>
      <c r="I9" s="3116">
        <v>1.0538000000000001</v>
      </c>
      <c r="J9" s="3116">
        <v>1.0538000000000001</v>
      </c>
      <c r="K9" s="3116">
        <v>1.0538000000000001</v>
      </c>
      <c r="L9" s="3116">
        <v>1.0538000000000001</v>
      </c>
      <c r="M9" s="3117">
        <v>1.0538000000000001</v>
      </c>
    </row>
    <row r="10" spans="1:20">
      <c r="A10" s="3115">
        <v>1.7</v>
      </c>
      <c r="B10" s="3116">
        <v>1.1175999999999999</v>
      </c>
      <c r="C10" s="3116">
        <v>1.1175999999999999</v>
      </c>
      <c r="D10" s="3116">
        <v>1.0783</v>
      </c>
      <c r="E10" s="3116">
        <v>1.0783</v>
      </c>
      <c r="F10" s="3116">
        <v>1.0783</v>
      </c>
      <c r="G10" s="3116">
        <v>1.0783</v>
      </c>
      <c r="H10" s="3116">
        <v>1.0783</v>
      </c>
      <c r="I10" s="3116">
        <v>1.0379</v>
      </c>
      <c r="J10" s="3116">
        <v>1.0379</v>
      </c>
      <c r="K10" s="3116">
        <v>1.0379</v>
      </c>
      <c r="L10" s="3116">
        <v>1.0379</v>
      </c>
      <c r="M10" s="3117">
        <v>1.0379</v>
      </c>
    </row>
    <row r="11" spans="1:20">
      <c r="A11" s="3115">
        <v>1.8</v>
      </c>
      <c r="B11" s="3116">
        <v>1.1057999999999999</v>
      </c>
      <c r="C11" s="3116">
        <v>1.1057999999999999</v>
      </c>
      <c r="D11" s="3116">
        <v>1.0653999999999999</v>
      </c>
      <c r="E11" s="3116">
        <v>1.0653999999999999</v>
      </c>
      <c r="F11" s="3116">
        <v>1.0653999999999999</v>
      </c>
      <c r="G11" s="3116">
        <v>1.0653999999999999</v>
      </c>
      <c r="H11" s="3116">
        <v>1.0653999999999999</v>
      </c>
      <c r="I11" s="3116">
        <v>1.0241</v>
      </c>
      <c r="J11" s="3116">
        <v>1.0241</v>
      </c>
      <c r="K11" s="3116">
        <v>1.0241</v>
      </c>
      <c r="L11" s="3116">
        <v>1.0241</v>
      </c>
      <c r="M11" s="3117">
        <v>1.0241</v>
      </c>
    </row>
    <row r="12" spans="1:20">
      <c r="A12" s="3115">
        <v>1.9</v>
      </c>
      <c r="B12" s="3116">
        <v>1.0949</v>
      </c>
      <c r="C12" s="3116">
        <v>1.0949</v>
      </c>
      <c r="D12" s="3116">
        <v>1.0537000000000001</v>
      </c>
      <c r="E12" s="3116">
        <v>1.0537000000000001</v>
      </c>
      <c r="F12" s="3116">
        <v>1.0537000000000001</v>
      </c>
      <c r="G12" s="3116">
        <v>1.0537000000000001</v>
      </c>
      <c r="H12" s="3116">
        <v>1.0537000000000001</v>
      </c>
      <c r="I12" s="3116">
        <v>1.0117</v>
      </c>
      <c r="J12" s="3116">
        <v>1.0117</v>
      </c>
      <c r="K12" s="3116">
        <v>1.0117</v>
      </c>
      <c r="L12" s="3116">
        <v>1.0117</v>
      </c>
      <c r="M12" s="3117">
        <v>1.0117</v>
      </c>
    </row>
    <row r="13" spans="1:20">
      <c r="A13" s="3115">
        <v>2</v>
      </c>
      <c r="B13" s="3116">
        <v>1.0847</v>
      </c>
      <c r="C13" s="3116">
        <v>1.0847</v>
      </c>
      <c r="D13" s="3116">
        <v>1.0427</v>
      </c>
      <c r="E13" s="3116">
        <v>1.0427</v>
      </c>
      <c r="F13" s="3116">
        <v>1.0427</v>
      </c>
      <c r="G13" s="3116">
        <v>1.0427</v>
      </c>
      <c r="H13" s="3116">
        <v>1.0427</v>
      </c>
      <c r="I13" s="3116">
        <v>1</v>
      </c>
      <c r="J13" s="3116">
        <v>1</v>
      </c>
      <c r="K13" s="3116">
        <v>1</v>
      </c>
      <c r="L13" s="3116">
        <v>1</v>
      </c>
      <c r="M13" s="3117">
        <v>1</v>
      </c>
    </row>
    <row r="14" spans="1:20">
      <c r="A14" s="3118">
        <v>2.1</v>
      </c>
      <c r="B14" s="3116">
        <v>1.0749</v>
      </c>
      <c r="C14" s="3116">
        <v>1.0749</v>
      </c>
      <c r="D14" s="3116">
        <v>1.0327999999999999</v>
      </c>
      <c r="E14" s="3116">
        <v>1.0327999999999999</v>
      </c>
      <c r="F14" s="3116">
        <v>1.0327999999999999</v>
      </c>
      <c r="G14" s="3116">
        <v>1.0327999999999999</v>
      </c>
      <c r="H14" s="3116">
        <v>1.0327999999999999</v>
      </c>
      <c r="I14" s="3116">
        <v>0.98819999999999997</v>
      </c>
      <c r="J14" s="3116">
        <v>0.98819999999999997</v>
      </c>
      <c r="K14" s="3116">
        <v>0.98819999999999997</v>
      </c>
      <c r="L14" s="3116">
        <v>0.98819999999999997</v>
      </c>
      <c r="M14" s="3117">
        <v>0.98819999999999997</v>
      </c>
    </row>
    <row r="15" spans="1:20">
      <c r="A15" s="3118">
        <v>2.2000000000000002</v>
      </c>
      <c r="B15" s="3116">
        <v>1.0663</v>
      </c>
      <c r="C15" s="3116">
        <v>1.0663</v>
      </c>
      <c r="D15" s="3116">
        <v>1.0237000000000001</v>
      </c>
      <c r="E15" s="3116">
        <v>1.0237000000000001</v>
      </c>
      <c r="F15" s="3116">
        <v>1.0237000000000001</v>
      </c>
      <c r="G15" s="3116">
        <v>1.0237000000000001</v>
      </c>
      <c r="H15" s="3116">
        <v>1.0237000000000001</v>
      </c>
      <c r="I15" s="3116">
        <v>0.9768</v>
      </c>
      <c r="J15" s="3116">
        <v>0.9768</v>
      </c>
      <c r="K15" s="3116">
        <v>0.9768</v>
      </c>
      <c r="L15" s="3116">
        <v>0.9768</v>
      </c>
      <c r="M15" s="3117">
        <v>0.9768</v>
      </c>
    </row>
    <row r="16" spans="1:20">
      <c r="A16" s="3118">
        <v>2.2999999999999998</v>
      </c>
      <c r="B16" s="3116">
        <v>1.0584</v>
      </c>
      <c r="C16" s="3116">
        <v>1.0584</v>
      </c>
      <c r="D16" s="3116">
        <v>1.0152000000000001</v>
      </c>
      <c r="E16" s="3116">
        <v>1.0152000000000001</v>
      </c>
      <c r="F16" s="3116">
        <v>1.0152000000000001</v>
      </c>
      <c r="G16" s="3116">
        <v>1.0152000000000001</v>
      </c>
      <c r="H16" s="3116">
        <v>1.0152000000000001</v>
      </c>
      <c r="I16" s="3116">
        <v>0.96609999999999996</v>
      </c>
      <c r="J16" s="3116">
        <v>0.96609999999999996</v>
      </c>
      <c r="K16" s="3116">
        <v>0.96609999999999996</v>
      </c>
      <c r="L16" s="3116">
        <v>0.96609999999999996</v>
      </c>
      <c r="M16" s="3117">
        <v>0.96609999999999996</v>
      </c>
      <c r="N16" s="751"/>
    </row>
    <row r="17" spans="1:14">
      <c r="A17" s="3118">
        <v>2.4</v>
      </c>
      <c r="B17" s="3116">
        <v>1.0511999999999999</v>
      </c>
      <c r="C17" s="3116">
        <v>1.0511999999999999</v>
      </c>
      <c r="D17" s="3116">
        <v>1.0074000000000001</v>
      </c>
      <c r="E17" s="3116">
        <v>1.0074000000000001</v>
      </c>
      <c r="F17" s="3116">
        <v>1.0074000000000001</v>
      </c>
      <c r="G17" s="3116">
        <v>1.0074000000000001</v>
      </c>
      <c r="H17" s="3116">
        <v>1.0074000000000001</v>
      </c>
      <c r="I17" s="3116">
        <v>0.95579999999999998</v>
      </c>
      <c r="J17" s="3116">
        <v>0.95579999999999998</v>
      </c>
      <c r="K17" s="3116">
        <v>0.95579999999999998</v>
      </c>
      <c r="L17" s="3116">
        <v>0.95579999999999998</v>
      </c>
      <c r="M17" s="3117">
        <v>0.95579999999999998</v>
      </c>
      <c r="N17" s="751"/>
    </row>
    <row r="18" spans="1:14">
      <c r="A18" s="3118">
        <v>2.5</v>
      </c>
      <c r="B18" s="3116">
        <v>1.0445</v>
      </c>
      <c r="C18" s="3116">
        <v>1.0445</v>
      </c>
      <c r="D18" s="3116">
        <v>1</v>
      </c>
      <c r="E18" s="3116">
        <v>1</v>
      </c>
      <c r="F18" s="3116">
        <v>1</v>
      </c>
      <c r="G18" s="3116">
        <v>1</v>
      </c>
      <c r="H18" s="3116">
        <v>1</v>
      </c>
      <c r="I18" s="3116">
        <v>0.94620000000000004</v>
      </c>
      <c r="J18" s="3116">
        <v>0.94620000000000004</v>
      </c>
      <c r="K18" s="3116">
        <v>0.94620000000000004</v>
      </c>
      <c r="L18" s="3116">
        <v>0.94620000000000004</v>
      </c>
      <c r="M18" s="3117">
        <v>0.94620000000000004</v>
      </c>
    </row>
    <row r="19" spans="1:14">
      <c r="A19" s="3118">
        <v>2.6</v>
      </c>
      <c r="B19" s="3116">
        <v>1.0386</v>
      </c>
      <c r="C19" s="3116">
        <v>1.0386</v>
      </c>
      <c r="D19" s="3116">
        <v>0.99350000000000005</v>
      </c>
      <c r="E19" s="3116">
        <v>0.99350000000000005</v>
      </c>
      <c r="F19" s="3116">
        <v>0.99350000000000005</v>
      </c>
      <c r="G19" s="3116">
        <v>0.99350000000000005</v>
      </c>
      <c r="H19" s="3116">
        <v>0.99350000000000005</v>
      </c>
      <c r="I19" s="3116">
        <v>0.93710000000000004</v>
      </c>
      <c r="J19" s="3116">
        <v>0.93710000000000004</v>
      </c>
      <c r="K19" s="3116">
        <v>0.93710000000000004</v>
      </c>
      <c r="L19" s="3116">
        <v>0.93710000000000004</v>
      </c>
      <c r="M19" s="3117">
        <v>0.93710000000000004</v>
      </c>
    </row>
    <row r="20" spans="1:14">
      <c r="A20" s="3118">
        <v>2.7</v>
      </c>
      <c r="B20" s="3116">
        <v>1.0331999999999999</v>
      </c>
      <c r="C20" s="3116">
        <v>1.0331999999999999</v>
      </c>
      <c r="D20" s="3116">
        <v>0.98770000000000002</v>
      </c>
      <c r="E20" s="3116">
        <v>0.98770000000000002</v>
      </c>
      <c r="F20" s="3116">
        <v>0.98770000000000002</v>
      </c>
      <c r="G20" s="3116">
        <v>0.98770000000000002</v>
      </c>
      <c r="H20" s="3116">
        <v>0.98770000000000002</v>
      </c>
      <c r="I20" s="3116">
        <v>0.92859999999999998</v>
      </c>
      <c r="J20" s="3116">
        <v>0.92859999999999998</v>
      </c>
      <c r="K20" s="3116">
        <v>0.92859999999999998</v>
      </c>
      <c r="L20" s="3116">
        <v>0.92859999999999998</v>
      </c>
      <c r="M20" s="3117">
        <v>0.92859999999999998</v>
      </c>
    </row>
    <row r="21" spans="1:14">
      <c r="A21" s="3118">
        <v>2.8</v>
      </c>
      <c r="B21" s="3116">
        <v>1.0282</v>
      </c>
      <c r="C21" s="3116">
        <v>1.0282</v>
      </c>
      <c r="D21" s="3116">
        <v>0.98260000000000003</v>
      </c>
      <c r="E21" s="3116">
        <v>0.98260000000000003</v>
      </c>
      <c r="F21" s="3116">
        <v>0.98260000000000003</v>
      </c>
      <c r="G21" s="3116">
        <v>0.98260000000000003</v>
      </c>
      <c r="H21" s="3116">
        <v>0.98260000000000003</v>
      </c>
      <c r="I21" s="3116">
        <v>0.92069999999999996</v>
      </c>
      <c r="J21" s="3116">
        <v>0.92069999999999996</v>
      </c>
      <c r="K21" s="3116">
        <v>0.92069999999999996</v>
      </c>
      <c r="L21" s="3116">
        <v>0.92069999999999996</v>
      </c>
      <c r="M21" s="3117">
        <v>0.92069999999999996</v>
      </c>
    </row>
    <row r="22" spans="1:14">
      <c r="A22" s="3118">
        <v>2.9</v>
      </c>
      <c r="B22" s="3116">
        <v>1.0235000000000001</v>
      </c>
      <c r="C22" s="3116">
        <v>1.0235000000000001</v>
      </c>
      <c r="D22" s="3116">
        <v>0.97770000000000001</v>
      </c>
      <c r="E22" s="3116">
        <v>0.97770000000000001</v>
      </c>
      <c r="F22" s="3116">
        <v>0.97770000000000001</v>
      </c>
      <c r="G22" s="3116">
        <v>0.97770000000000001</v>
      </c>
      <c r="H22" s="3116">
        <v>0.97770000000000001</v>
      </c>
      <c r="I22" s="3116">
        <v>0.9133</v>
      </c>
      <c r="J22" s="3116">
        <v>0.9133</v>
      </c>
      <c r="K22" s="3116">
        <v>0.9133</v>
      </c>
      <c r="L22" s="3116">
        <v>0.9133</v>
      </c>
      <c r="M22" s="3117">
        <v>0.9133</v>
      </c>
    </row>
    <row r="23" spans="1:14">
      <c r="A23" s="3118">
        <v>3</v>
      </c>
      <c r="B23" s="3116">
        <v>1.0190999999999999</v>
      </c>
      <c r="C23" s="3116">
        <v>1.0190999999999999</v>
      </c>
      <c r="D23" s="3116">
        <v>0.97299999999999998</v>
      </c>
      <c r="E23" s="3116">
        <v>0.97299999999999998</v>
      </c>
      <c r="F23" s="3116">
        <v>0.97299999999999998</v>
      </c>
      <c r="G23" s="3116">
        <v>0.97299999999999998</v>
      </c>
      <c r="H23" s="3116">
        <v>0.97299999999999998</v>
      </c>
      <c r="I23" s="3116">
        <v>0.90629999999999999</v>
      </c>
      <c r="J23" s="3116">
        <v>0.90629999999999999</v>
      </c>
      <c r="K23" s="3116">
        <v>0.90629999999999999</v>
      </c>
      <c r="L23" s="3116">
        <v>0.90629999999999999</v>
      </c>
      <c r="M23" s="3117">
        <v>0.90629999999999999</v>
      </c>
    </row>
    <row r="24" spans="1:14">
      <c r="A24" s="3118">
        <v>3.1</v>
      </c>
      <c r="B24" s="3116">
        <v>1.0148999999999999</v>
      </c>
      <c r="C24" s="3116">
        <v>1.0148999999999999</v>
      </c>
      <c r="D24" s="3116">
        <v>0.96840000000000004</v>
      </c>
      <c r="E24" s="3116">
        <v>0.96840000000000004</v>
      </c>
      <c r="F24" s="3116">
        <v>0.96840000000000004</v>
      </c>
      <c r="G24" s="3116">
        <v>0.96840000000000004</v>
      </c>
      <c r="H24" s="3116">
        <v>0.96840000000000004</v>
      </c>
      <c r="I24" s="3116">
        <v>0.89959999999999996</v>
      </c>
      <c r="J24" s="3116">
        <v>0.89959999999999996</v>
      </c>
      <c r="K24" s="3116">
        <v>0.89959999999999996</v>
      </c>
      <c r="L24" s="3116">
        <v>0.89959999999999996</v>
      </c>
      <c r="M24" s="3117">
        <v>0.89959999999999996</v>
      </c>
    </row>
    <row r="25" spans="1:14">
      <c r="A25" s="3118">
        <v>3.2</v>
      </c>
      <c r="B25" s="3116">
        <v>1.0108999999999999</v>
      </c>
      <c r="C25" s="3116">
        <v>1.0108999999999999</v>
      </c>
      <c r="D25" s="3116">
        <v>0.96399999999999997</v>
      </c>
      <c r="E25" s="3116">
        <v>0.96399999999999997</v>
      </c>
      <c r="F25" s="3116">
        <v>0.96399999999999997</v>
      </c>
      <c r="G25" s="3116">
        <v>0.96399999999999997</v>
      </c>
      <c r="H25" s="3116">
        <v>0.96399999999999997</v>
      </c>
      <c r="I25" s="3116">
        <v>0.89319999999999999</v>
      </c>
      <c r="J25" s="3116">
        <v>0.89319999999999999</v>
      </c>
      <c r="K25" s="3116">
        <v>0.89319999999999999</v>
      </c>
      <c r="L25" s="3116">
        <v>0.89319999999999999</v>
      </c>
      <c r="M25" s="3117">
        <v>0.89319999999999999</v>
      </c>
    </row>
    <row r="26" spans="1:14">
      <c r="A26" s="3118">
        <v>3.3</v>
      </c>
      <c r="B26" s="3116">
        <v>1.0071000000000001</v>
      </c>
      <c r="C26" s="3116">
        <v>1.0071000000000001</v>
      </c>
      <c r="D26" s="3116">
        <v>0.95979999999999999</v>
      </c>
      <c r="E26" s="3116">
        <v>0.95979999999999999</v>
      </c>
      <c r="F26" s="3116">
        <v>0.95979999999999999</v>
      </c>
      <c r="G26" s="3116">
        <v>0.95979999999999999</v>
      </c>
      <c r="H26" s="3116">
        <v>0.95979999999999999</v>
      </c>
      <c r="I26" s="3116">
        <v>0.8871</v>
      </c>
      <c r="J26" s="3116">
        <v>0.8871</v>
      </c>
      <c r="K26" s="3116">
        <v>0.8871</v>
      </c>
      <c r="L26" s="3116">
        <v>0.8871</v>
      </c>
      <c r="M26" s="3117">
        <v>0.8871</v>
      </c>
    </row>
    <row r="27" spans="1:14">
      <c r="A27" s="3118">
        <v>3.4</v>
      </c>
      <c r="B27" s="3116">
        <v>1.0035000000000001</v>
      </c>
      <c r="C27" s="3116">
        <v>1.0035000000000001</v>
      </c>
      <c r="D27" s="3116">
        <v>0.95579999999999998</v>
      </c>
      <c r="E27" s="3116">
        <v>0.95579999999999998</v>
      </c>
      <c r="F27" s="3116">
        <v>0.95579999999999998</v>
      </c>
      <c r="G27" s="3116">
        <v>0.95579999999999998</v>
      </c>
      <c r="H27" s="3116">
        <v>0.95579999999999998</v>
      </c>
      <c r="I27" s="3116">
        <v>0.88119999999999998</v>
      </c>
      <c r="J27" s="3116">
        <v>0.88119999999999998</v>
      </c>
      <c r="K27" s="3116">
        <v>0.88119999999999998</v>
      </c>
      <c r="L27" s="3116">
        <v>0.88119999999999998</v>
      </c>
      <c r="M27" s="3117">
        <v>0.88119999999999998</v>
      </c>
    </row>
    <row r="28" spans="1:14">
      <c r="A28" s="3118">
        <v>3.5</v>
      </c>
      <c r="B28" s="3116">
        <v>1</v>
      </c>
      <c r="C28" s="3116">
        <v>1</v>
      </c>
      <c r="D28" s="3116">
        <v>0.95199999999999996</v>
      </c>
      <c r="E28" s="3116">
        <v>0.95199999999999996</v>
      </c>
      <c r="F28" s="3116">
        <v>0.95199999999999996</v>
      </c>
      <c r="G28" s="3116">
        <v>0.95199999999999996</v>
      </c>
      <c r="H28" s="3116">
        <v>0.95199999999999996</v>
      </c>
      <c r="I28" s="3116">
        <v>0.87549999999999994</v>
      </c>
      <c r="J28" s="3116">
        <v>0.87549999999999994</v>
      </c>
      <c r="K28" s="3116">
        <v>0.87549999999999994</v>
      </c>
      <c r="L28" s="3116">
        <v>0.87549999999999994</v>
      </c>
      <c r="M28" s="3117">
        <v>0.87549999999999994</v>
      </c>
    </row>
    <row r="29" spans="1:14">
      <c r="A29" s="3118">
        <v>3.6</v>
      </c>
      <c r="B29" s="3116">
        <v>0.99660000000000004</v>
      </c>
      <c r="C29" s="3116">
        <v>0.99660000000000004</v>
      </c>
      <c r="D29" s="3116">
        <v>0.94840000000000002</v>
      </c>
      <c r="E29" s="3116">
        <v>0.94840000000000002</v>
      </c>
      <c r="F29" s="3116">
        <v>0.94840000000000002</v>
      </c>
      <c r="G29" s="3116">
        <v>0.94840000000000002</v>
      </c>
      <c r="H29" s="3116">
        <v>0.94840000000000002</v>
      </c>
      <c r="I29" s="3116">
        <v>0.87</v>
      </c>
      <c r="J29" s="3116">
        <v>0.87</v>
      </c>
      <c r="K29" s="3116">
        <v>0.87</v>
      </c>
      <c r="L29" s="3116">
        <v>0.87</v>
      </c>
      <c r="M29" s="3117">
        <v>0.87</v>
      </c>
    </row>
    <row r="30" spans="1:14">
      <c r="A30" s="3118">
        <v>3.7</v>
      </c>
      <c r="B30" s="3116">
        <v>0.99329999999999996</v>
      </c>
      <c r="C30" s="3116">
        <v>0.99329999999999996</v>
      </c>
      <c r="D30" s="3116">
        <v>0.94499999999999995</v>
      </c>
      <c r="E30" s="3116">
        <v>0.94499999999999995</v>
      </c>
      <c r="F30" s="3116">
        <v>0.94499999999999995</v>
      </c>
      <c r="G30" s="3116">
        <v>0.94499999999999995</v>
      </c>
      <c r="H30" s="3116">
        <v>0.94499999999999995</v>
      </c>
      <c r="I30" s="3116">
        <v>0.86470000000000002</v>
      </c>
      <c r="J30" s="3116">
        <v>0.86470000000000002</v>
      </c>
      <c r="K30" s="3116">
        <v>0.86470000000000002</v>
      </c>
      <c r="L30" s="3116">
        <v>0.86470000000000002</v>
      </c>
      <c r="M30" s="3117">
        <v>0.86470000000000002</v>
      </c>
    </row>
    <row r="31" spans="1:14">
      <c r="A31" s="3118">
        <v>3.8</v>
      </c>
      <c r="B31" s="3116">
        <v>0.99009999999999998</v>
      </c>
      <c r="C31" s="3116">
        <v>0.99009999999999998</v>
      </c>
      <c r="D31" s="3116">
        <v>0.94169999999999998</v>
      </c>
      <c r="E31" s="3116">
        <v>0.94169999999999998</v>
      </c>
      <c r="F31" s="3116">
        <v>0.94169999999999998</v>
      </c>
      <c r="G31" s="3116">
        <v>0.94169999999999998</v>
      </c>
      <c r="H31" s="3116">
        <v>0.94169999999999998</v>
      </c>
      <c r="I31" s="3116">
        <v>0.85960000000000003</v>
      </c>
      <c r="J31" s="3116">
        <v>0.85960000000000003</v>
      </c>
      <c r="K31" s="3116">
        <v>0.85960000000000003</v>
      </c>
      <c r="L31" s="3116">
        <v>0.85960000000000003</v>
      </c>
      <c r="M31" s="3117">
        <v>0.85960000000000003</v>
      </c>
    </row>
    <row r="32" spans="1:14">
      <c r="A32" s="3118">
        <v>3.9</v>
      </c>
      <c r="B32" s="3116">
        <v>0.98699999999999999</v>
      </c>
      <c r="C32" s="3116">
        <v>0.98699999999999999</v>
      </c>
      <c r="D32" s="3116">
        <v>0.9385</v>
      </c>
      <c r="E32" s="3116">
        <v>0.9385</v>
      </c>
      <c r="F32" s="3116">
        <v>0.9385</v>
      </c>
      <c r="G32" s="3116">
        <v>0.9385</v>
      </c>
      <c r="H32" s="3116">
        <v>0.9385</v>
      </c>
      <c r="I32" s="3116">
        <v>0.85470000000000002</v>
      </c>
      <c r="J32" s="3116">
        <v>0.85470000000000002</v>
      </c>
      <c r="K32" s="3116">
        <v>0.85470000000000002</v>
      </c>
      <c r="L32" s="3116">
        <v>0.85470000000000002</v>
      </c>
      <c r="M32" s="3117">
        <v>0.85470000000000002</v>
      </c>
    </row>
    <row r="33" spans="1:13">
      <c r="A33" s="3118">
        <v>4</v>
      </c>
      <c r="B33" s="3116">
        <v>0.98399999999999999</v>
      </c>
      <c r="C33" s="3116">
        <v>0.98399999999999999</v>
      </c>
      <c r="D33" s="3116">
        <v>0.93540000000000001</v>
      </c>
      <c r="E33" s="3116">
        <v>0.93540000000000001</v>
      </c>
      <c r="F33" s="3116">
        <v>0.93540000000000001</v>
      </c>
      <c r="G33" s="3116">
        <v>0.93540000000000001</v>
      </c>
      <c r="H33" s="3116">
        <v>0.93540000000000001</v>
      </c>
      <c r="I33" s="3116">
        <v>0.84989999999999999</v>
      </c>
      <c r="J33" s="3116">
        <v>0.84989999999999999</v>
      </c>
      <c r="K33" s="3116">
        <v>0.84989999999999999</v>
      </c>
      <c r="L33" s="3116">
        <v>0.84989999999999999</v>
      </c>
      <c r="M33" s="3117">
        <v>0.84989999999999999</v>
      </c>
    </row>
    <row r="34" spans="1:13">
      <c r="A34" s="3118">
        <v>4.0999999999999996</v>
      </c>
      <c r="B34" s="3116">
        <v>0.98109999999999997</v>
      </c>
      <c r="C34" s="3116">
        <v>0.98109999999999997</v>
      </c>
      <c r="D34" s="3116">
        <v>0.93240000000000001</v>
      </c>
      <c r="E34" s="3116">
        <v>0.93240000000000001</v>
      </c>
      <c r="F34" s="3116">
        <v>0.93240000000000001</v>
      </c>
      <c r="G34" s="3116">
        <v>0.93240000000000001</v>
      </c>
      <c r="H34" s="3116">
        <v>0.93240000000000001</v>
      </c>
      <c r="I34" s="3116">
        <v>0.84519999999999995</v>
      </c>
      <c r="J34" s="3116">
        <v>0.84519999999999995</v>
      </c>
      <c r="K34" s="3116">
        <v>0.84519999999999995</v>
      </c>
      <c r="L34" s="3116">
        <v>0.84519999999999995</v>
      </c>
      <c r="M34" s="3117">
        <v>0.84519999999999995</v>
      </c>
    </row>
    <row r="35" spans="1:13">
      <c r="A35" s="3118">
        <v>4.2</v>
      </c>
      <c r="B35" s="3116">
        <v>0.97829999999999995</v>
      </c>
      <c r="C35" s="3116">
        <v>0.97829999999999995</v>
      </c>
      <c r="D35" s="3116">
        <v>0.92949999999999999</v>
      </c>
      <c r="E35" s="3116">
        <v>0.92949999999999999</v>
      </c>
      <c r="F35" s="3116">
        <v>0.92949999999999999</v>
      </c>
      <c r="G35" s="3116">
        <v>0.92949999999999999</v>
      </c>
      <c r="H35" s="3116">
        <v>0.92949999999999999</v>
      </c>
      <c r="I35" s="3116">
        <v>0.84060000000000001</v>
      </c>
      <c r="J35" s="3116">
        <v>0.84060000000000001</v>
      </c>
      <c r="K35" s="3116">
        <v>0.84060000000000001</v>
      </c>
      <c r="L35" s="3116">
        <v>0.84060000000000001</v>
      </c>
      <c r="M35" s="3117">
        <v>0.84060000000000001</v>
      </c>
    </row>
    <row r="36" spans="1:13">
      <c r="A36" s="3118">
        <v>4.3</v>
      </c>
      <c r="B36" s="3116">
        <v>0.97560000000000002</v>
      </c>
      <c r="C36" s="3116">
        <v>0.97560000000000002</v>
      </c>
      <c r="D36" s="3116">
        <v>0.92669999999999997</v>
      </c>
      <c r="E36" s="3116">
        <v>0.92669999999999997</v>
      </c>
      <c r="F36" s="3116">
        <v>0.92669999999999997</v>
      </c>
      <c r="G36" s="3116">
        <v>0.92669999999999997</v>
      </c>
      <c r="H36" s="3116">
        <v>0.92669999999999997</v>
      </c>
      <c r="I36" s="3116">
        <v>0.83609999999999995</v>
      </c>
      <c r="J36" s="3116">
        <v>0.83609999999999995</v>
      </c>
      <c r="K36" s="3116">
        <v>0.83609999999999995</v>
      </c>
      <c r="L36" s="3116">
        <v>0.83609999999999995</v>
      </c>
      <c r="M36" s="3117">
        <v>0.83609999999999995</v>
      </c>
    </row>
    <row r="37" spans="1:13">
      <c r="A37" s="3118">
        <v>4.4000000000000004</v>
      </c>
      <c r="B37" s="3116">
        <v>0.97299999999999998</v>
      </c>
      <c r="C37" s="3116">
        <v>0.97299999999999998</v>
      </c>
      <c r="D37" s="3116">
        <v>0.92400000000000004</v>
      </c>
      <c r="E37" s="3116">
        <v>0.92400000000000004</v>
      </c>
      <c r="F37" s="3116">
        <v>0.92400000000000004</v>
      </c>
      <c r="G37" s="3116">
        <v>0.92400000000000004</v>
      </c>
      <c r="H37" s="3116">
        <v>0.92400000000000004</v>
      </c>
      <c r="I37" s="3116">
        <v>0.83169999999999999</v>
      </c>
      <c r="J37" s="3116">
        <v>0.83169999999999999</v>
      </c>
      <c r="K37" s="3116">
        <v>0.83169999999999999</v>
      </c>
      <c r="L37" s="3116">
        <v>0.83169999999999999</v>
      </c>
      <c r="M37" s="3117">
        <v>0.83169999999999999</v>
      </c>
    </row>
    <row r="38" spans="1:13">
      <c r="A38" s="3118">
        <v>4.5</v>
      </c>
      <c r="B38" s="3116">
        <v>0.97050000000000003</v>
      </c>
      <c r="C38" s="3116">
        <v>0.97050000000000003</v>
      </c>
      <c r="D38" s="3116">
        <v>0.92130000000000001</v>
      </c>
      <c r="E38" s="3116">
        <v>0.92130000000000001</v>
      </c>
      <c r="F38" s="3116">
        <v>0.92130000000000001</v>
      </c>
      <c r="G38" s="3116">
        <v>0.92130000000000001</v>
      </c>
      <c r="H38" s="3116">
        <v>0.92130000000000001</v>
      </c>
      <c r="I38" s="3116">
        <v>0.82740000000000002</v>
      </c>
      <c r="J38" s="3116">
        <v>0.82740000000000002</v>
      </c>
      <c r="K38" s="3116">
        <v>0.82740000000000002</v>
      </c>
      <c r="L38" s="3116">
        <v>0.82740000000000002</v>
      </c>
      <c r="M38" s="3117">
        <v>0.82740000000000002</v>
      </c>
    </row>
    <row r="39" spans="1:13">
      <c r="A39" s="3118">
        <v>4.5999999999999996</v>
      </c>
      <c r="B39" s="3116">
        <v>0.96809999999999996</v>
      </c>
      <c r="C39" s="3116">
        <v>0.96809999999999996</v>
      </c>
      <c r="D39" s="3116">
        <v>0.91869999999999996</v>
      </c>
      <c r="E39" s="3116">
        <v>0.91869999999999996</v>
      </c>
      <c r="F39" s="3116">
        <v>0.91869999999999996</v>
      </c>
      <c r="G39" s="3116">
        <v>0.91869999999999996</v>
      </c>
      <c r="H39" s="3116">
        <v>0.91869999999999996</v>
      </c>
      <c r="I39" s="3116">
        <v>0.82320000000000004</v>
      </c>
      <c r="J39" s="3116">
        <v>0.82320000000000004</v>
      </c>
      <c r="K39" s="3116">
        <v>0.82320000000000004</v>
      </c>
      <c r="L39" s="3116">
        <v>0.82320000000000004</v>
      </c>
      <c r="M39" s="3117">
        <v>0.82320000000000004</v>
      </c>
    </row>
    <row r="40" spans="1:13">
      <c r="A40" s="3118">
        <v>4.7</v>
      </c>
      <c r="B40" s="3116">
        <v>0.96579999999999999</v>
      </c>
      <c r="C40" s="3116">
        <v>0.96579999999999999</v>
      </c>
      <c r="D40" s="3116">
        <v>0.91610000000000003</v>
      </c>
      <c r="E40" s="3116">
        <v>0.91610000000000003</v>
      </c>
      <c r="F40" s="3116">
        <v>0.91610000000000003</v>
      </c>
      <c r="G40" s="3116">
        <v>0.91610000000000003</v>
      </c>
      <c r="H40" s="3116">
        <v>0.91610000000000003</v>
      </c>
      <c r="I40" s="3116">
        <v>0.81910000000000005</v>
      </c>
      <c r="J40" s="3116">
        <v>0.81910000000000005</v>
      </c>
      <c r="K40" s="3116">
        <v>0.81910000000000005</v>
      </c>
      <c r="L40" s="3116">
        <v>0.81910000000000005</v>
      </c>
      <c r="M40" s="3117">
        <v>0.81910000000000005</v>
      </c>
    </row>
    <row r="41" spans="1:13">
      <c r="A41" s="3118">
        <v>4.8</v>
      </c>
      <c r="B41" s="3116">
        <v>0.96360000000000001</v>
      </c>
      <c r="C41" s="3116">
        <v>0.96360000000000001</v>
      </c>
      <c r="D41" s="3116">
        <v>0.91349999999999998</v>
      </c>
      <c r="E41" s="3116">
        <v>0.91349999999999998</v>
      </c>
      <c r="F41" s="3116">
        <v>0.91349999999999998</v>
      </c>
      <c r="G41" s="3116">
        <v>0.91349999999999998</v>
      </c>
      <c r="H41" s="3116">
        <v>0.91349999999999998</v>
      </c>
      <c r="I41" s="3116">
        <v>0.81510000000000005</v>
      </c>
      <c r="J41" s="3116">
        <v>0.81510000000000005</v>
      </c>
      <c r="K41" s="3116">
        <v>0.81510000000000005</v>
      </c>
      <c r="L41" s="3116">
        <v>0.81510000000000005</v>
      </c>
      <c r="M41" s="3117">
        <v>0.81510000000000005</v>
      </c>
    </row>
    <row r="42" spans="1:13">
      <c r="A42" s="3118">
        <v>4.9000000000000004</v>
      </c>
      <c r="B42" s="3116">
        <v>0.96150000000000002</v>
      </c>
      <c r="C42" s="3116">
        <v>0.96150000000000002</v>
      </c>
      <c r="D42" s="3116">
        <v>0.91100000000000003</v>
      </c>
      <c r="E42" s="3116">
        <v>0.91100000000000003</v>
      </c>
      <c r="F42" s="3116">
        <v>0.91100000000000003</v>
      </c>
      <c r="G42" s="3116">
        <v>0.91100000000000003</v>
      </c>
      <c r="H42" s="3116">
        <v>0.91100000000000003</v>
      </c>
      <c r="I42" s="3116">
        <v>0.81110000000000004</v>
      </c>
      <c r="J42" s="3116">
        <v>0.81110000000000004</v>
      </c>
      <c r="K42" s="3116">
        <v>0.81110000000000004</v>
      </c>
      <c r="L42" s="3116">
        <v>0.81110000000000004</v>
      </c>
      <c r="M42" s="3117">
        <v>0.81110000000000004</v>
      </c>
    </row>
    <row r="43" spans="1:13">
      <c r="A43" s="3118">
        <v>5</v>
      </c>
      <c r="B43" s="3116">
        <v>0.95940000000000003</v>
      </c>
      <c r="C43" s="3116">
        <v>0.95940000000000003</v>
      </c>
      <c r="D43" s="3116">
        <v>0.90849999999999997</v>
      </c>
      <c r="E43" s="3116">
        <v>0.90849999999999997</v>
      </c>
      <c r="F43" s="3116">
        <v>0.90849999999999997</v>
      </c>
      <c r="G43" s="3116">
        <v>0.90849999999999997</v>
      </c>
      <c r="H43" s="3116">
        <v>0.90849999999999997</v>
      </c>
      <c r="I43" s="3116">
        <v>0.80720000000000003</v>
      </c>
      <c r="J43" s="3116">
        <v>0.80720000000000003</v>
      </c>
      <c r="K43" s="3116">
        <v>0.80720000000000003</v>
      </c>
      <c r="L43" s="3116">
        <v>0.80720000000000003</v>
      </c>
      <c r="M43" s="3117">
        <v>0.80720000000000003</v>
      </c>
    </row>
    <row r="44" spans="1:13">
      <c r="A44" s="3115">
        <v>5.0999999999999996</v>
      </c>
      <c r="B44" s="3116">
        <v>0.95740000000000003</v>
      </c>
      <c r="C44" s="3116">
        <v>0.95740000000000003</v>
      </c>
      <c r="D44" s="3116">
        <v>0.90600000000000003</v>
      </c>
      <c r="E44" s="3116">
        <v>0.90600000000000003</v>
      </c>
      <c r="F44" s="3116">
        <v>0.90600000000000003</v>
      </c>
      <c r="G44" s="3116">
        <v>0.90600000000000003</v>
      </c>
      <c r="H44" s="3116">
        <v>0.90600000000000003</v>
      </c>
      <c r="I44" s="3116">
        <v>0.80330000000000001</v>
      </c>
      <c r="J44" s="3116">
        <v>0.80330000000000001</v>
      </c>
      <c r="K44" s="3116">
        <v>0.80330000000000001</v>
      </c>
      <c r="L44" s="3116">
        <v>0.80330000000000001</v>
      </c>
      <c r="M44" s="3117">
        <v>0.80330000000000001</v>
      </c>
    </row>
    <row r="45" spans="1:13">
      <c r="A45" s="3115">
        <v>5.2</v>
      </c>
      <c r="B45" s="3116">
        <v>0.95540000000000003</v>
      </c>
      <c r="C45" s="3116">
        <v>0.95540000000000003</v>
      </c>
      <c r="D45" s="3116">
        <v>0.90349999999999997</v>
      </c>
      <c r="E45" s="3116">
        <v>0.90349999999999997</v>
      </c>
      <c r="F45" s="3116">
        <v>0.90349999999999997</v>
      </c>
      <c r="G45" s="3116">
        <v>0.90349999999999997</v>
      </c>
      <c r="H45" s="3116">
        <v>0.90349999999999997</v>
      </c>
      <c r="I45" s="3116">
        <v>0.79949999999999999</v>
      </c>
      <c r="J45" s="3116">
        <v>0.79949999999999999</v>
      </c>
      <c r="K45" s="3116">
        <v>0.79949999999999999</v>
      </c>
      <c r="L45" s="3116">
        <v>0.79949999999999999</v>
      </c>
      <c r="M45" s="3117">
        <v>0.79949999999999999</v>
      </c>
    </row>
    <row r="46" spans="1:13">
      <c r="A46" s="3115">
        <v>5.3</v>
      </c>
      <c r="B46" s="3116">
        <v>0.95350000000000001</v>
      </c>
      <c r="C46" s="3116">
        <v>0.95350000000000001</v>
      </c>
      <c r="D46" s="3116">
        <v>0.90110000000000001</v>
      </c>
      <c r="E46" s="3116">
        <v>0.90110000000000001</v>
      </c>
      <c r="F46" s="3116">
        <v>0.90110000000000001</v>
      </c>
      <c r="G46" s="3116">
        <v>0.90110000000000001</v>
      </c>
      <c r="H46" s="3116">
        <v>0.90110000000000001</v>
      </c>
      <c r="I46" s="3116">
        <v>0.79569999999999996</v>
      </c>
      <c r="J46" s="3116">
        <v>0.79569999999999996</v>
      </c>
      <c r="K46" s="3116">
        <v>0.79569999999999996</v>
      </c>
      <c r="L46" s="3116">
        <v>0.79569999999999996</v>
      </c>
      <c r="M46" s="3117">
        <v>0.79569999999999996</v>
      </c>
    </row>
    <row r="47" spans="1:13">
      <c r="A47" s="3115">
        <v>5.4</v>
      </c>
      <c r="B47" s="3116">
        <v>0.9516</v>
      </c>
      <c r="C47" s="3116">
        <v>0.9516</v>
      </c>
      <c r="D47" s="3116">
        <v>0.89870000000000005</v>
      </c>
      <c r="E47" s="3116">
        <v>0.89870000000000005</v>
      </c>
      <c r="F47" s="3116">
        <v>0.89870000000000005</v>
      </c>
      <c r="G47" s="3116">
        <v>0.89870000000000005</v>
      </c>
      <c r="H47" s="3116">
        <v>0.89870000000000005</v>
      </c>
      <c r="I47" s="3116">
        <v>0.79200000000000004</v>
      </c>
      <c r="J47" s="3116">
        <v>0.79200000000000004</v>
      </c>
      <c r="K47" s="3116">
        <v>0.79200000000000004</v>
      </c>
      <c r="L47" s="3116">
        <v>0.79200000000000004</v>
      </c>
      <c r="M47" s="3117">
        <v>0.79200000000000004</v>
      </c>
    </row>
    <row r="48" spans="1:13">
      <c r="A48" s="3115">
        <v>5.5</v>
      </c>
      <c r="B48" s="3116">
        <v>0.94979999999999998</v>
      </c>
      <c r="C48" s="3116">
        <v>0.94979999999999998</v>
      </c>
      <c r="D48" s="3116">
        <v>0.89629999999999999</v>
      </c>
      <c r="E48" s="3116">
        <v>0.89629999999999999</v>
      </c>
      <c r="F48" s="3116">
        <v>0.89629999999999999</v>
      </c>
      <c r="G48" s="3116">
        <v>0.89629999999999999</v>
      </c>
      <c r="H48" s="3116">
        <v>0.89629999999999999</v>
      </c>
      <c r="I48" s="3116">
        <v>0.7883</v>
      </c>
      <c r="J48" s="3116">
        <v>0.7883</v>
      </c>
      <c r="K48" s="3116">
        <v>0.7883</v>
      </c>
      <c r="L48" s="3116">
        <v>0.7883</v>
      </c>
      <c r="M48" s="3117">
        <v>0.7883</v>
      </c>
    </row>
    <row r="49" spans="1:13">
      <c r="A49" s="3115">
        <v>5.6</v>
      </c>
      <c r="B49" s="3116">
        <v>0.94799999999999995</v>
      </c>
      <c r="C49" s="3116">
        <v>0.94799999999999995</v>
      </c>
      <c r="D49" s="3116">
        <v>0.89390000000000003</v>
      </c>
      <c r="E49" s="3116">
        <v>0.89390000000000003</v>
      </c>
      <c r="F49" s="3116">
        <v>0.89390000000000003</v>
      </c>
      <c r="G49" s="3116">
        <v>0.89390000000000003</v>
      </c>
      <c r="H49" s="3116">
        <v>0.89390000000000003</v>
      </c>
      <c r="I49" s="3116">
        <v>0.78469999999999995</v>
      </c>
      <c r="J49" s="3116">
        <v>0.78469999999999995</v>
      </c>
      <c r="K49" s="3116">
        <v>0.78469999999999995</v>
      </c>
      <c r="L49" s="3116">
        <v>0.78469999999999995</v>
      </c>
      <c r="M49" s="3117">
        <v>0.78469999999999995</v>
      </c>
    </row>
    <row r="50" spans="1:13">
      <c r="A50" s="3118">
        <v>5.7</v>
      </c>
      <c r="B50" s="3116">
        <v>0.94620000000000004</v>
      </c>
      <c r="C50" s="3116">
        <v>0.94620000000000004</v>
      </c>
      <c r="D50" s="3116">
        <v>0.89149999999999996</v>
      </c>
      <c r="E50" s="3116">
        <v>0.89149999999999996</v>
      </c>
      <c r="F50" s="3116">
        <v>0.89149999999999996</v>
      </c>
      <c r="G50" s="3116">
        <v>0.89149999999999996</v>
      </c>
      <c r="H50" s="3116">
        <v>0.89149999999999996</v>
      </c>
      <c r="I50" s="3116">
        <v>0.78110000000000002</v>
      </c>
      <c r="J50" s="3116">
        <v>0.78110000000000002</v>
      </c>
      <c r="K50" s="3116">
        <v>0.78110000000000002</v>
      </c>
      <c r="L50" s="3116">
        <v>0.78110000000000002</v>
      </c>
      <c r="M50" s="3117">
        <v>0.78110000000000002</v>
      </c>
    </row>
    <row r="51" spans="1:13">
      <c r="A51" s="3115">
        <v>5.8</v>
      </c>
      <c r="B51" s="3116">
        <v>0.94450000000000001</v>
      </c>
      <c r="C51" s="3116">
        <v>0.94450000000000001</v>
      </c>
      <c r="D51" s="3116">
        <v>0.88919999999999999</v>
      </c>
      <c r="E51" s="3116">
        <v>0.88919999999999999</v>
      </c>
      <c r="F51" s="3116">
        <v>0.88919999999999999</v>
      </c>
      <c r="G51" s="3116">
        <v>0.88919999999999999</v>
      </c>
      <c r="H51" s="3116">
        <v>0.88919999999999999</v>
      </c>
      <c r="I51" s="3116">
        <v>0.77759999999999996</v>
      </c>
      <c r="J51" s="3116">
        <v>0.77759999999999996</v>
      </c>
      <c r="K51" s="3116">
        <v>0.77759999999999996</v>
      </c>
      <c r="L51" s="3116">
        <v>0.77759999999999996</v>
      </c>
      <c r="M51" s="3117">
        <v>0.77759999999999996</v>
      </c>
    </row>
    <row r="52" spans="1:13">
      <c r="A52" s="3115">
        <v>5.9</v>
      </c>
      <c r="B52" s="3116">
        <v>0.94279999999999997</v>
      </c>
      <c r="C52" s="3116">
        <v>0.94279999999999997</v>
      </c>
      <c r="D52" s="3116">
        <v>0.88690000000000002</v>
      </c>
      <c r="E52" s="3116">
        <v>0.88690000000000002</v>
      </c>
      <c r="F52" s="3116">
        <v>0.88690000000000002</v>
      </c>
      <c r="G52" s="3116">
        <v>0.88690000000000002</v>
      </c>
      <c r="H52" s="3116">
        <v>0.88690000000000002</v>
      </c>
      <c r="I52" s="3116">
        <v>0.77410000000000001</v>
      </c>
      <c r="J52" s="3116">
        <v>0.77410000000000001</v>
      </c>
      <c r="K52" s="3116">
        <v>0.77410000000000001</v>
      </c>
      <c r="L52" s="3116">
        <v>0.77410000000000001</v>
      </c>
      <c r="M52" s="3117">
        <v>0.77410000000000001</v>
      </c>
    </row>
    <row r="53" spans="1:13">
      <c r="A53" s="3115">
        <v>6</v>
      </c>
      <c r="B53" s="3116">
        <v>0.94110000000000005</v>
      </c>
      <c r="C53" s="3116">
        <v>0.94110000000000005</v>
      </c>
      <c r="D53" s="3116">
        <v>0.88460000000000005</v>
      </c>
      <c r="E53" s="3116">
        <v>0.88460000000000005</v>
      </c>
      <c r="F53" s="3116">
        <v>0.88460000000000005</v>
      </c>
      <c r="G53" s="3116">
        <v>0.88460000000000005</v>
      </c>
      <c r="H53" s="3116">
        <v>0.88460000000000005</v>
      </c>
      <c r="I53" s="3116">
        <v>0.77070000000000005</v>
      </c>
      <c r="J53" s="3116">
        <v>0.77070000000000005</v>
      </c>
      <c r="K53" s="3116">
        <v>0.77070000000000005</v>
      </c>
      <c r="L53" s="3116">
        <v>0.77070000000000005</v>
      </c>
      <c r="M53" s="3117">
        <v>0.77070000000000005</v>
      </c>
    </row>
    <row r="54" spans="1:13">
      <c r="A54" s="3115">
        <v>6.1</v>
      </c>
      <c r="B54" s="3116">
        <v>0.93940000000000001</v>
      </c>
      <c r="C54" s="3116">
        <v>0.93940000000000001</v>
      </c>
      <c r="D54" s="3116">
        <v>0.88229999999999997</v>
      </c>
      <c r="E54" s="3116">
        <v>0.88229999999999997</v>
      </c>
      <c r="F54" s="3116">
        <v>0.88229999999999997</v>
      </c>
      <c r="G54" s="3116">
        <v>0.88229999999999997</v>
      </c>
      <c r="H54" s="3116">
        <v>0.88229999999999997</v>
      </c>
      <c r="I54" s="3116">
        <v>0.76729999999999998</v>
      </c>
      <c r="J54" s="3116">
        <v>0.76729999999999998</v>
      </c>
      <c r="K54" s="3116">
        <v>0.76729999999999998</v>
      </c>
      <c r="L54" s="3116">
        <v>0.76729999999999998</v>
      </c>
      <c r="M54" s="3117">
        <v>0.76729999999999998</v>
      </c>
    </row>
    <row r="55" spans="1:13">
      <c r="A55" s="3115">
        <v>6.2</v>
      </c>
      <c r="B55" s="3116">
        <v>0.93769999999999998</v>
      </c>
      <c r="C55" s="3116">
        <v>0.93769999999999998</v>
      </c>
      <c r="D55" s="3116">
        <v>0.88</v>
      </c>
      <c r="E55" s="3116">
        <v>0.88</v>
      </c>
      <c r="F55" s="3116">
        <v>0.88</v>
      </c>
      <c r="G55" s="3116">
        <v>0.88</v>
      </c>
      <c r="H55" s="3116">
        <v>0.88</v>
      </c>
      <c r="I55" s="3116">
        <v>0.76400000000000001</v>
      </c>
      <c r="J55" s="3116">
        <v>0.76400000000000001</v>
      </c>
      <c r="K55" s="3116">
        <v>0.76400000000000001</v>
      </c>
      <c r="L55" s="3116">
        <v>0.76400000000000001</v>
      </c>
      <c r="M55" s="3117">
        <v>0.76400000000000001</v>
      </c>
    </row>
    <row r="56" spans="1:13">
      <c r="A56" s="3115">
        <v>6.3</v>
      </c>
      <c r="B56" s="3116">
        <v>0.93610000000000004</v>
      </c>
      <c r="C56" s="3116">
        <v>0.93610000000000004</v>
      </c>
      <c r="D56" s="3116">
        <v>0.87780000000000002</v>
      </c>
      <c r="E56" s="3116">
        <v>0.87780000000000002</v>
      </c>
      <c r="F56" s="3116">
        <v>0.87780000000000002</v>
      </c>
      <c r="G56" s="3116">
        <v>0.87780000000000002</v>
      </c>
      <c r="H56" s="3116">
        <v>0.87780000000000002</v>
      </c>
      <c r="I56" s="3116">
        <v>0.76070000000000004</v>
      </c>
      <c r="J56" s="3116">
        <v>0.76070000000000004</v>
      </c>
      <c r="K56" s="3116">
        <v>0.76070000000000004</v>
      </c>
      <c r="L56" s="3116">
        <v>0.76070000000000004</v>
      </c>
      <c r="M56" s="3117">
        <v>0.76070000000000004</v>
      </c>
    </row>
    <row r="57" spans="1:13">
      <c r="A57" s="3115">
        <v>6.4</v>
      </c>
      <c r="B57" s="3116">
        <v>0.9345</v>
      </c>
      <c r="C57" s="3116">
        <v>0.9345</v>
      </c>
      <c r="D57" s="3116">
        <v>0.87560000000000004</v>
      </c>
      <c r="E57" s="3116">
        <v>0.87560000000000004</v>
      </c>
      <c r="F57" s="3116">
        <v>0.87560000000000004</v>
      </c>
      <c r="G57" s="3116">
        <v>0.87560000000000004</v>
      </c>
      <c r="H57" s="3116">
        <v>0.87560000000000004</v>
      </c>
      <c r="I57" s="3116">
        <v>0.75749999999999995</v>
      </c>
      <c r="J57" s="3116">
        <v>0.75749999999999995</v>
      </c>
      <c r="K57" s="3116">
        <v>0.75749999999999995</v>
      </c>
      <c r="L57" s="3116">
        <v>0.75749999999999995</v>
      </c>
      <c r="M57" s="3117">
        <v>0.75749999999999995</v>
      </c>
    </row>
    <row r="58" spans="1:13">
      <c r="A58" s="3115">
        <v>6.5</v>
      </c>
      <c r="B58" s="3116">
        <v>0.93289999999999995</v>
      </c>
      <c r="C58" s="3116">
        <v>0.93289999999999995</v>
      </c>
      <c r="D58" s="3116">
        <v>0.87339999999999995</v>
      </c>
      <c r="E58" s="3116">
        <v>0.87339999999999995</v>
      </c>
      <c r="F58" s="3116">
        <v>0.87339999999999995</v>
      </c>
      <c r="G58" s="3116">
        <v>0.87339999999999995</v>
      </c>
      <c r="H58" s="3116">
        <v>0.87339999999999995</v>
      </c>
      <c r="I58" s="3116">
        <v>0.75429999999999997</v>
      </c>
      <c r="J58" s="3116">
        <v>0.75429999999999997</v>
      </c>
      <c r="K58" s="3116">
        <v>0.75429999999999997</v>
      </c>
      <c r="L58" s="3116">
        <v>0.75429999999999997</v>
      </c>
      <c r="M58" s="3117">
        <v>0.75429999999999997</v>
      </c>
    </row>
    <row r="59" spans="1:13">
      <c r="A59" s="3115">
        <v>6.6</v>
      </c>
      <c r="B59" s="3116">
        <v>0.93130000000000002</v>
      </c>
      <c r="C59" s="3116">
        <v>0.93130000000000002</v>
      </c>
      <c r="D59" s="3116">
        <v>0.87119999999999997</v>
      </c>
      <c r="E59" s="3116">
        <v>0.87119999999999997</v>
      </c>
      <c r="F59" s="3116">
        <v>0.87119999999999997</v>
      </c>
      <c r="G59" s="3116">
        <v>0.87119999999999997</v>
      </c>
      <c r="H59" s="3116">
        <v>0.87119999999999997</v>
      </c>
      <c r="I59" s="3116">
        <v>0.75119999999999998</v>
      </c>
      <c r="J59" s="3116">
        <v>0.75119999999999998</v>
      </c>
      <c r="K59" s="3116">
        <v>0.75119999999999998</v>
      </c>
      <c r="L59" s="3116">
        <v>0.75119999999999998</v>
      </c>
      <c r="M59" s="3117">
        <v>0.75119999999999998</v>
      </c>
    </row>
    <row r="60" spans="1:13">
      <c r="A60" s="3115">
        <v>6.7</v>
      </c>
      <c r="B60" s="3116">
        <v>0.92969999999999997</v>
      </c>
      <c r="C60" s="3116">
        <v>0.92969999999999997</v>
      </c>
      <c r="D60" s="3116">
        <v>0.86899999999999999</v>
      </c>
      <c r="E60" s="3116">
        <v>0.86899999999999999</v>
      </c>
      <c r="F60" s="3116">
        <v>0.86899999999999999</v>
      </c>
      <c r="G60" s="3116">
        <v>0.86899999999999999</v>
      </c>
      <c r="H60" s="3116">
        <v>0.86899999999999999</v>
      </c>
      <c r="I60" s="3116">
        <v>0.74809999999999999</v>
      </c>
      <c r="J60" s="3116">
        <v>0.74809999999999999</v>
      </c>
      <c r="K60" s="3116">
        <v>0.74809999999999999</v>
      </c>
      <c r="L60" s="3116">
        <v>0.74809999999999999</v>
      </c>
      <c r="M60" s="3117">
        <v>0.74809999999999999</v>
      </c>
    </row>
    <row r="61" spans="1:13">
      <c r="A61" s="3115">
        <v>6.8</v>
      </c>
      <c r="B61" s="3116">
        <v>0.92820000000000003</v>
      </c>
      <c r="C61" s="3116">
        <v>0.92820000000000003</v>
      </c>
      <c r="D61" s="3116">
        <v>0.8669</v>
      </c>
      <c r="E61" s="3116">
        <v>0.8669</v>
      </c>
      <c r="F61" s="3116">
        <v>0.8669</v>
      </c>
      <c r="G61" s="3116">
        <v>0.8669</v>
      </c>
      <c r="H61" s="3116">
        <v>0.8669</v>
      </c>
      <c r="I61" s="3116">
        <v>0.74509999999999998</v>
      </c>
      <c r="J61" s="3116">
        <v>0.74509999999999998</v>
      </c>
      <c r="K61" s="3116">
        <v>0.74509999999999998</v>
      </c>
      <c r="L61" s="3116">
        <v>0.74509999999999998</v>
      </c>
      <c r="M61" s="3117">
        <v>0.74509999999999998</v>
      </c>
    </row>
    <row r="62" spans="1:13">
      <c r="A62" s="3115">
        <v>6.9</v>
      </c>
      <c r="B62" s="3116">
        <v>0.92669999999999997</v>
      </c>
      <c r="C62" s="3116">
        <v>0.92669999999999997</v>
      </c>
      <c r="D62" s="3116">
        <v>0.86480000000000001</v>
      </c>
      <c r="E62" s="3116">
        <v>0.86480000000000001</v>
      </c>
      <c r="F62" s="3116">
        <v>0.86480000000000001</v>
      </c>
      <c r="G62" s="3116">
        <v>0.86480000000000001</v>
      </c>
      <c r="H62" s="3116">
        <v>0.86480000000000001</v>
      </c>
      <c r="I62" s="3116">
        <v>0.74209999999999998</v>
      </c>
      <c r="J62" s="3116">
        <v>0.74209999999999998</v>
      </c>
      <c r="K62" s="3116">
        <v>0.74209999999999998</v>
      </c>
      <c r="L62" s="3116">
        <v>0.74209999999999998</v>
      </c>
      <c r="M62" s="3117">
        <v>0.74209999999999998</v>
      </c>
    </row>
    <row r="63" spans="1:13">
      <c r="A63" s="3115">
        <v>7</v>
      </c>
      <c r="B63" s="3116">
        <v>0.92520000000000002</v>
      </c>
      <c r="C63" s="3116">
        <v>0.92520000000000002</v>
      </c>
      <c r="D63" s="3116">
        <v>0.86270000000000002</v>
      </c>
      <c r="E63" s="3116">
        <v>0.86270000000000002</v>
      </c>
      <c r="F63" s="3116">
        <v>0.86270000000000002</v>
      </c>
      <c r="G63" s="3116">
        <v>0.86270000000000002</v>
      </c>
      <c r="H63" s="3116">
        <v>0.86270000000000002</v>
      </c>
      <c r="I63" s="3116">
        <v>0.73919999999999997</v>
      </c>
      <c r="J63" s="3116">
        <v>0.73919999999999997</v>
      </c>
      <c r="K63" s="3116">
        <v>0.73919999999999997</v>
      </c>
      <c r="L63" s="3116">
        <v>0.73919999999999997</v>
      </c>
      <c r="M63" s="3117">
        <v>0.73919999999999997</v>
      </c>
    </row>
    <row r="64" spans="1:13">
      <c r="A64" s="3115">
        <v>7.1</v>
      </c>
      <c r="B64" s="3116">
        <v>0.92369999999999997</v>
      </c>
      <c r="C64" s="3116">
        <v>0.92369999999999997</v>
      </c>
      <c r="D64" s="3116">
        <v>0.86060000000000003</v>
      </c>
      <c r="E64" s="3116">
        <v>0.86060000000000003</v>
      </c>
      <c r="F64" s="3116">
        <v>0.86060000000000003</v>
      </c>
      <c r="G64" s="3116">
        <v>0.86060000000000003</v>
      </c>
      <c r="H64" s="3116">
        <v>0.86060000000000003</v>
      </c>
      <c r="I64" s="3116">
        <v>0.73629999999999995</v>
      </c>
      <c r="J64" s="3116">
        <v>0.73629999999999995</v>
      </c>
      <c r="K64" s="3116">
        <v>0.73629999999999995</v>
      </c>
      <c r="L64" s="3116">
        <v>0.73629999999999995</v>
      </c>
      <c r="M64" s="3117">
        <v>0.73629999999999995</v>
      </c>
    </row>
    <row r="65" spans="1:13">
      <c r="A65" s="3115">
        <v>7.2</v>
      </c>
      <c r="B65" s="3116">
        <v>0.92220000000000002</v>
      </c>
      <c r="C65" s="3116">
        <v>0.92220000000000002</v>
      </c>
      <c r="D65" s="3116">
        <v>0.85850000000000004</v>
      </c>
      <c r="E65" s="3116">
        <v>0.85850000000000004</v>
      </c>
      <c r="F65" s="3116">
        <v>0.85850000000000004</v>
      </c>
      <c r="G65" s="3116">
        <v>0.85850000000000004</v>
      </c>
      <c r="H65" s="3116">
        <v>0.85850000000000004</v>
      </c>
      <c r="I65" s="3116">
        <v>0.73350000000000004</v>
      </c>
      <c r="J65" s="3116">
        <v>0.73350000000000004</v>
      </c>
      <c r="K65" s="3116">
        <v>0.73350000000000004</v>
      </c>
      <c r="L65" s="3116">
        <v>0.73350000000000004</v>
      </c>
      <c r="M65" s="3117">
        <v>0.73350000000000004</v>
      </c>
    </row>
    <row r="66" spans="1:13">
      <c r="A66" s="3115">
        <v>7.3</v>
      </c>
      <c r="B66" s="3116">
        <v>0.92069999999999996</v>
      </c>
      <c r="C66" s="3116">
        <v>0.92069999999999996</v>
      </c>
      <c r="D66" s="3116">
        <v>0.85650000000000004</v>
      </c>
      <c r="E66" s="3116">
        <v>0.85650000000000004</v>
      </c>
      <c r="F66" s="3116">
        <v>0.85650000000000004</v>
      </c>
      <c r="G66" s="3116">
        <v>0.85650000000000004</v>
      </c>
      <c r="H66" s="3116">
        <v>0.85650000000000004</v>
      </c>
      <c r="I66" s="3116">
        <v>0.73070000000000002</v>
      </c>
      <c r="J66" s="3116">
        <v>0.73070000000000002</v>
      </c>
      <c r="K66" s="3116">
        <v>0.73070000000000002</v>
      </c>
      <c r="L66" s="3116">
        <v>0.73070000000000002</v>
      </c>
      <c r="M66" s="3117">
        <v>0.73070000000000002</v>
      </c>
    </row>
    <row r="67" spans="1:13">
      <c r="A67" s="3115">
        <v>7.4</v>
      </c>
      <c r="B67" s="3116">
        <v>0.91930000000000001</v>
      </c>
      <c r="C67" s="3116">
        <v>0.91930000000000001</v>
      </c>
      <c r="D67" s="3116">
        <v>0.85450000000000004</v>
      </c>
      <c r="E67" s="3116">
        <v>0.85450000000000004</v>
      </c>
      <c r="F67" s="3116">
        <v>0.85450000000000004</v>
      </c>
      <c r="G67" s="3116">
        <v>0.85450000000000004</v>
      </c>
      <c r="H67" s="3116">
        <v>0.85450000000000004</v>
      </c>
      <c r="I67" s="3116">
        <v>0.72799999999999998</v>
      </c>
      <c r="J67" s="3116">
        <v>0.72799999999999998</v>
      </c>
      <c r="K67" s="3116">
        <v>0.72799999999999998</v>
      </c>
      <c r="L67" s="3116">
        <v>0.72799999999999998</v>
      </c>
      <c r="M67" s="3117">
        <v>0.72799999999999998</v>
      </c>
    </row>
    <row r="68" spans="1:13">
      <c r="A68" s="3115">
        <v>7.5</v>
      </c>
      <c r="B68" s="3116">
        <v>0.91790000000000005</v>
      </c>
      <c r="C68" s="3116">
        <v>0.91790000000000005</v>
      </c>
      <c r="D68" s="3116">
        <v>0.85250000000000004</v>
      </c>
      <c r="E68" s="3116">
        <v>0.85250000000000004</v>
      </c>
      <c r="F68" s="3116">
        <v>0.85250000000000004</v>
      </c>
      <c r="G68" s="3116">
        <v>0.85250000000000004</v>
      </c>
      <c r="H68" s="3116">
        <v>0.85250000000000004</v>
      </c>
      <c r="I68" s="3116">
        <v>0.72529999999999994</v>
      </c>
      <c r="J68" s="3116">
        <v>0.72529999999999994</v>
      </c>
      <c r="K68" s="3116">
        <v>0.72529999999999994</v>
      </c>
      <c r="L68" s="3116">
        <v>0.72529999999999994</v>
      </c>
      <c r="M68" s="3117">
        <v>0.72529999999999994</v>
      </c>
    </row>
    <row r="69" spans="1:13">
      <c r="A69" s="3115">
        <v>7.6</v>
      </c>
      <c r="B69" s="3116">
        <v>0.91649999999999998</v>
      </c>
      <c r="C69" s="3116">
        <v>0.91649999999999998</v>
      </c>
      <c r="D69" s="3116">
        <v>0.85050000000000003</v>
      </c>
      <c r="E69" s="3116">
        <v>0.85050000000000003</v>
      </c>
      <c r="F69" s="3116">
        <v>0.85050000000000003</v>
      </c>
      <c r="G69" s="3116">
        <v>0.85050000000000003</v>
      </c>
      <c r="H69" s="3116">
        <v>0.85050000000000003</v>
      </c>
      <c r="I69" s="3116">
        <v>0.72260000000000002</v>
      </c>
      <c r="J69" s="3116">
        <v>0.72260000000000002</v>
      </c>
      <c r="K69" s="3116">
        <v>0.72260000000000002</v>
      </c>
      <c r="L69" s="3116">
        <v>0.72260000000000002</v>
      </c>
      <c r="M69" s="3117">
        <v>0.72260000000000002</v>
      </c>
    </row>
    <row r="70" spans="1:13">
      <c r="A70" s="3115">
        <v>7.7</v>
      </c>
      <c r="B70" s="3116">
        <v>0.91510000000000002</v>
      </c>
      <c r="C70" s="3116">
        <v>0.91510000000000002</v>
      </c>
      <c r="D70" s="3116">
        <v>0.84850000000000003</v>
      </c>
      <c r="E70" s="3116">
        <v>0.84850000000000003</v>
      </c>
      <c r="F70" s="3116">
        <v>0.84850000000000003</v>
      </c>
      <c r="G70" s="3116">
        <v>0.84850000000000003</v>
      </c>
      <c r="H70" s="3116">
        <v>0.84850000000000003</v>
      </c>
      <c r="I70" s="3116">
        <v>0.72</v>
      </c>
      <c r="J70" s="3116">
        <v>0.72</v>
      </c>
      <c r="K70" s="3116">
        <v>0.72</v>
      </c>
      <c r="L70" s="3116">
        <v>0.72</v>
      </c>
      <c r="M70" s="3117">
        <v>0.72</v>
      </c>
    </row>
    <row r="71" spans="1:13">
      <c r="A71" s="3115">
        <v>7.8</v>
      </c>
      <c r="B71" s="3116">
        <v>0.91369999999999996</v>
      </c>
      <c r="C71" s="3116">
        <v>0.91369999999999996</v>
      </c>
      <c r="D71" s="3116">
        <v>0.84660000000000002</v>
      </c>
      <c r="E71" s="3116">
        <v>0.84660000000000002</v>
      </c>
      <c r="F71" s="3116">
        <v>0.84660000000000002</v>
      </c>
      <c r="G71" s="3116">
        <v>0.84660000000000002</v>
      </c>
      <c r="H71" s="3116">
        <v>0.84660000000000002</v>
      </c>
      <c r="I71" s="3116">
        <v>0.71740000000000004</v>
      </c>
      <c r="J71" s="3116">
        <v>0.71740000000000004</v>
      </c>
      <c r="K71" s="3116">
        <v>0.71740000000000004</v>
      </c>
      <c r="L71" s="3116">
        <v>0.71740000000000004</v>
      </c>
      <c r="M71" s="3117">
        <v>0.71740000000000004</v>
      </c>
    </row>
    <row r="72" spans="1:13">
      <c r="A72" s="3115">
        <v>7.9</v>
      </c>
      <c r="B72" s="3116">
        <v>0.9123</v>
      </c>
      <c r="C72" s="3116">
        <v>0.9123</v>
      </c>
      <c r="D72" s="3116">
        <v>0.84470000000000001</v>
      </c>
      <c r="E72" s="3116">
        <v>0.84470000000000001</v>
      </c>
      <c r="F72" s="3116">
        <v>0.84470000000000001</v>
      </c>
      <c r="G72" s="3116">
        <v>0.84470000000000001</v>
      </c>
      <c r="H72" s="3116">
        <v>0.84470000000000001</v>
      </c>
      <c r="I72" s="3116">
        <v>0.71479999999999999</v>
      </c>
      <c r="J72" s="3116">
        <v>0.71479999999999999</v>
      </c>
      <c r="K72" s="3116">
        <v>0.71479999999999999</v>
      </c>
      <c r="L72" s="3116">
        <v>0.71479999999999999</v>
      </c>
      <c r="M72" s="3117">
        <v>0.71479999999999999</v>
      </c>
    </row>
    <row r="73" spans="1:13">
      <c r="A73" s="3115">
        <v>8</v>
      </c>
      <c r="B73" s="3116">
        <v>0.91090000000000004</v>
      </c>
      <c r="C73" s="3116">
        <v>0.91090000000000004</v>
      </c>
      <c r="D73" s="3116">
        <v>0.84279999999999999</v>
      </c>
      <c r="E73" s="3116">
        <v>0.84279999999999999</v>
      </c>
      <c r="F73" s="3116">
        <v>0.84279999999999999</v>
      </c>
      <c r="G73" s="3116">
        <v>0.84279999999999999</v>
      </c>
      <c r="H73" s="3116">
        <v>0.84279999999999999</v>
      </c>
      <c r="I73" s="3116">
        <v>0.71230000000000004</v>
      </c>
      <c r="J73" s="3116">
        <v>0.71230000000000004</v>
      </c>
      <c r="K73" s="3116">
        <v>0.71230000000000004</v>
      </c>
      <c r="L73" s="3116">
        <v>0.71230000000000004</v>
      </c>
      <c r="M73" s="3117">
        <v>0.71230000000000004</v>
      </c>
    </row>
    <row r="74" spans="1:13">
      <c r="A74" s="3115">
        <v>8.1</v>
      </c>
      <c r="B74" s="3116">
        <v>0.90959999999999996</v>
      </c>
      <c r="C74" s="3116">
        <v>0.90959999999999996</v>
      </c>
      <c r="D74" s="3116">
        <v>0.84089999999999998</v>
      </c>
      <c r="E74" s="3116">
        <v>0.84089999999999998</v>
      </c>
      <c r="F74" s="3116">
        <v>0.84089999999999998</v>
      </c>
      <c r="G74" s="3116">
        <v>0.84089999999999998</v>
      </c>
      <c r="H74" s="3116">
        <v>0.84089999999999998</v>
      </c>
      <c r="I74" s="3116">
        <v>0.70979999999999999</v>
      </c>
      <c r="J74" s="3116">
        <v>0.70979999999999999</v>
      </c>
      <c r="K74" s="3116">
        <v>0.70979999999999999</v>
      </c>
      <c r="L74" s="3116">
        <v>0.70979999999999999</v>
      </c>
      <c r="M74" s="3117">
        <v>0.70979999999999999</v>
      </c>
    </row>
    <row r="75" spans="1:13">
      <c r="A75" s="3115">
        <v>8.1999999999999993</v>
      </c>
      <c r="B75" s="3116">
        <v>0.9083</v>
      </c>
      <c r="C75" s="3116">
        <v>0.9083</v>
      </c>
      <c r="D75" s="3116">
        <v>0.83899999999999997</v>
      </c>
      <c r="E75" s="3116">
        <v>0.83899999999999997</v>
      </c>
      <c r="F75" s="3116">
        <v>0.83899999999999997</v>
      </c>
      <c r="G75" s="3116">
        <v>0.83899999999999997</v>
      </c>
      <c r="H75" s="3116">
        <v>0.83899999999999997</v>
      </c>
      <c r="I75" s="3116">
        <v>0.70730000000000004</v>
      </c>
      <c r="J75" s="3116">
        <v>0.70730000000000004</v>
      </c>
      <c r="K75" s="3116">
        <v>0.70730000000000004</v>
      </c>
      <c r="L75" s="3116">
        <v>0.70730000000000004</v>
      </c>
      <c r="M75" s="3117">
        <v>0.70730000000000004</v>
      </c>
    </row>
    <row r="76" spans="1:13">
      <c r="A76" s="3115">
        <v>8.3000000000000007</v>
      </c>
      <c r="B76" s="3116">
        <v>0.90700000000000003</v>
      </c>
      <c r="C76" s="3116">
        <v>0.90700000000000003</v>
      </c>
      <c r="D76" s="3116">
        <v>0.83720000000000006</v>
      </c>
      <c r="E76" s="3116">
        <v>0.83720000000000006</v>
      </c>
      <c r="F76" s="3116">
        <v>0.83720000000000006</v>
      </c>
      <c r="G76" s="3116">
        <v>0.83720000000000006</v>
      </c>
      <c r="H76" s="3116">
        <v>0.83720000000000006</v>
      </c>
      <c r="I76" s="3116">
        <v>0.70489999999999997</v>
      </c>
      <c r="J76" s="3116">
        <v>0.70489999999999997</v>
      </c>
      <c r="K76" s="3116">
        <v>0.70489999999999997</v>
      </c>
      <c r="L76" s="3116">
        <v>0.70489999999999997</v>
      </c>
      <c r="M76" s="3117">
        <v>0.70489999999999997</v>
      </c>
    </row>
    <row r="77" spans="1:13">
      <c r="A77" s="3115">
        <v>8.4</v>
      </c>
      <c r="B77" s="3116">
        <v>0.90569999999999995</v>
      </c>
      <c r="C77" s="3116">
        <v>0.90569999999999995</v>
      </c>
      <c r="D77" s="3116">
        <v>0.83540000000000003</v>
      </c>
      <c r="E77" s="3116">
        <v>0.83540000000000003</v>
      </c>
      <c r="F77" s="3116">
        <v>0.83540000000000003</v>
      </c>
      <c r="G77" s="3116">
        <v>0.83540000000000003</v>
      </c>
      <c r="H77" s="3116">
        <v>0.83540000000000003</v>
      </c>
      <c r="I77" s="3116">
        <v>0.70250000000000001</v>
      </c>
      <c r="J77" s="3116">
        <v>0.70250000000000001</v>
      </c>
      <c r="K77" s="3116">
        <v>0.70250000000000001</v>
      </c>
      <c r="L77" s="3116">
        <v>0.70250000000000001</v>
      </c>
      <c r="M77" s="3117">
        <v>0.70250000000000001</v>
      </c>
    </row>
    <row r="78" spans="1:13">
      <c r="A78" s="3115">
        <v>8.5</v>
      </c>
      <c r="B78" s="3116">
        <v>0.90439999999999998</v>
      </c>
      <c r="C78" s="3116">
        <v>0.90439999999999998</v>
      </c>
      <c r="D78" s="3116">
        <v>0.83360000000000001</v>
      </c>
      <c r="E78" s="3116">
        <v>0.83360000000000001</v>
      </c>
      <c r="F78" s="3116">
        <v>0.83360000000000001</v>
      </c>
      <c r="G78" s="3116">
        <v>0.83360000000000001</v>
      </c>
      <c r="H78" s="3116">
        <v>0.83360000000000001</v>
      </c>
      <c r="I78" s="3116">
        <v>0.70009999999999994</v>
      </c>
      <c r="J78" s="3116">
        <v>0.70009999999999994</v>
      </c>
      <c r="K78" s="3116">
        <v>0.70009999999999994</v>
      </c>
      <c r="L78" s="3116">
        <v>0.70009999999999994</v>
      </c>
      <c r="M78" s="3117">
        <v>0.70009999999999994</v>
      </c>
    </row>
    <row r="79" spans="1:13">
      <c r="A79" s="3115">
        <v>8.6</v>
      </c>
      <c r="B79" s="3116">
        <v>0.90310000000000001</v>
      </c>
      <c r="C79" s="3116">
        <v>0.90310000000000001</v>
      </c>
      <c r="D79" s="3116">
        <v>0.83179999999999998</v>
      </c>
      <c r="E79" s="3116">
        <v>0.83179999999999998</v>
      </c>
      <c r="F79" s="3116">
        <v>0.83179999999999998</v>
      </c>
      <c r="G79" s="3116">
        <v>0.83179999999999998</v>
      </c>
      <c r="H79" s="3116">
        <v>0.83179999999999998</v>
      </c>
      <c r="I79" s="3116">
        <v>0.69779999999999998</v>
      </c>
      <c r="J79" s="3116">
        <v>0.69779999999999998</v>
      </c>
      <c r="K79" s="3116">
        <v>0.69779999999999998</v>
      </c>
      <c r="L79" s="3116">
        <v>0.69779999999999998</v>
      </c>
      <c r="M79" s="3117">
        <v>0.69779999999999998</v>
      </c>
    </row>
    <row r="80" spans="1:13">
      <c r="A80" s="3115">
        <v>8.6999999999999993</v>
      </c>
      <c r="B80" s="3116">
        <v>0.90180000000000005</v>
      </c>
      <c r="C80" s="3116">
        <v>0.90180000000000005</v>
      </c>
      <c r="D80" s="3116">
        <v>0.83</v>
      </c>
      <c r="E80" s="3116">
        <v>0.83</v>
      </c>
      <c r="F80" s="3116">
        <v>0.83</v>
      </c>
      <c r="G80" s="3116">
        <v>0.83</v>
      </c>
      <c r="H80" s="3116">
        <v>0.83</v>
      </c>
      <c r="I80" s="3116">
        <v>0.69550000000000001</v>
      </c>
      <c r="J80" s="3116">
        <v>0.69550000000000001</v>
      </c>
      <c r="K80" s="3116">
        <v>0.69550000000000001</v>
      </c>
      <c r="L80" s="3116">
        <v>0.69550000000000001</v>
      </c>
      <c r="M80" s="3117">
        <v>0.69550000000000001</v>
      </c>
    </row>
    <row r="81" spans="1:20">
      <c r="A81" s="3115">
        <v>8.8000000000000007</v>
      </c>
      <c r="B81" s="3116">
        <v>0.90059999999999996</v>
      </c>
      <c r="C81" s="3116">
        <v>0.90059999999999996</v>
      </c>
      <c r="D81" s="3116">
        <v>0.82830000000000004</v>
      </c>
      <c r="E81" s="3116">
        <v>0.82830000000000004</v>
      </c>
      <c r="F81" s="3116">
        <v>0.82830000000000004</v>
      </c>
      <c r="G81" s="3116">
        <v>0.82830000000000004</v>
      </c>
      <c r="H81" s="3116">
        <v>0.82830000000000004</v>
      </c>
      <c r="I81" s="3116">
        <v>0.69320000000000004</v>
      </c>
      <c r="J81" s="3116">
        <v>0.69320000000000004</v>
      </c>
      <c r="K81" s="3116">
        <v>0.69320000000000004</v>
      </c>
      <c r="L81" s="3116">
        <v>0.69320000000000004</v>
      </c>
      <c r="M81" s="3117">
        <v>0.69320000000000004</v>
      </c>
    </row>
    <row r="82" spans="1:20">
      <c r="A82" s="3115">
        <v>8.9</v>
      </c>
      <c r="B82" s="3116">
        <v>0.89939999999999998</v>
      </c>
      <c r="C82" s="3116">
        <v>0.89939999999999998</v>
      </c>
      <c r="D82" s="3116">
        <v>0.8266</v>
      </c>
      <c r="E82" s="3116">
        <v>0.8266</v>
      </c>
      <c r="F82" s="3116">
        <v>0.8266</v>
      </c>
      <c r="G82" s="3116">
        <v>0.8266</v>
      </c>
      <c r="H82" s="3116">
        <v>0.8266</v>
      </c>
      <c r="I82" s="3116">
        <v>0.69099999999999995</v>
      </c>
      <c r="J82" s="3116">
        <v>0.69099999999999995</v>
      </c>
      <c r="K82" s="3116">
        <v>0.69099999999999995</v>
      </c>
      <c r="L82" s="3116">
        <v>0.69099999999999995</v>
      </c>
      <c r="M82" s="3117">
        <v>0.69099999999999995</v>
      </c>
    </row>
    <row r="83" spans="1:20">
      <c r="A83" s="3118">
        <v>9</v>
      </c>
      <c r="B83" s="3116">
        <v>0.8982</v>
      </c>
      <c r="C83" s="3116">
        <v>0.8982</v>
      </c>
      <c r="D83" s="3116">
        <v>0.82489999999999997</v>
      </c>
      <c r="E83" s="3116">
        <v>0.82489999999999997</v>
      </c>
      <c r="F83" s="3116">
        <v>0.82489999999999997</v>
      </c>
      <c r="G83" s="3116">
        <v>0.82489999999999997</v>
      </c>
      <c r="H83" s="3116">
        <v>0.82489999999999997</v>
      </c>
      <c r="I83" s="3116">
        <v>0.68879999999999997</v>
      </c>
      <c r="J83" s="3116">
        <v>0.68879999999999997</v>
      </c>
      <c r="K83" s="3116">
        <v>0.68879999999999997</v>
      </c>
      <c r="L83" s="3116">
        <v>0.68879999999999997</v>
      </c>
      <c r="M83" s="3117">
        <v>0.68879999999999997</v>
      </c>
    </row>
    <row r="84" spans="1:20">
      <c r="A84" s="3118">
        <v>9.1</v>
      </c>
      <c r="B84" s="3116">
        <v>0.89700000000000002</v>
      </c>
      <c r="C84" s="3116">
        <v>0.89700000000000002</v>
      </c>
      <c r="D84" s="3116">
        <v>0.82320000000000004</v>
      </c>
      <c r="E84" s="3116">
        <v>0.82320000000000004</v>
      </c>
      <c r="F84" s="3116">
        <v>0.82320000000000004</v>
      </c>
      <c r="G84" s="3116">
        <v>0.82320000000000004</v>
      </c>
      <c r="H84" s="3116">
        <v>0.82320000000000004</v>
      </c>
      <c r="I84" s="3116">
        <v>0.68659999999999999</v>
      </c>
      <c r="J84" s="3116">
        <v>0.68659999999999999</v>
      </c>
      <c r="K84" s="3116">
        <v>0.68659999999999999</v>
      </c>
      <c r="L84" s="3116">
        <v>0.68659999999999999</v>
      </c>
      <c r="M84" s="3117">
        <v>0.68659999999999999</v>
      </c>
    </row>
    <row r="85" spans="1:20">
      <c r="A85" s="3118">
        <v>9.1999999999999993</v>
      </c>
      <c r="B85" s="3116">
        <v>0.89580000000000004</v>
      </c>
      <c r="C85" s="3116">
        <v>0.89580000000000004</v>
      </c>
      <c r="D85" s="3116">
        <v>0.82150000000000001</v>
      </c>
      <c r="E85" s="3116">
        <v>0.82150000000000001</v>
      </c>
      <c r="F85" s="3116">
        <v>0.82150000000000001</v>
      </c>
      <c r="G85" s="3116">
        <v>0.82150000000000001</v>
      </c>
      <c r="H85" s="3116">
        <v>0.82150000000000001</v>
      </c>
      <c r="I85" s="3116">
        <v>0.6845</v>
      </c>
      <c r="J85" s="3116">
        <v>0.6845</v>
      </c>
      <c r="K85" s="3116">
        <v>0.6845</v>
      </c>
      <c r="L85" s="3116">
        <v>0.6845</v>
      </c>
      <c r="M85" s="3117">
        <v>0.6845</v>
      </c>
    </row>
    <row r="86" spans="1:20">
      <c r="A86" s="3118">
        <v>9.3000000000000007</v>
      </c>
      <c r="B86" s="3116">
        <v>0.89459999999999995</v>
      </c>
      <c r="C86" s="3116">
        <v>0.89459999999999995</v>
      </c>
      <c r="D86" s="3116">
        <v>0.81989999999999996</v>
      </c>
      <c r="E86" s="3116">
        <v>0.81989999999999996</v>
      </c>
      <c r="F86" s="3116">
        <v>0.81989999999999996</v>
      </c>
      <c r="G86" s="3116">
        <v>0.81989999999999996</v>
      </c>
      <c r="H86" s="3116">
        <v>0.81989999999999996</v>
      </c>
      <c r="I86" s="3116">
        <v>0.68240000000000001</v>
      </c>
      <c r="J86" s="3116">
        <v>0.68240000000000001</v>
      </c>
      <c r="K86" s="3116">
        <v>0.68240000000000001</v>
      </c>
      <c r="L86" s="3116">
        <v>0.68240000000000001</v>
      </c>
      <c r="M86" s="3117">
        <v>0.68240000000000001</v>
      </c>
    </row>
    <row r="87" spans="1:20">
      <c r="A87" s="3118">
        <v>9.4</v>
      </c>
      <c r="B87" s="3116">
        <v>0.89339999999999997</v>
      </c>
      <c r="C87" s="3116">
        <v>0.89339999999999997</v>
      </c>
      <c r="D87" s="3116">
        <v>0.81830000000000003</v>
      </c>
      <c r="E87" s="3116">
        <v>0.81830000000000003</v>
      </c>
      <c r="F87" s="3116">
        <v>0.81830000000000003</v>
      </c>
      <c r="G87" s="3116">
        <v>0.81830000000000003</v>
      </c>
      <c r="H87" s="3116">
        <v>0.81830000000000003</v>
      </c>
      <c r="I87" s="3116">
        <v>0.68030000000000002</v>
      </c>
      <c r="J87" s="3116">
        <v>0.68030000000000002</v>
      </c>
      <c r="K87" s="3116">
        <v>0.68030000000000002</v>
      </c>
      <c r="L87" s="3116">
        <v>0.68030000000000002</v>
      </c>
      <c r="M87" s="3117">
        <v>0.68030000000000002</v>
      </c>
    </row>
    <row r="88" spans="1:20">
      <c r="A88" s="3118">
        <v>9.5</v>
      </c>
      <c r="B88" s="3116">
        <v>0.89229999999999998</v>
      </c>
      <c r="C88" s="3116">
        <v>0.89229999999999998</v>
      </c>
      <c r="D88" s="3116">
        <v>0.81669999999999998</v>
      </c>
      <c r="E88" s="3116">
        <v>0.81669999999999998</v>
      </c>
      <c r="F88" s="3116">
        <v>0.81669999999999998</v>
      </c>
      <c r="G88" s="3116">
        <v>0.81669999999999998</v>
      </c>
      <c r="H88" s="3116">
        <v>0.81669999999999998</v>
      </c>
      <c r="I88" s="3116">
        <v>0.67830000000000001</v>
      </c>
      <c r="J88" s="3116">
        <v>0.67830000000000001</v>
      </c>
      <c r="K88" s="3116">
        <v>0.67830000000000001</v>
      </c>
      <c r="L88" s="3116">
        <v>0.67830000000000001</v>
      </c>
      <c r="M88" s="3117">
        <v>0.67830000000000001</v>
      </c>
    </row>
    <row r="89" spans="1:20">
      <c r="A89" s="3118">
        <v>9.6</v>
      </c>
      <c r="B89" s="3116">
        <v>0.89119999999999999</v>
      </c>
      <c r="C89" s="3116">
        <v>0.89119999999999999</v>
      </c>
      <c r="D89" s="3116">
        <v>0.81510000000000005</v>
      </c>
      <c r="E89" s="3116">
        <v>0.81510000000000005</v>
      </c>
      <c r="F89" s="3116">
        <v>0.81510000000000005</v>
      </c>
      <c r="G89" s="3116">
        <v>0.81510000000000005</v>
      </c>
      <c r="H89" s="3116">
        <v>0.81510000000000005</v>
      </c>
      <c r="I89" s="3116">
        <v>0.67630000000000001</v>
      </c>
      <c r="J89" s="3116">
        <v>0.67630000000000001</v>
      </c>
      <c r="K89" s="3116">
        <v>0.67630000000000001</v>
      </c>
      <c r="L89" s="3116">
        <v>0.67630000000000001</v>
      </c>
      <c r="M89" s="3117">
        <v>0.67630000000000001</v>
      </c>
    </row>
    <row r="90" spans="1:20">
      <c r="A90" s="3118">
        <v>9.6999999999999993</v>
      </c>
      <c r="B90" s="3116">
        <v>0.8901</v>
      </c>
      <c r="C90" s="3116">
        <v>0.8901</v>
      </c>
      <c r="D90" s="3116">
        <v>0.8135</v>
      </c>
      <c r="E90" s="3116">
        <v>0.8135</v>
      </c>
      <c r="F90" s="3116">
        <v>0.8135</v>
      </c>
      <c r="G90" s="3116">
        <v>0.8135</v>
      </c>
      <c r="H90" s="3116">
        <v>0.8135</v>
      </c>
      <c r="I90" s="3116">
        <v>0.67430000000000001</v>
      </c>
      <c r="J90" s="3116">
        <v>0.67430000000000001</v>
      </c>
      <c r="K90" s="3116">
        <v>0.67430000000000001</v>
      </c>
      <c r="L90" s="3116">
        <v>0.67430000000000001</v>
      </c>
      <c r="M90" s="3117">
        <v>0.67430000000000001</v>
      </c>
    </row>
    <row r="91" spans="1:20">
      <c r="A91" s="3118">
        <v>9.8000000000000007</v>
      </c>
      <c r="B91" s="3116">
        <v>0.88900000000000001</v>
      </c>
      <c r="C91" s="3116">
        <v>0.88900000000000001</v>
      </c>
      <c r="D91" s="3116">
        <v>0.81200000000000006</v>
      </c>
      <c r="E91" s="3116">
        <v>0.81200000000000006</v>
      </c>
      <c r="F91" s="3116">
        <v>0.81200000000000006</v>
      </c>
      <c r="G91" s="3116">
        <v>0.81200000000000006</v>
      </c>
      <c r="H91" s="3116">
        <v>0.81200000000000006</v>
      </c>
      <c r="I91" s="3116">
        <v>0.6724</v>
      </c>
      <c r="J91" s="3116">
        <v>0.6724</v>
      </c>
      <c r="K91" s="3116">
        <v>0.6724</v>
      </c>
      <c r="L91" s="3116">
        <v>0.6724</v>
      </c>
      <c r="M91" s="3117">
        <v>0.6724</v>
      </c>
    </row>
    <row r="92" spans="1:20" ht="14.25" thickBot="1">
      <c r="A92" s="3119">
        <v>9.9</v>
      </c>
      <c r="B92" s="3120">
        <v>0.88790000000000002</v>
      </c>
      <c r="C92" s="3120">
        <v>0.88790000000000002</v>
      </c>
      <c r="D92" s="3120">
        <v>0.8105</v>
      </c>
      <c r="E92" s="3120">
        <v>0.8105</v>
      </c>
      <c r="F92" s="3120">
        <v>0.8105</v>
      </c>
      <c r="G92" s="3120">
        <v>0.8105</v>
      </c>
      <c r="H92" s="3120">
        <v>0.8105</v>
      </c>
      <c r="I92" s="3120">
        <v>0.67049999999999998</v>
      </c>
      <c r="J92" s="3120">
        <v>0.67049999999999998</v>
      </c>
      <c r="K92" s="3120">
        <v>0.67049999999999998</v>
      </c>
      <c r="L92" s="3120">
        <v>0.67049999999999998</v>
      </c>
      <c r="M92" s="3121">
        <v>0.67049999999999998</v>
      </c>
    </row>
    <row r="93" spans="1:20" ht="15" thickBot="1">
      <c r="A93" s="3109" t="s">
        <v>2802</v>
      </c>
      <c r="B93" s="3109"/>
      <c r="C93" s="3109"/>
      <c r="D93" s="3109"/>
      <c r="E93" s="3109"/>
      <c r="F93" s="3109"/>
      <c r="G93" s="3109"/>
      <c r="H93" s="3109"/>
      <c r="I93" s="3109"/>
      <c r="J93" s="3109"/>
      <c r="K93" s="3109"/>
      <c r="L93" s="3109"/>
      <c r="M93" s="3109"/>
    </row>
    <row r="94" spans="1:20">
      <c r="A94" s="3110" t="s">
        <v>2801</v>
      </c>
      <c r="B94" s="3111" t="s">
        <v>2597</v>
      </c>
      <c r="C94" s="3111" t="s">
        <v>2598</v>
      </c>
      <c r="D94" s="3111" t="s">
        <v>2599</v>
      </c>
      <c r="E94" s="3111" t="s">
        <v>2600</v>
      </c>
      <c r="F94" s="3111" t="s">
        <v>2601</v>
      </c>
      <c r="G94" s="3111" t="s">
        <v>2602</v>
      </c>
      <c r="H94" s="3112" t="s">
        <v>2603</v>
      </c>
      <c r="I94" s="3112" t="s">
        <v>2604</v>
      </c>
      <c r="J94" s="3113" t="s">
        <v>2605</v>
      </c>
      <c r="K94" s="3113" t="s">
        <v>2606</v>
      </c>
      <c r="L94" s="3113" t="s">
        <v>2607</v>
      </c>
      <c r="M94" s="3114" t="s">
        <v>2608</v>
      </c>
      <c r="N94" s="750">
        <f>SUMPRODUCT((A95:A184=ROUNDDOWN(基准地价修正!G3,1))*(B94:M94=基准地价修正!G2)*(B95:M184))</f>
        <v>1.0638000000000001</v>
      </c>
      <c r="Q94" s="3124" t="s">
        <v>2806</v>
      </c>
      <c r="R94" s="3124" t="s">
        <v>2807</v>
      </c>
      <c r="S94" s="3124" t="s">
        <v>2808</v>
      </c>
      <c r="T94" s="3124" t="s">
        <v>2809</v>
      </c>
    </row>
    <row r="95" spans="1:20">
      <c r="A95" s="3115">
        <v>1</v>
      </c>
      <c r="B95" s="3116">
        <v>1.2501</v>
      </c>
      <c r="C95" s="3116">
        <v>1.2501</v>
      </c>
      <c r="D95" s="3116">
        <v>1.2158</v>
      </c>
      <c r="E95" s="3116">
        <v>1.2158</v>
      </c>
      <c r="F95" s="3116">
        <v>1.2158</v>
      </c>
      <c r="G95" s="3116">
        <v>1.2158</v>
      </c>
      <c r="H95" s="3116">
        <v>1.2158</v>
      </c>
      <c r="I95" s="3116">
        <v>1.2302</v>
      </c>
      <c r="J95" s="3116">
        <v>1.2302</v>
      </c>
      <c r="K95" s="3116">
        <v>1.2302</v>
      </c>
      <c r="L95" s="3116">
        <v>1.2302</v>
      </c>
      <c r="M95" s="3117">
        <v>1.2302</v>
      </c>
      <c r="Q95" s="3124">
        <v>10</v>
      </c>
      <c r="R95" s="3124">
        <f>ROUND(0.993-0.0112*Q95,4)</f>
        <v>0.88100000000000001</v>
      </c>
      <c r="S95" s="3124">
        <f>ROUND(0.9415-0.0142*Q95,4)</f>
        <v>0.79949999999999999</v>
      </c>
      <c r="T95" s="3124">
        <f>ROUND(0.8438-0.0182*Q95,4)</f>
        <v>0.66180000000000005</v>
      </c>
    </row>
    <row r="96" spans="1:20">
      <c r="A96" s="3115">
        <v>1.1000000000000001</v>
      </c>
      <c r="B96" s="3116">
        <v>1.2310000000000001</v>
      </c>
      <c r="C96" s="3116">
        <v>1.2310000000000001</v>
      </c>
      <c r="D96" s="3116">
        <v>1.1947000000000001</v>
      </c>
      <c r="E96" s="3116">
        <v>1.1947000000000001</v>
      </c>
      <c r="F96" s="3116">
        <v>1.1947000000000001</v>
      </c>
      <c r="G96" s="3116">
        <v>1.1947000000000001</v>
      </c>
      <c r="H96" s="3116">
        <v>1.1947000000000001</v>
      </c>
      <c r="I96" s="3116">
        <v>1.2008000000000001</v>
      </c>
      <c r="J96" s="3116">
        <v>1.2008000000000001</v>
      </c>
      <c r="K96" s="3116">
        <v>1.2008000000000001</v>
      </c>
      <c r="L96" s="3116">
        <v>1.2008000000000001</v>
      </c>
      <c r="M96" s="3117">
        <v>1.2008000000000001</v>
      </c>
    </row>
    <row r="97" spans="1:14">
      <c r="A97" s="3115">
        <v>1.2</v>
      </c>
      <c r="B97" s="3116">
        <v>1.2130000000000001</v>
      </c>
      <c r="C97" s="3116">
        <v>1.2130000000000001</v>
      </c>
      <c r="D97" s="3116">
        <v>1.1748000000000001</v>
      </c>
      <c r="E97" s="3116">
        <v>1.1748000000000001</v>
      </c>
      <c r="F97" s="3116">
        <v>1.1748000000000001</v>
      </c>
      <c r="G97" s="3116">
        <v>1.1748000000000001</v>
      </c>
      <c r="H97" s="3116">
        <v>1.1748000000000001</v>
      </c>
      <c r="I97" s="3116">
        <v>1.173</v>
      </c>
      <c r="J97" s="3116">
        <v>1.173</v>
      </c>
      <c r="K97" s="3116">
        <v>1.173</v>
      </c>
      <c r="L97" s="3116">
        <v>1.173</v>
      </c>
      <c r="M97" s="3117">
        <v>1.173</v>
      </c>
    </row>
    <row r="98" spans="1:14">
      <c r="A98" s="3115">
        <v>1.3</v>
      </c>
      <c r="B98" s="3116">
        <v>1.196</v>
      </c>
      <c r="C98" s="3116">
        <v>1.196</v>
      </c>
      <c r="D98" s="3116">
        <v>1.1559999999999999</v>
      </c>
      <c r="E98" s="3116">
        <v>1.1559999999999999</v>
      </c>
      <c r="F98" s="3116">
        <v>1.1559999999999999</v>
      </c>
      <c r="G98" s="3116">
        <v>1.1559999999999999</v>
      </c>
      <c r="H98" s="3116">
        <v>1.1559999999999999</v>
      </c>
      <c r="I98" s="3116">
        <v>1.1468</v>
      </c>
      <c r="J98" s="3116">
        <v>1.1468</v>
      </c>
      <c r="K98" s="3116">
        <v>1.1468</v>
      </c>
      <c r="L98" s="3116">
        <v>1.1468</v>
      </c>
      <c r="M98" s="3117">
        <v>1.1468</v>
      </c>
    </row>
    <row r="99" spans="1:14">
      <c r="A99" s="3115">
        <v>1.4</v>
      </c>
      <c r="B99" s="3116">
        <v>1.18</v>
      </c>
      <c r="C99" s="3116">
        <v>1.18</v>
      </c>
      <c r="D99" s="3116">
        <v>1.1382000000000001</v>
      </c>
      <c r="E99" s="3116">
        <v>1.1382000000000001</v>
      </c>
      <c r="F99" s="3116">
        <v>1.1382000000000001</v>
      </c>
      <c r="G99" s="3116">
        <v>1.1382000000000001</v>
      </c>
      <c r="H99" s="3116">
        <v>1.1382000000000001</v>
      </c>
      <c r="I99" s="3116">
        <v>1.1220000000000001</v>
      </c>
      <c r="J99" s="3116">
        <v>1.1220000000000001</v>
      </c>
      <c r="K99" s="3116">
        <v>1.1220000000000001</v>
      </c>
      <c r="L99" s="3116">
        <v>1.1220000000000001</v>
      </c>
      <c r="M99" s="3117">
        <v>1.1220000000000001</v>
      </c>
    </row>
    <row r="100" spans="1:14">
      <c r="A100" s="3115">
        <v>1.5</v>
      </c>
      <c r="B100" s="3116">
        <v>1.1649</v>
      </c>
      <c r="C100" s="3116">
        <v>1.1649</v>
      </c>
      <c r="D100" s="3116">
        <v>1.1214999999999999</v>
      </c>
      <c r="E100" s="3116">
        <v>1.1214999999999999</v>
      </c>
      <c r="F100" s="3116">
        <v>1.1214999999999999</v>
      </c>
      <c r="G100" s="3116">
        <v>1.1214999999999999</v>
      </c>
      <c r="H100" s="3116">
        <v>1.1214999999999999</v>
      </c>
      <c r="I100" s="3116">
        <v>1.0985</v>
      </c>
      <c r="J100" s="3116">
        <v>1.0985</v>
      </c>
      <c r="K100" s="3116">
        <v>1.0985</v>
      </c>
      <c r="L100" s="3116">
        <v>1.0985</v>
      </c>
      <c r="M100" s="3117">
        <v>1.0985</v>
      </c>
    </row>
    <row r="101" spans="1:14">
      <c r="A101" s="3115">
        <v>1.6</v>
      </c>
      <c r="B101" s="3116">
        <v>1.1507000000000001</v>
      </c>
      <c r="C101" s="3116">
        <v>1.1507000000000001</v>
      </c>
      <c r="D101" s="3116">
        <v>1.1056999999999999</v>
      </c>
      <c r="E101" s="3116">
        <v>1.1056999999999999</v>
      </c>
      <c r="F101" s="3116">
        <v>1.1056999999999999</v>
      </c>
      <c r="G101" s="3116">
        <v>1.1056999999999999</v>
      </c>
      <c r="H101" s="3116">
        <v>1.1056999999999999</v>
      </c>
      <c r="I101" s="3116">
        <v>1.0764</v>
      </c>
      <c r="J101" s="3116">
        <v>1.0764</v>
      </c>
      <c r="K101" s="3116">
        <v>1.0764</v>
      </c>
      <c r="L101" s="3116">
        <v>1.0764</v>
      </c>
      <c r="M101" s="3117">
        <v>1.0764</v>
      </c>
    </row>
    <row r="102" spans="1:14">
      <c r="A102" s="3115">
        <v>1.7</v>
      </c>
      <c r="B102" s="3116">
        <v>1.1373</v>
      </c>
      <c r="C102" s="3116">
        <v>1.1373</v>
      </c>
      <c r="D102" s="3116">
        <v>1.0908</v>
      </c>
      <c r="E102" s="3116">
        <v>1.0908</v>
      </c>
      <c r="F102" s="3116">
        <v>1.0908</v>
      </c>
      <c r="G102" s="3116">
        <v>1.0908</v>
      </c>
      <c r="H102" s="3116">
        <v>1.0908</v>
      </c>
      <c r="I102" s="3116">
        <v>1.0556000000000001</v>
      </c>
      <c r="J102" s="3116">
        <v>1.0556000000000001</v>
      </c>
      <c r="K102" s="3116">
        <v>1.0556000000000001</v>
      </c>
      <c r="L102" s="3116">
        <v>1.0556000000000001</v>
      </c>
      <c r="M102" s="3117">
        <v>1.0556000000000001</v>
      </c>
    </row>
    <row r="103" spans="1:14" ht="14.25">
      <c r="A103" s="3115">
        <v>1.8</v>
      </c>
      <c r="B103" s="3116">
        <v>1.1247</v>
      </c>
      <c r="C103" s="3116">
        <v>1.1247</v>
      </c>
      <c r="D103" s="3116">
        <v>1.0768</v>
      </c>
      <c r="E103" s="3116">
        <v>1.0768</v>
      </c>
      <c r="F103" s="3116">
        <v>1.0768</v>
      </c>
      <c r="G103" s="3116">
        <v>1.0768</v>
      </c>
      <c r="H103" s="3116">
        <v>1.0768</v>
      </c>
      <c r="I103" s="3116">
        <v>1.0359</v>
      </c>
      <c r="J103" s="3116">
        <v>1.0359</v>
      </c>
      <c r="K103" s="3116">
        <v>1.0359</v>
      </c>
      <c r="L103" s="3116">
        <v>1.0359</v>
      </c>
      <c r="M103" s="3117">
        <v>1.0359</v>
      </c>
      <c r="N103" s="749"/>
    </row>
    <row r="104" spans="1:14" ht="14.25">
      <c r="A104" s="3115">
        <v>1.9</v>
      </c>
      <c r="B104" s="3116">
        <v>1.1128</v>
      </c>
      <c r="C104" s="3116">
        <v>1.1128</v>
      </c>
      <c r="D104" s="3116">
        <v>1.0637000000000001</v>
      </c>
      <c r="E104" s="3116">
        <v>1.0637000000000001</v>
      </c>
      <c r="F104" s="3116">
        <v>1.0637000000000001</v>
      </c>
      <c r="G104" s="3116">
        <v>1.0637000000000001</v>
      </c>
      <c r="H104" s="3116">
        <v>1.0637000000000001</v>
      </c>
      <c r="I104" s="3116">
        <v>1.0174000000000001</v>
      </c>
      <c r="J104" s="3116">
        <v>1.0174000000000001</v>
      </c>
      <c r="K104" s="3116">
        <v>1.0174000000000001</v>
      </c>
      <c r="L104" s="3116">
        <v>1.0174000000000001</v>
      </c>
      <c r="M104" s="3117">
        <v>1.0174000000000001</v>
      </c>
      <c r="N104" s="749"/>
    </row>
    <row r="105" spans="1:14">
      <c r="A105" s="3115">
        <v>2</v>
      </c>
      <c r="B105" s="3116">
        <v>1.1016999999999999</v>
      </c>
      <c r="C105" s="3116">
        <v>1.1016999999999999</v>
      </c>
      <c r="D105" s="3116">
        <v>1.0512999999999999</v>
      </c>
      <c r="E105" s="3116">
        <v>1.0512999999999999</v>
      </c>
      <c r="F105" s="3116">
        <v>1.0512999999999999</v>
      </c>
      <c r="G105" s="3116">
        <v>1.0512999999999999</v>
      </c>
      <c r="H105" s="3116">
        <v>1.0512999999999999</v>
      </c>
      <c r="I105" s="3116">
        <v>1</v>
      </c>
      <c r="J105" s="3116">
        <v>1</v>
      </c>
      <c r="K105" s="3116">
        <v>1</v>
      </c>
      <c r="L105" s="3116">
        <v>1</v>
      </c>
      <c r="M105" s="3117">
        <v>1</v>
      </c>
    </row>
    <row r="106" spans="1:14">
      <c r="A106" s="3118">
        <v>2.1</v>
      </c>
      <c r="B106" s="3116">
        <v>1.0912999999999999</v>
      </c>
      <c r="C106" s="3116">
        <v>1.0912999999999999</v>
      </c>
      <c r="D106" s="3116">
        <v>1.0397000000000001</v>
      </c>
      <c r="E106" s="3116">
        <v>1.0397000000000001</v>
      </c>
      <c r="F106" s="3116">
        <v>1.0397000000000001</v>
      </c>
      <c r="G106" s="3116">
        <v>1.0397000000000001</v>
      </c>
      <c r="H106" s="3116">
        <v>1.0397000000000001</v>
      </c>
      <c r="I106" s="3116">
        <v>0.98360000000000003</v>
      </c>
      <c r="J106" s="3116">
        <v>0.98360000000000003</v>
      </c>
      <c r="K106" s="3116">
        <v>0.98360000000000003</v>
      </c>
      <c r="L106" s="3116">
        <v>0.98360000000000003</v>
      </c>
      <c r="M106" s="3117">
        <v>0.98360000000000003</v>
      </c>
    </row>
    <row r="107" spans="1:14">
      <c r="A107" s="3118">
        <v>2.2000000000000002</v>
      </c>
      <c r="B107" s="3116">
        <v>1.0814999999999999</v>
      </c>
      <c r="C107" s="3116">
        <v>1.0814999999999999</v>
      </c>
      <c r="D107" s="3116">
        <v>1.0287999999999999</v>
      </c>
      <c r="E107" s="3116">
        <v>1.0287999999999999</v>
      </c>
      <c r="F107" s="3116">
        <v>1.0287999999999999</v>
      </c>
      <c r="G107" s="3116">
        <v>1.0287999999999999</v>
      </c>
      <c r="H107" s="3116">
        <v>1.0287999999999999</v>
      </c>
      <c r="I107" s="3116">
        <v>0.96819999999999995</v>
      </c>
      <c r="J107" s="3116">
        <v>0.96819999999999995</v>
      </c>
      <c r="K107" s="3116">
        <v>0.96819999999999995</v>
      </c>
      <c r="L107" s="3116">
        <v>0.96819999999999995</v>
      </c>
      <c r="M107" s="3117">
        <v>0.96819999999999995</v>
      </c>
    </row>
    <row r="108" spans="1:14">
      <c r="A108" s="3118">
        <v>2.2999999999999998</v>
      </c>
      <c r="B108" s="3116">
        <v>1.0724</v>
      </c>
      <c r="C108" s="3116">
        <v>1.0724</v>
      </c>
      <c r="D108" s="3116">
        <v>1.0185999999999999</v>
      </c>
      <c r="E108" s="3116">
        <v>1.0185999999999999</v>
      </c>
      <c r="F108" s="3116">
        <v>1.0185999999999999</v>
      </c>
      <c r="G108" s="3116">
        <v>1.0185999999999999</v>
      </c>
      <c r="H108" s="3116">
        <v>1.0185999999999999</v>
      </c>
      <c r="I108" s="3116">
        <v>0.95369999999999999</v>
      </c>
      <c r="J108" s="3116">
        <v>0.95369999999999999</v>
      </c>
      <c r="K108" s="3116">
        <v>0.95369999999999999</v>
      </c>
      <c r="L108" s="3116">
        <v>0.95369999999999999</v>
      </c>
      <c r="M108" s="3117">
        <v>0.95369999999999999</v>
      </c>
    </row>
    <row r="109" spans="1:14">
      <c r="A109" s="3118">
        <v>2.4</v>
      </c>
      <c r="B109" s="3116">
        <v>1.0638000000000001</v>
      </c>
      <c r="C109" s="3116">
        <v>1.0638000000000001</v>
      </c>
      <c r="D109" s="3116">
        <v>1.0089999999999999</v>
      </c>
      <c r="E109" s="3116">
        <v>1.0089999999999999</v>
      </c>
      <c r="F109" s="3116">
        <v>1.0089999999999999</v>
      </c>
      <c r="G109" s="3116">
        <v>1.0089999999999999</v>
      </c>
      <c r="H109" s="3116">
        <v>1.0089999999999999</v>
      </c>
      <c r="I109" s="3116">
        <v>0.94010000000000005</v>
      </c>
      <c r="J109" s="3116">
        <v>0.94010000000000005</v>
      </c>
      <c r="K109" s="3116">
        <v>0.94010000000000005</v>
      </c>
      <c r="L109" s="3116">
        <v>0.94010000000000005</v>
      </c>
      <c r="M109" s="3117">
        <v>0.94010000000000005</v>
      </c>
    </row>
    <row r="110" spans="1:14">
      <c r="A110" s="3118">
        <v>2.5</v>
      </c>
      <c r="B110" s="3116">
        <v>1.0558000000000001</v>
      </c>
      <c r="C110" s="3116">
        <v>1.0558000000000001</v>
      </c>
      <c r="D110" s="3116">
        <v>1</v>
      </c>
      <c r="E110" s="3116">
        <v>1</v>
      </c>
      <c r="F110" s="3116">
        <v>1</v>
      </c>
      <c r="G110" s="3116">
        <v>1</v>
      </c>
      <c r="H110" s="3116">
        <v>1</v>
      </c>
      <c r="I110" s="3116">
        <v>0.9274</v>
      </c>
      <c r="J110" s="3116">
        <v>0.9274</v>
      </c>
      <c r="K110" s="3116">
        <v>0.9274</v>
      </c>
      <c r="L110" s="3116">
        <v>0.9274</v>
      </c>
      <c r="M110" s="3117">
        <v>0.9274</v>
      </c>
    </row>
    <row r="111" spans="1:14">
      <c r="A111" s="3118">
        <v>2.6</v>
      </c>
      <c r="B111" s="3116">
        <v>1.0483</v>
      </c>
      <c r="C111" s="3116">
        <v>1.0483</v>
      </c>
      <c r="D111" s="3116">
        <v>0.99160000000000004</v>
      </c>
      <c r="E111" s="3116">
        <v>0.99160000000000004</v>
      </c>
      <c r="F111" s="3116">
        <v>0.99160000000000004</v>
      </c>
      <c r="G111" s="3116">
        <v>0.99160000000000004</v>
      </c>
      <c r="H111" s="3116">
        <v>0.99160000000000004</v>
      </c>
      <c r="I111" s="3116">
        <v>0.91539999999999999</v>
      </c>
      <c r="J111" s="3116">
        <v>0.91539999999999999</v>
      </c>
      <c r="K111" s="3116">
        <v>0.91539999999999999</v>
      </c>
      <c r="L111" s="3116">
        <v>0.91539999999999999</v>
      </c>
      <c r="M111" s="3117">
        <v>0.91539999999999999</v>
      </c>
    </row>
    <row r="112" spans="1:14">
      <c r="A112" s="3118">
        <v>2.7</v>
      </c>
      <c r="B112" s="3116">
        <v>1.0412999999999999</v>
      </c>
      <c r="C112" s="3116">
        <v>1.0412999999999999</v>
      </c>
      <c r="D112" s="3116">
        <v>0.98370000000000002</v>
      </c>
      <c r="E112" s="3116">
        <v>0.98370000000000002</v>
      </c>
      <c r="F112" s="3116">
        <v>0.98370000000000002</v>
      </c>
      <c r="G112" s="3116">
        <v>0.98370000000000002</v>
      </c>
      <c r="H112" s="3116">
        <v>0.98370000000000002</v>
      </c>
      <c r="I112" s="3116">
        <v>0.90429999999999999</v>
      </c>
      <c r="J112" s="3116">
        <v>0.90429999999999999</v>
      </c>
      <c r="K112" s="3116">
        <v>0.90429999999999999</v>
      </c>
      <c r="L112" s="3116">
        <v>0.90429999999999999</v>
      </c>
      <c r="M112" s="3117">
        <v>0.90429999999999999</v>
      </c>
    </row>
    <row r="113" spans="1:13">
      <c r="A113" s="3118">
        <v>2.8</v>
      </c>
      <c r="B113" s="3116">
        <v>1.0347999999999999</v>
      </c>
      <c r="C113" s="3116">
        <v>1.0347999999999999</v>
      </c>
      <c r="D113" s="3116">
        <v>0.97640000000000005</v>
      </c>
      <c r="E113" s="3116">
        <v>0.97640000000000005</v>
      </c>
      <c r="F113" s="3116">
        <v>0.97640000000000005</v>
      </c>
      <c r="G113" s="3116">
        <v>0.97640000000000005</v>
      </c>
      <c r="H113" s="3116">
        <v>0.97640000000000005</v>
      </c>
      <c r="I113" s="3116">
        <v>0.89370000000000005</v>
      </c>
      <c r="J113" s="3116">
        <v>0.89370000000000005</v>
      </c>
      <c r="K113" s="3116">
        <v>0.89370000000000005</v>
      </c>
      <c r="L113" s="3116">
        <v>0.89370000000000005</v>
      </c>
      <c r="M113" s="3117">
        <v>0.89370000000000005</v>
      </c>
    </row>
    <row r="114" spans="1:13">
      <c r="A114" s="3118">
        <v>2.9</v>
      </c>
      <c r="B114" s="3116">
        <v>1.0286999999999999</v>
      </c>
      <c r="C114" s="3116">
        <v>1.0286999999999999</v>
      </c>
      <c r="D114" s="3116">
        <v>0.96950000000000003</v>
      </c>
      <c r="E114" s="3116">
        <v>0.96950000000000003</v>
      </c>
      <c r="F114" s="3116">
        <v>0.96950000000000003</v>
      </c>
      <c r="G114" s="3116">
        <v>0.96950000000000003</v>
      </c>
      <c r="H114" s="3116">
        <v>0.96950000000000003</v>
      </c>
      <c r="I114" s="3116">
        <v>0.88390000000000002</v>
      </c>
      <c r="J114" s="3116">
        <v>0.88390000000000002</v>
      </c>
      <c r="K114" s="3116">
        <v>0.88390000000000002</v>
      </c>
      <c r="L114" s="3116">
        <v>0.88390000000000002</v>
      </c>
      <c r="M114" s="3117">
        <v>0.88390000000000002</v>
      </c>
    </row>
    <row r="115" spans="1:13">
      <c r="A115" s="3118">
        <v>3</v>
      </c>
      <c r="B115" s="3116">
        <v>1.0229999999999999</v>
      </c>
      <c r="C115" s="3116">
        <v>1.0229999999999999</v>
      </c>
      <c r="D115" s="3116">
        <v>0.96309999999999996</v>
      </c>
      <c r="E115" s="3116">
        <v>0.96309999999999996</v>
      </c>
      <c r="F115" s="3116">
        <v>0.96309999999999996</v>
      </c>
      <c r="G115" s="3116">
        <v>0.96309999999999996</v>
      </c>
      <c r="H115" s="3116">
        <v>0.96309999999999996</v>
      </c>
      <c r="I115" s="3116">
        <v>0.87460000000000004</v>
      </c>
      <c r="J115" s="3116">
        <v>0.87460000000000004</v>
      </c>
      <c r="K115" s="3116">
        <v>0.87460000000000004</v>
      </c>
      <c r="L115" s="3116">
        <v>0.87460000000000004</v>
      </c>
      <c r="M115" s="3117">
        <v>0.87460000000000004</v>
      </c>
    </row>
    <row r="116" spans="1:13">
      <c r="A116" s="3118">
        <v>3.1</v>
      </c>
      <c r="B116" s="3116">
        <v>1.0177</v>
      </c>
      <c r="C116" s="3116">
        <v>1.0177</v>
      </c>
      <c r="D116" s="3116">
        <v>0.95709999999999995</v>
      </c>
      <c r="E116" s="3116">
        <v>0.95709999999999995</v>
      </c>
      <c r="F116" s="3116">
        <v>0.95709999999999995</v>
      </c>
      <c r="G116" s="3116">
        <v>0.95709999999999995</v>
      </c>
      <c r="H116" s="3116">
        <v>0.95709999999999995</v>
      </c>
      <c r="I116" s="3116">
        <v>0.8659</v>
      </c>
      <c r="J116" s="3116">
        <v>0.8659</v>
      </c>
      <c r="K116" s="3116">
        <v>0.8659</v>
      </c>
      <c r="L116" s="3116">
        <v>0.8659</v>
      </c>
      <c r="M116" s="3117">
        <v>0.8659</v>
      </c>
    </row>
    <row r="117" spans="1:13">
      <c r="A117" s="3118">
        <v>3.2</v>
      </c>
      <c r="B117" s="3116">
        <v>1.0127999999999999</v>
      </c>
      <c r="C117" s="3116">
        <v>1.0127999999999999</v>
      </c>
      <c r="D117" s="3116">
        <v>0.9516</v>
      </c>
      <c r="E117" s="3116">
        <v>0.9516</v>
      </c>
      <c r="F117" s="3116">
        <v>0.9516</v>
      </c>
      <c r="G117" s="3116">
        <v>0.9516</v>
      </c>
      <c r="H117" s="3116">
        <v>0.9516</v>
      </c>
      <c r="I117" s="3116">
        <v>0.85780000000000001</v>
      </c>
      <c r="J117" s="3116">
        <v>0.85780000000000001</v>
      </c>
      <c r="K117" s="3116">
        <v>0.85780000000000001</v>
      </c>
      <c r="L117" s="3116">
        <v>0.85780000000000001</v>
      </c>
      <c r="M117" s="3117">
        <v>0.85780000000000001</v>
      </c>
    </row>
    <row r="118" spans="1:13">
      <c r="A118" s="3118">
        <v>3.3</v>
      </c>
      <c r="B118" s="3116">
        <v>1.0082</v>
      </c>
      <c r="C118" s="3116">
        <v>1.0082</v>
      </c>
      <c r="D118" s="3116">
        <v>0.94640000000000002</v>
      </c>
      <c r="E118" s="3116">
        <v>0.94640000000000002</v>
      </c>
      <c r="F118" s="3116">
        <v>0.94640000000000002</v>
      </c>
      <c r="G118" s="3116">
        <v>0.94640000000000002</v>
      </c>
      <c r="H118" s="3116">
        <v>0.94640000000000002</v>
      </c>
      <c r="I118" s="3116">
        <v>0.85029999999999994</v>
      </c>
      <c r="J118" s="3116">
        <v>0.85029999999999994</v>
      </c>
      <c r="K118" s="3116">
        <v>0.85029999999999994</v>
      </c>
      <c r="L118" s="3116">
        <v>0.85029999999999994</v>
      </c>
      <c r="M118" s="3117">
        <v>0.85029999999999994</v>
      </c>
    </row>
    <row r="119" spans="1:13">
      <c r="A119" s="3118">
        <v>3.4</v>
      </c>
      <c r="B119" s="3116">
        <v>1.004</v>
      </c>
      <c r="C119" s="3116">
        <v>1.004</v>
      </c>
      <c r="D119" s="3116">
        <v>0.9415</v>
      </c>
      <c r="E119" s="3116">
        <v>0.9415</v>
      </c>
      <c r="F119" s="3116">
        <v>0.9415</v>
      </c>
      <c r="G119" s="3116">
        <v>0.9415</v>
      </c>
      <c r="H119" s="3116">
        <v>0.9415</v>
      </c>
      <c r="I119" s="3116">
        <v>0.84319999999999995</v>
      </c>
      <c r="J119" s="3116">
        <v>0.84319999999999995</v>
      </c>
      <c r="K119" s="3116">
        <v>0.84319999999999995</v>
      </c>
      <c r="L119" s="3116">
        <v>0.84319999999999995</v>
      </c>
      <c r="M119" s="3117">
        <v>0.84319999999999995</v>
      </c>
    </row>
    <row r="120" spans="1:13">
      <c r="A120" s="3118">
        <v>3.5</v>
      </c>
      <c r="B120" s="3116">
        <v>1</v>
      </c>
      <c r="C120" s="3116">
        <v>1</v>
      </c>
      <c r="D120" s="3116">
        <v>0.93700000000000006</v>
      </c>
      <c r="E120" s="3116">
        <v>0.93700000000000006</v>
      </c>
      <c r="F120" s="3116">
        <v>0.93700000000000006</v>
      </c>
      <c r="G120" s="3116">
        <v>0.93700000000000006</v>
      </c>
      <c r="H120" s="3116">
        <v>0.93700000000000006</v>
      </c>
      <c r="I120" s="3116">
        <v>0.83660000000000001</v>
      </c>
      <c r="J120" s="3116">
        <v>0.83660000000000001</v>
      </c>
      <c r="K120" s="3116">
        <v>0.83660000000000001</v>
      </c>
      <c r="L120" s="3116">
        <v>0.83660000000000001</v>
      </c>
      <c r="M120" s="3117">
        <v>0.83660000000000001</v>
      </c>
    </row>
    <row r="121" spans="1:13">
      <c r="A121" s="3118">
        <v>3.6</v>
      </c>
      <c r="B121" s="3116">
        <v>0.99629999999999996</v>
      </c>
      <c r="C121" s="3116">
        <v>0.99629999999999996</v>
      </c>
      <c r="D121" s="3116">
        <v>0.93279999999999996</v>
      </c>
      <c r="E121" s="3116">
        <v>0.93279999999999996</v>
      </c>
      <c r="F121" s="3116">
        <v>0.93279999999999996</v>
      </c>
      <c r="G121" s="3116">
        <v>0.93279999999999996</v>
      </c>
      <c r="H121" s="3116">
        <v>0.93279999999999996</v>
      </c>
      <c r="I121" s="3116">
        <v>0.83040000000000003</v>
      </c>
      <c r="J121" s="3116">
        <v>0.83040000000000003</v>
      </c>
      <c r="K121" s="3116">
        <v>0.83040000000000003</v>
      </c>
      <c r="L121" s="3116">
        <v>0.83040000000000003</v>
      </c>
      <c r="M121" s="3117">
        <v>0.83040000000000003</v>
      </c>
    </row>
    <row r="122" spans="1:13">
      <c r="A122" s="3118">
        <v>3.7</v>
      </c>
      <c r="B122" s="3116">
        <v>0.9929</v>
      </c>
      <c r="C122" s="3116">
        <v>0.9929</v>
      </c>
      <c r="D122" s="3116">
        <v>0.92879999999999996</v>
      </c>
      <c r="E122" s="3116">
        <v>0.92879999999999996</v>
      </c>
      <c r="F122" s="3116">
        <v>0.92879999999999996</v>
      </c>
      <c r="G122" s="3116">
        <v>0.92879999999999996</v>
      </c>
      <c r="H122" s="3116">
        <v>0.92879999999999996</v>
      </c>
      <c r="I122" s="3116">
        <v>0.8246</v>
      </c>
      <c r="J122" s="3116">
        <v>0.8246</v>
      </c>
      <c r="K122" s="3116">
        <v>0.8246</v>
      </c>
      <c r="L122" s="3116">
        <v>0.8246</v>
      </c>
      <c r="M122" s="3117">
        <v>0.8246</v>
      </c>
    </row>
    <row r="123" spans="1:13">
      <c r="A123" s="3118">
        <v>3.8</v>
      </c>
      <c r="B123" s="3116">
        <v>0.98970000000000002</v>
      </c>
      <c r="C123" s="3116">
        <v>0.98970000000000002</v>
      </c>
      <c r="D123" s="3116">
        <v>0.92520000000000002</v>
      </c>
      <c r="E123" s="3116">
        <v>0.92520000000000002</v>
      </c>
      <c r="F123" s="3116">
        <v>0.92520000000000002</v>
      </c>
      <c r="G123" s="3116">
        <v>0.92520000000000002</v>
      </c>
      <c r="H123" s="3116">
        <v>0.92520000000000002</v>
      </c>
      <c r="I123" s="3116">
        <v>0.81920000000000004</v>
      </c>
      <c r="J123" s="3116">
        <v>0.81920000000000004</v>
      </c>
      <c r="K123" s="3116">
        <v>0.81920000000000004</v>
      </c>
      <c r="L123" s="3116">
        <v>0.81920000000000004</v>
      </c>
      <c r="M123" s="3117">
        <v>0.81920000000000004</v>
      </c>
    </row>
    <row r="124" spans="1:13">
      <c r="A124" s="3118">
        <v>3.9</v>
      </c>
      <c r="B124" s="3116">
        <v>0.98670000000000002</v>
      </c>
      <c r="C124" s="3116">
        <v>0.98670000000000002</v>
      </c>
      <c r="D124" s="3116">
        <v>0.92179999999999995</v>
      </c>
      <c r="E124" s="3116">
        <v>0.92179999999999995</v>
      </c>
      <c r="F124" s="3116">
        <v>0.92179999999999995</v>
      </c>
      <c r="G124" s="3116">
        <v>0.92179999999999995</v>
      </c>
      <c r="H124" s="3116">
        <v>0.92179999999999995</v>
      </c>
      <c r="I124" s="3116">
        <v>0.81410000000000005</v>
      </c>
      <c r="J124" s="3116">
        <v>0.81410000000000005</v>
      </c>
      <c r="K124" s="3116">
        <v>0.81410000000000005</v>
      </c>
      <c r="L124" s="3116">
        <v>0.81410000000000005</v>
      </c>
      <c r="M124" s="3117">
        <v>0.81410000000000005</v>
      </c>
    </row>
    <row r="125" spans="1:13">
      <c r="A125" s="3118">
        <v>4</v>
      </c>
      <c r="B125" s="3116">
        <v>0.98380000000000001</v>
      </c>
      <c r="C125" s="3116">
        <v>0.98380000000000001</v>
      </c>
      <c r="D125" s="3116">
        <v>0.91859999999999997</v>
      </c>
      <c r="E125" s="3116">
        <v>0.91859999999999997</v>
      </c>
      <c r="F125" s="3116">
        <v>0.91859999999999997</v>
      </c>
      <c r="G125" s="3116">
        <v>0.91859999999999997</v>
      </c>
      <c r="H125" s="3116">
        <v>0.91859999999999997</v>
      </c>
      <c r="I125" s="3116">
        <v>0.80940000000000001</v>
      </c>
      <c r="J125" s="3116">
        <v>0.80940000000000001</v>
      </c>
      <c r="K125" s="3116">
        <v>0.80940000000000001</v>
      </c>
      <c r="L125" s="3116">
        <v>0.80940000000000001</v>
      </c>
      <c r="M125" s="3117">
        <v>0.80940000000000001</v>
      </c>
    </row>
    <row r="126" spans="1:13">
      <c r="A126" s="3118">
        <v>4.0999999999999996</v>
      </c>
      <c r="B126" s="3116">
        <v>0.98099999999999998</v>
      </c>
      <c r="C126" s="3116">
        <v>0.98099999999999998</v>
      </c>
      <c r="D126" s="3116">
        <v>0.91559999999999997</v>
      </c>
      <c r="E126" s="3116">
        <v>0.91559999999999997</v>
      </c>
      <c r="F126" s="3116">
        <v>0.91559999999999997</v>
      </c>
      <c r="G126" s="3116">
        <v>0.91559999999999997</v>
      </c>
      <c r="H126" s="3116">
        <v>0.91559999999999997</v>
      </c>
      <c r="I126" s="3116">
        <v>0.80489999999999995</v>
      </c>
      <c r="J126" s="3116">
        <v>0.80489999999999995</v>
      </c>
      <c r="K126" s="3116">
        <v>0.80489999999999995</v>
      </c>
      <c r="L126" s="3116">
        <v>0.80489999999999995</v>
      </c>
      <c r="M126" s="3117">
        <v>0.80489999999999995</v>
      </c>
    </row>
    <row r="127" spans="1:13">
      <c r="A127" s="3118">
        <v>4.2</v>
      </c>
      <c r="B127" s="3116">
        <v>0.97829999999999995</v>
      </c>
      <c r="C127" s="3116">
        <v>0.97829999999999995</v>
      </c>
      <c r="D127" s="3116">
        <v>0.91269999999999996</v>
      </c>
      <c r="E127" s="3116">
        <v>0.91269999999999996</v>
      </c>
      <c r="F127" s="3116">
        <v>0.91269999999999996</v>
      </c>
      <c r="G127" s="3116">
        <v>0.91269999999999996</v>
      </c>
      <c r="H127" s="3116">
        <v>0.91269999999999996</v>
      </c>
      <c r="I127" s="3116">
        <v>0.80059999999999998</v>
      </c>
      <c r="J127" s="3116">
        <v>0.80059999999999998</v>
      </c>
      <c r="K127" s="3116">
        <v>0.80059999999999998</v>
      </c>
      <c r="L127" s="3116">
        <v>0.80059999999999998</v>
      </c>
      <c r="M127" s="3117">
        <v>0.80059999999999998</v>
      </c>
    </row>
    <row r="128" spans="1:13">
      <c r="A128" s="3118">
        <v>4.3</v>
      </c>
      <c r="B128" s="3116">
        <v>0.97570000000000001</v>
      </c>
      <c r="C128" s="3116">
        <v>0.97570000000000001</v>
      </c>
      <c r="D128" s="3116">
        <v>0.90990000000000004</v>
      </c>
      <c r="E128" s="3116">
        <v>0.90990000000000004</v>
      </c>
      <c r="F128" s="3116">
        <v>0.90990000000000004</v>
      </c>
      <c r="G128" s="3116">
        <v>0.90990000000000004</v>
      </c>
      <c r="H128" s="3116">
        <v>0.90990000000000004</v>
      </c>
      <c r="I128" s="3116">
        <v>0.79649999999999999</v>
      </c>
      <c r="J128" s="3116">
        <v>0.79649999999999999</v>
      </c>
      <c r="K128" s="3116">
        <v>0.79649999999999999</v>
      </c>
      <c r="L128" s="3116">
        <v>0.79649999999999999</v>
      </c>
      <c r="M128" s="3117">
        <v>0.79649999999999999</v>
      </c>
    </row>
    <row r="129" spans="1:13">
      <c r="A129" s="3118">
        <v>4.4000000000000004</v>
      </c>
      <c r="B129" s="3116">
        <v>0.97319999999999995</v>
      </c>
      <c r="C129" s="3116">
        <v>0.97319999999999995</v>
      </c>
      <c r="D129" s="3116">
        <v>0.90720000000000001</v>
      </c>
      <c r="E129" s="3116">
        <v>0.90720000000000001</v>
      </c>
      <c r="F129" s="3116">
        <v>0.90720000000000001</v>
      </c>
      <c r="G129" s="3116">
        <v>0.90720000000000001</v>
      </c>
      <c r="H129" s="3116">
        <v>0.90720000000000001</v>
      </c>
      <c r="I129" s="3116">
        <v>0.79259999999999997</v>
      </c>
      <c r="J129" s="3116">
        <v>0.79259999999999997</v>
      </c>
      <c r="K129" s="3116">
        <v>0.79259999999999997</v>
      </c>
      <c r="L129" s="3116">
        <v>0.79259999999999997</v>
      </c>
      <c r="M129" s="3117">
        <v>0.79259999999999997</v>
      </c>
    </row>
    <row r="130" spans="1:13">
      <c r="A130" s="3118">
        <v>4.5</v>
      </c>
      <c r="B130" s="3116">
        <v>0.9708</v>
      </c>
      <c r="C130" s="3116">
        <v>0.9708</v>
      </c>
      <c r="D130" s="3116">
        <v>0.90459999999999996</v>
      </c>
      <c r="E130" s="3116">
        <v>0.90459999999999996</v>
      </c>
      <c r="F130" s="3116">
        <v>0.90459999999999996</v>
      </c>
      <c r="G130" s="3116">
        <v>0.90459999999999996</v>
      </c>
      <c r="H130" s="3116">
        <v>0.90459999999999996</v>
      </c>
      <c r="I130" s="3116">
        <v>0.78890000000000005</v>
      </c>
      <c r="J130" s="3116">
        <v>0.78890000000000005</v>
      </c>
      <c r="K130" s="3116">
        <v>0.78890000000000005</v>
      </c>
      <c r="L130" s="3116">
        <v>0.78890000000000005</v>
      </c>
      <c r="M130" s="3117">
        <v>0.78890000000000005</v>
      </c>
    </row>
    <row r="131" spans="1:13">
      <c r="A131" s="3118">
        <v>4.5999999999999996</v>
      </c>
      <c r="B131" s="3116">
        <v>0.96850000000000003</v>
      </c>
      <c r="C131" s="3116">
        <v>0.96850000000000003</v>
      </c>
      <c r="D131" s="3116">
        <v>0.90210000000000001</v>
      </c>
      <c r="E131" s="3116">
        <v>0.90210000000000001</v>
      </c>
      <c r="F131" s="3116">
        <v>0.90210000000000001</v>
      </c>
      <c r="G131" s="3116">
        <v>0.90210000000000001</v>
      </c>
      <c r="H131" s="3116">
        <v>0.90210000000000001</v>
      </c>
      <c r="I131" s="3116">
        <v>0.78539999999999999</v>
      </c>
      <c r="J131" s="3116">
        <v>0.78539999999999999</v>
      </c>
      <c r="K131" s="3116">
        <v>0.78539999999999999</v>
      </c>
      <c r="L131" s="3116">
        <v>0.78539999999999999</v>
      </c>
      <c r="M131" s="3117">
        <v>0.78539999999999999</v>
      </c>
    </row>
    <row r="132" spans="1:13">
      <c r="A132" s="3118">
        <v>4.7</v>
      </c>
      <c r="B132" s="3116">
        <v>0.96630000000000005</v>
      </c>
      <c r="C132" s="3116">
        <v>0.96630000000000005</v>
      </c>
      <c r="D132" s="3116">
        <v>0.89959999999999996</v>
      </c>
      <c r="E132" s="3116">
        <v>0.89959999999999996</v>
      </c>
      <c r="F132" s="3116">
        <v>0.89959999999999996</v>
      </c>
      <c r="G132" s="3116">
        <v>0.89959999999999996</v>
      </c>
      <c r="H132" s="3116">
        <v>0.89959999999999996</v>
      </c>
      <c r="I132" s="3116">
        <v>0.78210000000000002</v>
      </c>
      <c r="J132" s="3116">
        <v>0.78210000000000002</v>
      </c>
      <c r="K132" s="3116">
        <v>0.78210000000000002</v>
      </c>
      <c r="L132" s="3116">
        <v>0.78210000000000002</v>
      </c>
      <c r="M132" s="3117">
        <v>0.78210000000000002</v>
      </c>
    </row>
    <row r="133" spans="1:13">
      <c r="A133" s="3118">
        <v>4.8</v>
      </c>
      <c r="B133" s="3116">
        <v>0.96409999999999996</v>
      </c>
      <c r="C133" s="3116">
        <v>0.96409999999999996</v>
      </c>
      <c r="D133" s="3116">
        <v>0.8972</v>
      </c>
      <c r="E133" s="3116">
        <v>0.8972</v>
      </c>
      <c r="F133" s="3116">
        <v>0.8972</v>
      </c>
      <c r="G133" s="3116">
        <v>0.8972</v>
      </c>
      <c r="H133" s="3116">
        <v>0.8972</v>
      </c>
      <c r="I133" s="3116">
        <v>0.77890000000000004</v>
      </c>
      <c r="J133" s="3116">
        <v>0.77890000000000004</v>
      </c>
      <c r="K133" s="3116">
        <v>0.77890000000000004</v>
      </c>
      <c r="L133" s="3116">
        <v>0.77890000000000004</v>
      </c>
      <c r="M133" s="3117">
        <v>0.77890000000000004</v>
      </c>
    </row>
    <row r="134" spans="1:13">
      <c r="A134" s="3118">
        <v>4.9000000000000004</v>
      </c>
      <c r="B134" s="3116">
        <v>0.96199999999999997</v>
      </c>
      <c r="C134" s="3116">
        <v>0.96199999999999997</v>
      </c>
      <c r="D134" s="3116">
        <v>0.89480000000000004</v>
      </c>
      <c r="E134" s="3116">
        <v>0.89480000000000004</v>
      </c>
      <c r="F134" s="3116">
        <v>0.89480000000000004</v>
      </c>
      <c r="G134" s="3116">
        <v>0.89480000000000004</v>
      </c>
      <c r="H134" s="3116">
        <v>0.89480000000000004</v>
      </c>
      <c r="I134" s="3116">
        <v>0.77580000000000005</v>
      </c>
      <c r="J134" s="3116">
        <v>0.77580000000000005</v>
      </c>
      <c r="K134" s="3116">
        <v>0.77580000000000005</v>
      </c>
      <c r="L134" s="3116">
        <v>0.77580000000000005</v>
      </c>
      <c r="M134" s="3117">
        <v>0.77580000000000005</v>
      </c>
    </row>
    <row r="135" spans="1:13">
      <c r="A135" s="3118">
        <v>5</v>
      </c>
      <c r="B135" s="3116">
        <v>0.95989999999999998</v>
      </c>
      <c r="C135" s="3116">
        <v>0.95989999999999998</v>
      </c>
      <c r="D135" s="3116">
        <v>0.89239999999999997</v>
      </c>
      <c r="E135" s="3116">
        <v>0.89239999999999997</v>
      </c>
      <c r="F135" s="3116">
        <v>0.89239999999999997</v>
      </c>
      <c r="G135" s="3116">
        <v>0.89239999999999997</v>
      </c>
      <c r="H135" s="3116">
        <v>0.89239999999999997</v>
      </c>
      <c r="I135" s="3116">
        <v>0.77280000000000004</v>
      </c>
      <c r="J135" s="3116">
        <v>0.77280000000000004</v>
      </c>
      <c r="K135" s="3116">
        <v>0.77280000000000004</v>
      </c>
      <c r="L135" s="3116">
        <v>0.77280000000000004</v>
      </c>
      <c r="M135" s="3117">
        <v>0.77280000000000004</v>
      </c>
    </row>
    <row r="136" spans="1:13">
      <c r="A136" s="3115">
        <v>5.0999999999999996</v>
      </c>
      <c r="B136" s="3116">
        <v>0.95779999999999998</v>
      </c>
      <c r="C136" s="3116">
        <v>0.95779999999999998</v>
      </c>
      <c r="D136" s="3116">
        <v>0.8901</v>
      </c>
      <c r="E136" s="3116">
        <v>0.8901</v>
      </c>
      <c r="F136" s="3116">
        <v>0.8901</v>
      </c>
      <c r="G136" s="3116">
        <v>0.8901</v>
      </c>
      <c r="H136" s="3116">
        <v>0.8901</v>
      </c>
      <c r="I136" s="3116">
        <v>0.76990000000000003</v>
      </c>
      <c r="J136" s="3116">
        <v>0.76990000000000003</v>
      </c>
      <c r="K136" s="3116">
        <v>0.76990000000000003</v>
      </c>
      <c r="L136" s="3116">
        <v>0.76990000000000003</v>
      </c>
      <c r="M136" s="3117">
        <v>0.76990000000000003</v>
      </c>
    </row>
    <row r="137" spans="1:13">
      <c r="A137" s="3115">
        <v>5.2</v>
      </c>
      <c r="B137" s="3116">
        <v>0.95579999999999998</v>
      </c>
      <c r="C137" s="3116">
        <v>0.95579999999999998</v>
      </c>
      <c r="D137" s="3116">
        <v>0.88780000000000003</v>
      </c>
      <c r="E137" s="3116">
        <v>0.88780000000000003</v>
      </c>
      <c r="F137" s="3116">
        <v>0.88780000000000003</v>
      </c>
      <c r="G137" s="3116">
        <v>0.88780000000000003</v>
      </c>
      <c r="H137" s="3116">
        <v>0.88780000000000003</v>
      </c>
      <c r="I137" s="3116">
        <v>0.76700000000000002</v>
      </c>
      <c r="J137" s="3116">
        <v>0.76700000000000002</v>
      </c>
      <c r="K137" s="3116">
        <v>0.76700000000000002</v>
      </c>
      <c r="L137" s="3116">
        <v>0.76700000000000002</v>
      </c>
      <c r="M137" s="3117">
        <v>0.76700000000000002</v>
      </c>
    </row>
    <row r="138" spans="1:13">
      <c r="A138" s="3115">
        <v>5.3</v>
      </c>
      <c r="B138" s="3116">
        <v>0.95379999999999998</v>
      </c>
      <c r="C138" s="3116">
        <v>0.95379999999999998</v>
      </c>
      <c r="D138" s="3116">
        <v>0.88549999999999995</v>
      </c>
      <c r="E138" s="3116">
        <v>0.88549999999999995</v>
      </c>
      <c r="F138" s="3116">
        <v>0.88549999999999995</v>
      </c>
      <c r="G138" s="3116">
        <v>0.88549999999999995</v>
      </c>
      <c r="H138" s="3116">
        <v>0.88549999999999995</v>
      </c>
      <c r="I138" s="3116">
        <v>0.76419999999999999</v>
      </c>
      <c r="J138" s="3116">
        <v>0.76419999999999999</v>
      </c>
      <c r="K138" s="3116">
        <v>0.76419999999999999</v>
      </c>
      <c r="L138" s="3116">
        <v>0.76419999999999999</v>
      </c>
      <c r="M138" s="3117">
        <v>0.76419999999999999</v>
      </c>
    </row>
    <row r="139" spans="1:13">
      <c r="A139" s="3115">
        <v>5.4</v>
      </c>
      <c r="B139" s="3116">
        <v>0.95179999999999998</v>
      </c>
      <c r="C139" s="3116">
        <v>0.95179999999999998</v>
      </c>
      <c r="D139" s="3116">
        <v>0.88329999999999997</v>
      </c>
      <c r="E139" s="3116">
        <v>0.88329999999999997</v>
      </c>
      <c r="F139" s="3116">
        <v>0.88329999999999997</v>
      </c>
      <c r="G139" s="3116">
        <v>0.88329999999999997</v>
      </c>
      <c r="H139" s="3116">
        <v>0.88329999999999997</v>
      </c>
      <c r="I139" s="3116">
        <v>0.76139999999999997</v>
      </c>
      <c r="J139" s="3116">
        <v>0.76139999999999997</v>
      </c>
      <c r="K139" s="3116">
        <v>0.76139999999999997</v>
      </c>
      <c r="L139" s="3116">
        <v>0.76139999999999997</v>
      </c>
      <c r="M139" s="3117">
        <v>0.76139999999999997</v>
      </c>
    </row>
    <row r="140" spans="1:13">
      <c r="A140" s="3115">
        <v>5.5</v>
      </c>
      <c r="B140" s="3116">
        <v>0.94979999999999998</v>
      </c>
      <c r="C140" s="3116">
        <v>0.94979999999999998</v>
      </c>
      <c r="D140" s="3116">
        <v>0.88109999999999999</v>
      </c>
      <c r="E140" s="3116">
        <v>0.88109999999999999</v>
      </c>
      <c r="F140" s="3116">
        <v>0.88109999999999999</v>
      </c>
      <c r="G140" s="3116">
        <v>0.88109999999999999</v>
      </c>
      <c r="H140" s="3116">
        <v>0.88109999999999999</v>
      </c>
      <c r="I140" s="3116">
        <v>0.75860000000000005</v>
      </c>
      <c r="J140" s="3116">
        <v>0.75860000000000005</v>
      </c>
      <c r="K140" s="3116">
        <v>0.75860000000000005</v>
      </c>
      <c r="L140" s="3116">
        <v>0.75860000000000005</v>
      </c>
      <c r="M140" s="3117">
        <v>0.75860000000000005</v>
      </c>
    </row>
    <row r="141" spans="1:13">
      <c r="A141" s="3115">
        <v>5.6</v>
      </c>
      <c r="B141" s="3116">
        <v>0.94789999999999996</v>
      </c>
      <c r="C141" s="3116">
        <v>0.94789999999999996</v>
      </c>
      <c r="D141" s="3116">
        <v>0.87890000000000001</v>
      </c>
      <c r="E141" s="3116">
        <v>0.87890000000000001</v>
      </c>
      <c r="F141" s="3116">
        <v>0.87890000000000001</v>
      </c>
      <c r="G141" s="3116">
        <v>0.87890000000000001</v>
      </c>
      <c r="H141" s="3116">
        <v>0.87890000000000001</v>
      </c>
      <c r="I141" s="3116">
        <v>0.75590000000000002</v>
      </c>
      <c r="J141" s="3116">
        <v>0.75590000000000002</v>
      </c>
      <c r="K141" s="3116">
        <v>0.75590000000000002</v>
      </c>
      <c r="L141" s="3116">
        <v>0.75590000000000002</v>
      </c>
      <c r="M141" s="3117">
        <v>0.75590000000000002</v>
      </c>
    </row>
    <row r="142" spans="1:13">
      <c r="A142" s="3118">
        <v>5.7</v>
      </c>
      <c r="B142" s="3116">
        <v>0.94599999999999995</v>
      </c>
      <c r="C142" s="3116">
        <v>0.94599999999999995</v>
      </c>
      <c r="D142" s="3116">
        <v>0.87670000000000003</v>
      </c>
      <c r="E142" s="3116">
        <v>0.87670000000000003</v>
      </c>
      <c r="F142" s="3116">
        <v>0.87670000000000003</v>
      </c>
      <c r="G142" s="3116">
        <v>0.87670000000000003</v>
      </c>
      <c r="H142" s="3116">
        <v>0.87670000000000003</v>
      </c>
      <c r="I142" s="3116">
        <v>0.75319999999999998</v>
      </c>
      <c r="J142" s="3116">
        <v>0.75319999999999998</v>
      </c>
      <c r="K142" s="3116">
        <v>0.75319999999999998</v>
      </c>
      <c r="L142" s="3116">
        <v>0.75319999999999998</v>
      </c>
      <c r="M142" s="3117">
        <v>0.75319999999999998</v>
      </c>
    </row>
    <row r="143" spans="1:13">
      <c r="A143" s="3115">
        <v>5.8</v>
      </c>
      <c r="B143" s="3116">
        <v>0.94410000000000005</v>
      </c>
      <c r="C143" s="3116">
        <v>0.94410000000000005</v>
      </c>
      <c r="D143" s="3116">
        <v>0.87460000000000004</v>
      </c>
      <c r="E143" s="3116">
        <v>0.87460000000000004</v>
      </c>
      <c r="F143" s="3116">
        <v>0.87460000000000004</v>
      </c>
      <c r="G143" s="3116">
        <v>0.87460000000000004</v>
      </c>
      <c r="H143" s="3116">
        <v>0.87460000000000004</v>
      </c>
      <c r="I143" s="3116">
        <v>0.75049999999999994</v>
      </c>
      <c r="J143" s="3116">
        <v>0.75049999999999994</v>
      </c>
      <c r="K143" s="3116">
        <v>0.75049999999999994</v>
      </c>
      <c r="L143" s="3116">
        <v>0.75049999999999994</v>
      </c>
      <c r="M143" s="3117">
        <v>0.75049999999999994</v>
      </c>
    </row>
    <row r="144" spans="1:13">
      <c r="A144" s="3115">
        <v>5.9</v>
      </c>
      <c r="B144" s="3116">
        <v>0.94220000000000004</v>
      </c>
      <c r="C144" s="3116">
        <v>0.94220000000000004</v>
      </c>
      <c r="D144" s="3116">
        <v>0.87250000000000005</v>
      </c>
      <c r="E144" s="3116">
        <v>0.87250000000000005</v>
      </c>
      <c r="F144" s="3116">
        <v>0.87250000000000005</v>
      </c>
      <c r="G144" s="3116">
        <v>0.87250000000000005</v>
      </c>
      <c r="H144" s="3116">
        <v>0.87250000000000005</v>
      </c>
      <c r="I144" s="3116">
        <v>0.74780000000000002</v>
      </c>
      <c r="J144" s="3116">
        <v>0.74780000000000002</v>
      </c>
      <c r="K144" s="3116">
        <v>0.74780000000000002</v>
      </c>
      <c r="L144" s="3116">
        <v>0.74780000000000002</v>
      </c>
      <c r="M144" s="3117">
        <v>0.74780000000000002</v>
      </c>
    </row>
    <row r="145" spans="1:13">
      <c r="A145" s="3115">
        <v>6</v>
      </c>
      <c r="B145" s="3116">
        <v>0.94040000000000001</v>
      </c>
      <c r="C145" s="3116">
        <v>0.94040000000000001</v>
      </c>
      <c r="D145" s="3116">
        <v>0.87039999999999995</v>
      </c>
      <c r="E145" s="3116">
        <v>0.87039999999999995</v>
      </c>
      <c r="F145" s="3116">
        <v>0.87039999999999995</v>
      </c>
      <c r="G145" s="3116">
        <v>0.87039999999999995</v>
      </c>
      <c r="H145" s="3116">
        <v>0.87039999999999995</v>
      </c>
      <c r="I145" s="3116">
        <v>0.74519999999999997</v>
      </c>
      <c r="J145" s="3116">
        <v>0.74519999999999997</v>
      </c>
      <c r="K145" s="3116">
        <v>0.74519999999999997</v>
      </c>
      <c r="L145" s="3116">
        <v>0.74519999999999997</v>
      </c>
      <c r="M145" s="3117">
        <v>0.74519999999999997</v>
      </c>
    </row>
    <row r="146" spans="1:13">
      <c r="A146" s="3115">
        <v>6.1</v>
      </c>
      <c r="B146" s="3116">
        <v>0.93859999999999999</v>
      </c>
      <c r="C146" s="3116">
        <v>0.93859999999999999</v>
      </c>
      <c r="D146" s="3116">
        <v>0.86829999999999996</v>
      </c>
      <c r="E146" s="3116">
        <v>0.86829999999999996</v>
      </c>
      <c r="F146" s="3116">
        <v>0.86829999999999996</v>
      </c>
      <c r="G146" s="3116">
        <v>0.86829999999999996</v>
      </c>
      <c r="H146" s="3116">
        <v>0.86829999999999996</v>
      </c>
      <c r="I146" s="3116">
        <v>0.74260000000000004</v>
      </c>
      <c r="J146" s="3116">
        <v>0.74260000000000004</v>
      </c>
      <c r="K146" s="3116">
        <v>0.74260000000000004</v>
      </c>
      <c r="L146" s="3116">
        <v>0.74260000000000004</v>
      </c>
      <c r="M146" s="3117">
        <v>0.74260000000000004</v>
      </c>
    </row>
    <row r="147" spans="1:13">
      <c r="A147" s="3115">
        <v>6.2</v>
      </c>
      <c r="B147" s="3116">
        <v>0.93679999999999997</v>
      </c>
      <c r="C147" s="3116">
        <v>0.93679999999999997</v>
      </c>
      <c r="D147" s="3116">
        <v>0.86619999999999997</v>
      </c>
      <c r="E147" s="3116">
        <v>0.86619999999999997</v>
      </c>
      <c r="F147" s="3116">
        <v>0.86619999999999997</v>
      </c>
      <c r="G147" s="3116">
        <v>0.86619999999999997</v>
      </c>
      <c r="H147" s="3116">
        <v>0.86619999999999997</v>
      </c>
      <c r="I147" s="3116">
        <v>0.74</v>
      </c>
      <c r="J147" s="3116">
        <v>0.74</v>
      </c>
      <c r="K147" s="3116">
        <v>0.74</v>
      </c>
      <c r="L147" s="3116">
        <v>0.74</v>
      </c>
      <c r="M147" s="3117">
        <v>0.74</v>
      </c>
    </row>
    <row r="148" spans="1:13">
      <c r="A148" s="3115">
        <v>6.3</v>
      </c>
      <c r="B148" s="3116">
        <v>0.93500000000000005</v>
      </c>
      <c r="C148" s="3116">
        <v>0.93500000000000005</v>
      </c>
      <c r="D148" s="3116">
        <v>0.86409999999999998</v>
      </c>
      <c r="E148" s="3116">
        <v>0.86409999999999998</v>
      </c>
      <c r="F148" s="3116">
        <v>0.86409999999999998</v>
      </c>
      <c r="G148" s="3116">
        <v>0.86409999999999998</v>
      </c>
      <c r="H148" s="3116">
        <v>0.86409999999999998</v>
      </c>
      <c r="I148" s="3116">
        <v>0.73740000000000006</v>
      </c>
      <c r="J148" s="3116">
        <v>0.73740000000000006</v>
      </c>
      <c r="K148" s="3116">
        <v>0.73740000000000006</v>
      </c>
      <c r="L148" s="3116">
        <v>0.73740000000000006</v>
      </c>
      <c r="M148" s="3117">
        <v>0.73740000000000006</v>
      </c>
    </row>
    <row r="149" spans="1:13">
      <c r="A149" s="3115">
        <v>6.4</v>
      </c>
      <c r="B149" s="3116">
        <v>0.93320000000000003</v>
      </c>
      <c r="C149" s="3116">
        <v>0.93320000000000003</v>
      </c>
      <c r="D149" s="3116">
        <v>0.86209999999999998</v>
      </c>
      <c r="E149" s="3116">
        <v>0.86209999999999998</v>
      </c>
      <c r="F149" s="3116">
        <v>0.86209999999999998</v>
      </c>
      <c r="G149" s="3116">
        <v>0.86209999999999998</v>
      </c>
      <c r="H149" s="3116">
        <v>0.86209999999999998</v>
      </c>
      <c r="I149" s="3116">
        <v>0.73480000000000001</v>
      </c>
      <c r="J149" s="3116">
        <v>0.73480000000000001</v>
      </c>
      <c r="K149" s="3116">
        <v>0.73480000000000001</v>
      </c>
      <c r="L149" s="3116">
        <v>0.73480000000000001</v>
      </c>
      <c r="M149" s="3117">
        <v>0.73480000000000001</v>
      </c>
    </row>
    <row r="150" spans="1:13">
      <c r="A150" s="3115">
        <v>6.5</v>
      </c>
      <c r="B150" s="3116">
        <v>0.93149999999999999</v>
      </c>
      <c r="C150" s="3116">
        <v>0.93149999999999999</v>
      </c>
      <c r="D150" s="3116">
        <v>0.86009999999999998</v>
      </c>
      <c r="E150" s="3116">
        <v>0.86009999999999998</v>
      </c>
      <c r="F150" s="3116">
        <v>0.86009999999999998</v>
      </c>
      <c r="G150" s="3116">
        <v>0.86009999999999998</v>
      </c>
      <c r="H150" s="3116">
        <v>0.86009999999999998</v>
      </c>
      <c r="I150" s="3116">
        <v>0.73229999999999995</v>
      </c>
      <c r="J150" s="3116">
        <v>0.73229999999999995</v>
      </c>
      <c r="K150" s="3116">
        <v>0.73229999999999995</v>
      </c>
      <c r="L150" s="3116">
        <v>0.73229999999999995</v>
      </c>
      <c r="M150" s="3117">
        <v>0.73229999999999995</v>
      </c>
    </row>
    <row r="151" spans="1:13">
      <c r="A151" s="3115">
        <v>6.6</v>
      </c>
      <c r="B151" s="3116">
        <v>0.92979999999999996</v>
      </c>
      <c r="C151" s="3116">
        <v>0.92979999999999996</v>
      </c>
      <c r="D151" s="3116">
        <v>0.85809999999999997</v>
      </c>
      <c r="E151" s="3116">
        <v>0.85809999999999997</v>
      </c>
      <c r="F151" s="3116">
        <v>0.85809999999999997</v>
      </c>
      <c r="G151" s="3116">
        <v>0.85809999999999997</v>
      </c>
      <c r="H151" s="3116">
        <v>0.85809999999999997</v>
      </c>
      <c r="I151" s="3116">
        <v>0.7298</v>
      </c>
      <c r="J151" s="3116">
        <v>0.7298</v>
      </c>
      <c r="K151" s="3116">
        <v>0.7298</v>
      </c>
      <c r="L151" s="3116">
        <v>0.7298</v>
      </c>
      <c r="M151" s="3117">
        <v>0.7298</v>
      </c>
    </row>
    <row r="152" spans="1:13">
      <c r="A152" s="3115">
        <v>6.7</v>
      </c>
      <c r="B152" s="3116">
        <v>0.92810000000000004</v>
      </c>
      <c r="C152" s="3116">
        <v>0.92810000000000004</v>
      </c>
      <c r="D152" s="3116">
        <v>0.85609999999999997</v>
      </c>
      <c r="E152" s="3116">
        <v>0.85609999999999997</v>
      </c>
      <c r="F152" s="3116">
        <v>0.85609999999999997</v>
      </c>
      <c r="G152" s="3116">
        <v>0.85609999999999997</v>
      </c>
      <c r="H152" s="3116">
        <v>0.85609999999999997</v>
      </c>
      <c r="I152" s="3116">
        <v>0.72729999999999995</v>
      </c>
      <c r="J152" s="3116">
        <v>0.72729999999999995</v>
      </c>
      <c r="K152" s="3116">
        <v>0.72729999999999995</v>
      </c>
      <c r="L152" s="3116">
        <v>0.72729999999999995</v>
      </c>
      <c r="M152" s="3117">
        <v>0.72729999999999995</v>
      </c>
    </row>
    <row r="153" spans="1:13">
      <c r="A153" s="3115">
        <v>6.8</v>
      </c>
      <c r="B153" s="3116">
        <v>0.9264</v>
      </c>
      <c r="C153" s="3116">
        <v>0.9264</v>
      </c>
      <c r="D153" s="3116">
        <v>0.85409999999999997</v>
      </c>
      <c r="E153" s="3116">
        <v>0.85409999999999997</v>
      </c>
      <c r="F153" s="3116">
        <v>0.85409999999999997</v>
      </c>
      <c r="G153" s="3116">
        <v>0.85409999999999997</v>
      </c>
      <c r="H153" s="3116">
        <v>0.85409999999999997</v>
      </c>
      <c r="I153" s="3116">
        <v>0.7248</v>
      </c>
      <c r="J153" s="3116">
        <v>0.7248</v>
      </c>
      <c r="K153" s="3116">
        <v>0.7248</v>
      </c>
      <c r="L153" s="3116">
        <v>0.7248</v>
      </c>
      <c r="M153" s="3117">
        <v>0.7248</v>
      </c>
    </row>
    <row r="154" spans="1:13">
      <c r="A154" s="3115">
        <v>6.9</v>
      </c>
      <c r="B154" s="3116">
        <v>0.92469999999999997</v>
      </c>
      <c r="C154" s="3116">
        <v>0.92469999999999997</v>
      </c>
      <c r="D154" s="3116">
        <v>0.85209999999999997</v>
      </c>
      <c r="E154" s="3116">
        <v>0.85209999999999997</v>
      </c>
      <c r="F154" s="3116">
        <v>0.85209999999999997</v>
      </c>
      <c r="G154" s="3116">
        <v>0.85209999999999997</v>
      </c>
      <c r="H154" s="3116">
        <v>0.85209999999999997</v>
      </c>
      <c r="I154" s="3116">
        <v>0.72230000000000005</v>
      </c>
      <c r="J154" s="3116">
        <v>0.72230000000000005</v>
      </c>
      <c r="K154" s="3116">
        <v>0.72230000000000005</v>
      </c>
      <c r="L154" s="3116">
        <v>0.72230000000000005</v>
      </c>
      <c r="M154" s="3117">
        <v>0.72230000000000005</v>
      </c>
    </row>
    <row r="155" spans="1:13">
      <c r="A155" s="3115">
        <v>7</v>
      </c>
      <c r="B155" s="3116">
        <v>0.92300000000000004</v>
      </c>
      <c r="C155" s="3116">
        <v>0.92300000000000004</v>
      </c>
      <c r="D155" s="3116">
        <v>0.85019999999999996</v>
      </c>
      <c r="E155" s="3116">
        <v>0.85019999999999996</v>
      </c>
      <c r="F155" s="3116">
        <v>0.85019999999999996</v>
      </c>
      <c r="G155" s="3116">
        <v>0.85019999999999996</v>
      </c>
      <c r="H155" s="3116">
        <v>0.85019999999999996</v>
      </c>
      <c r="I155" s="3116">
        <v>0.71989999999999998</v>
      </c>
      <c r="J155" s="3116">
        <v>0.71989999999999998</v>
      </c>
      <c r="K155" s="3116">
        <v>0.71989999999999998</v>
      </c>
      <c r="L155" s="3116">
        <v>0.71989999999999998</v>
      </c>
      <c r="M155" s="3117">
        <v>0.71989999999999998</v>
      </c>
    </row>
    <row r="156" spans="1:13">
      <c r="A156" s="3115">
        <v>7.1</v>
      </c>
      <c r="B156" s="3116">
        <v>0.9214</v>
      </c>
      <c r="C156" s="3116">
        <v>0.9214</v>
      </c>
      <c r="D156" s="3116">
        <v>0.84830000000000005</v>
      </c>
      <c r="E156" s="3116">
        <v>0.84830000000000005</v>
      </c>
      <c r="F156" s="3116">
        <v>0.84830000000000005</v>
      </c>
      <c r="G156" s="3116">
        <v>0.84830000000000005</v>
      </c>
      <c r="H156" s="3116">
        <v>0.84830000000000005</v>
      </c>
      <c r="I156" s="3116">
        <v>0.71750000000000003</v>
      </c>
      <c r="J156" s="3116">
        <v>0.71750000000000003</v>
      </c>
      <c r="K156" s="3116">
        <v>0.71750000000000003</v>
      </c>
      <c r="L156" s="3116">
        <v>0.71750000000000003</v>
      </c>
      <c r="M156" s="3117">
        <v>0.71750000000000003</v>
      </c>
    </row>
    <row r="157" spans="1:13">
      <c r="A157" s="3115">
        <v>7.2</v>
      </c>
      <c r="B157" s="3116">
        <v>0.91979999999999995</v>
      </c>
      <c r="C157" s="3116">
        <v>0.91979999999999995</v>
      </c>
      <c r="D157" s="3116">
        <v>0.84640000000000004</v>
      </c>
      <c r="E157" s="3116">
        <v>0.84640000000000004</v>
      </c>
      <c r="F157" s="3116">
        <v>0.84640000000000004</v>
      </c>
      <c r="G157" s="3116">
        <v>0.84640000000000004</v>
      </c>
      <c r="H157" s="3116">
        <v>0.84640000000000004</v>
      </c>
      <c r="I157" s="3116">
        <v>0.71509999999999996</v>
      </c>
      <c r="J157" s="3116">
        <v>0.71509999999999996</v>
      </c>
      <c r="K157" s="3116">
        <v>0.71509999999999996</v>
      </c>
      <c r="L157" s="3116">
        <v>0.71509999999999996</v>
      </c>
      <c r="M157" s="3117">
        <v>0.71509999999999996</v>
      </c>
    </row>
    <row r="158" spans="1:13">
      <c r="A158" s="3115">
        <v>7.3</v>
      </c>
      <c r="B158" s="3116">
        <v>0.91820000000000002</v>
      </c>
      <c r="C158" s="3116">
        <v>0.91820000000000002</v>
      </c>
      <c r="D158" s="3116">
        <v>0.84450000000000003</v>
      </c>
      <c r="E158" s="3116">
        <v>0.84450000000000003</v>
      </c>
      <c r="F158" s="3116">
        <v>0.84450000000000003</v>
      </c>
      <c r="G158" s="3116">
        <v>0.84450000000000003</v>
      </c>
      <c r="H158" s="3116">
        <v>0.84450000000000003</v>
      </c>
      <c r="I158" s="3116">
        <v>0.7127</v>
      </c>
      <c r="J158" s="3116">
        <v>0.7127</v>
      </c>
      <c r="K158" s="3116">
        <v>0.7127</v>
      </c>
      <c r="L158" s="3116">
        <v>0.7127</v>
      </c>
      <c r="M158" s="3117">
        <v>0.7127</v>
      </c>
    </row>
    <row r="159" spans="1:13">
      <c r="A159" s="3115">
        <v>7.4</v>
      </c>
      <c r="B159" s="3116">
        <v>0.91659999999999997</v>
      </c>
      <c r="C159" s="3116">
        <v>0.91659999999999997</v>
      </c>
      <c r="D159" s="3116">
        <v>0.84260000000000002</v>
      </c>
      <c r="E159" s="3116">
        <v>0.84260000000000002</v>
      </c>
      <c r="F159" s="3116">
        <v>0.84260000000000002</v>
      </c>
      <c r="G159" s="3116">
        <v>0.84260000000000002</v>
      </c>
      <c r="H159" s="3116">
        <v>0.84260000000000002</v>
      </c>
      <c r="I159" s="3116">
        <v>0.71030000000000004</v>
      </c>
      <c r="J159" s="3116">
        <v>0.71030000000000004</v>
      </c>
      <c r="K159" s="3116">
        <v>0.71030000000000004</v>
      </c>
      <c r="L159" s="3116">
        <v>0.71030000000000004</v>
      </c>
      <c r="M159" s="3117">
        <v>0.71030000000000004</v>
      </c>
    </row>
    <row r="160" spans="1:13">
      <c r="A160" s="3115">
        <v>7.5</v>
      </c>
      <c r="B160" s="3116">
        <v>0.91500000000000004</v>
      </c>
      <c r="C160" s="3116">
        <v>0.91500000000000004</v>
      </c>
      <c r="D160" s="3116">
        <v>0.8407</v>
      </c>
      <c r="E160" s="3116">
        <v>0.8407</v>
      </c>
      <c r="F160" s="3116">
        <v>0.8407</v>
      </c>
      <c r="G160" s="3116">
        <v>0.8407</v>
      </c>
      <c r="H160" s="3116">
        <v>0.8407</v>
      </c>
      <c r="I160" s="3116">
        <v>0.70799999999999996</v>
      </c>
      <c r="J160" s="3116">
        <v>0.70799999999999996</v>
      </c>
      <c r="K160" s="3116">
        <v>0.70799999999999996</v>
      </c>
      <c r="L160" s="3116">
        <v>0.70799999999999996</v>
      </c>
      <c r="M160" s="3117">
        <v>0.70799999999999996</v>
      </c>
    </row>
    <row r="161" spans="1:13">
      <c r="A161" s="3115">
        <v>7.6</v>
      </c>
      <c r="B161" s="3116">
        <v>0.91339999999999999</v>
      </c>
      <c r="C161" s="3116">
        <v>0.91339999999999999</v>
      </c>
      <c r="D161" s="3116">
        <v>0.83889999999999998</v>
      </c>
      <c r="E161" s="3116">
        <v>0.83889999999999998</v>
      </c>
      <c r="F161" s="3116">
        <v>0.83889999999999998</v>
      </c>
      <c r="G161" s="3116">
        <v>0.83889999999999998</v>
      </c>
      <c r="H161" s="3116">
        <v>0.83889999999999998</v>
      </c>
      <c r="I161" s="3116">
        <v>0.70569999999999999</v>
      </c>
      <c r="J161" s="3116">
        <v>0.70569999999999999</v>
      </c>
      <c r="K161" s="3116">
        <v>0.70569999999999999</v>
      </c>
      <c r="L161" s="3116">
        <v>0.70569999999999999</v>
      </c>
      <c r="M161" s="3117">
        <v>0.70569999999999999</v>
      </c>
    </row>
    <row r="162" spans="1:13">
      <c r="A162" s="3115">
        <v>7.7</v>
      </c>
      <c r="B162" s="3116">
        <v>0.91190000000000004</v>
      </c>
      <c r="C162" s="3116">
        <v>0.91190000000000004</v>
      </c>
      <c r="D162" s="3116">
        <v>0.83709999999999996</v>
      </c>
      <c r="E162" s="3116">
        <v>0.83709999999999996</v>
      </c>
      <c r="F162" s="3116">
        <v>0.83709999999999996</v>
      </c>
      <c r="G162" s="3116">
        <v>0.83709999999999996</v>
      </c>
      <c r="H162" s="3116">
        <v>0.83709999999999996</v>
      </c>
      <c r="I162" s="3116">
        <v>0.70340000000000003</v>
      </c>
      <c r="J162" s="3116">
        <v>0.70340000000000003</v>
      </c>
      <c r="K162" s="3116">
        <v>0.70340000000000003</v>
      </c>
      <c r="L162" s="3116">
        <v>0.70340000000000003</v>
      </c>
      <c r="M162" s="3117">
        <v>0.70340000000000003</v>
      </c>
    </row>
    <row r="163" spans="1:13">
      <c r="A163" s="3115">
        <v>7.8</v>
      </c>
      <c r="B163" s="3116">
        <v>0.91039999999999999</v>
      </c>
      <c r="C163" s="3116">
        <v>0.91039999999999999</v>
      </c>
      <c r="D163" s="3116">
        <v>0.83530000000000004</v>
      </c>
      <c r="E163" s="3116">
        <v>0.83530000000000004</v>
      </c>
      <c r="F163" s="3116">
        <v>0.83530000000000004</v>
      </c>
      <c r="G163" s="3116">
        <v>0.83530000000000004</v>
      </c>
      <c r="H163" s="3116">
        <v>0.83530000000000004</v>
      </c>
      <c r="I163" s="3116">
        <v>0.70109999999999995</v>
      </c>
      <c r="J163" s="3116">
        <v>0.70109999999999995</v>
      </c>
      <c r="K163" s="3116">
        <v>0.70109999999999995</v>
      </c>
      <c r="L163" s="3116">
        <v>0.70109999999999995</v>
      </c>
      <c r="M163" s="3117">
        <v>0.70109999999999995</v>
      </c>
    </row>
    <row r="164" spans="1:13">
      <c r="A164" s="3115">
        <v>7.9</v>
      </c>
      <c r="B164" s="3116">
        <v>0.90890000000000004</v>
      </c>
      <c r="C164" s="3116">
        <v>0.90890000000000004</v>
      </c>
      <c r="D164" s="3116">
        <v>0.83350000000000002</v>
      </c>
      <c r="E164" s="3116">
        <v>0.83350000000000002</v>
      </c>
      <c r="F164" s="3116">
        <v>0.83350000000000002</v>
      </c>
      <c r="G164" s="3116">
        <v>0.83350000000000002</v>
      </c>
      <c r="H164" s="3116">
        <v>0.83350000000000002</v>
      </c>
      <c r="I164" s="3116">
        <v>0.69879999999999998</v>
      </c>
      <c r="J164" s="3116">
        <v>0.69879999999999998</v>
      </c>
      <c r="K164" s="3116">
        <v>0.69879999999999998</v>
      </c>
      <c r="L164" s="3116">
        <v>0.69879999999999998</v>
      </c>
      <c r="M164" s="3117">
        <v>0.69879999999999998</v>
      </c>
    </row>
    <row r="165" spans="1:13">
      <c r="A165" s="3115">
        <v>8</v>
      </c>
      <c r="B165" s="3116">
        <v>0.90739999999999998</v>
      </c>
      <c r="C165" s="3116">
        <v>0.90739999999999998</v>
      </c>
      <c r="D165" s="3116">
        <v>0.83169999999999999</v>
      </c>
      <c r="E165" s="3116">
        <v>0.83169999999999999</v>
      </c>
      <c r="F165" s="3116">
        <v>0.83169999999999999</v>
      </c>
      <c r="G165" s="3116">
        <v>0.83169999999999999</v>
      </c>
      <c r="H165" s="3116">
        <v>0.83169999999999999</v>
      </c>
      <c r="I165" s="3116">
        <v>0.6966</v>
      </c>
      <c r="J165" s="3116">
        <v>0.6966</v>
      </c>
      <c r="K165" s="3116">
        <v>0.6966</v>
      </c>
      <c r="L165" s="3116">
        <v>0.6966</v>
      </c>
      <c r="M165" s="3117">
        <v>0.6966</v>
      </c>
    </row>
    <row r="166" spans="1:13">
      <c r="A166" s="3115">
        <v>8.1</v>
      </c>
      <c r="B166" s="3116">
        <v>0.90590000000000004</v>
      </c>
      <c r="C166" s="3116">
        <v>0.90590000000000004</v>
      </c>
      <c r="D166" s="3116">
        <v>0.82989999999999997</v>
      </c>
      <c r="E166" s="3116">
        <v>0.82989999999999997</v>
      </c>
      <c r="F166" s="3116">
        <v>0.82989999999999997</v>
      </c>
      <c r="G166" s="3116">
        <v>0.82989999999999997</v>
      </c>
      <c r="H166" s="3116">
        <v>0.82989999999999997</v>
      </c>
      <c r="I166" s="3116">
        <v>0.69440000000000002</v>
      </c>
      <c r="J166" s="3116">
        <v>0.69440000000000002</v>
      </c>
      <c r="K166" s="3116">
        <v>0.69440000000000002</v>
      </c>
      <c r="L166" s="3116">
        <v>0.69440000000000002</v>
      </c>
      <c r="M166" s="3117">
        <v>0.69440000000000002</v>
      </c>
    </row>
    <row r="167" spans="1:13">
      <c r="A167" s="3115">
        <v>8.1999999999999993</v>
      </c>
      <c r="B167" s="3116">
        <v>0.90439999999999998</v>
      </c>
      <c r="C167" s="3116">
        <v>0.90439999999999998</v>
      </c>
      <c r="D167" s="3116">
        <v>0.82820000000000005</v>
      </c>
      <c r="E167" s="3116">
        <v>0.82820000000000005</v>
      </c>
      <c r="F167" s="3116">
        <v>0.82820000000000005</v>
      </c>
      <c r="G167" s="3116">
        <v>0.82820000000000005</v>
      </c>
      <c r="H167" s="3116">
        <v>0.82820000000000005</v>
      </c>
      <c r="I167" s="3116">
        <v>0.69220000000000004</v>
      </c>
      <c r="J167" s="3116">
        <v>0.69220000000000004</v>
      </c>
      <c r="K167" s="3116">
        <v>0.69220000000000004</v>
      </c>
      <c r="L167" s="3116">
        <v>0.69220000000000004</v>
      </c>
      <c r="M167" s="3117">
        <v>0.69220000000000004</v>
      </c>
    </row>
    <row r="168" spans="1:13">
      <c r="A168" s="3115">
        <v>8.3000000000000007</v>
      </c>
      <c r="B168" s="3116">
        <v>0.90300000000000002</v>
      </c>
      <c r="C168" s="3116">
        <v>0.90300000000000002</v>
      </c>
      <c r="D168" s="3116">
        <v>0.82650000000000001</v>
      </c>
      <c r="E168" s="3116">
        <v>0.82650000000000001</v>
      </c>
      <c r="F168" s="3116">
        <v>0.82650000000000001</v>
      </c>
      <c r="G168" s="3116">
        <v>0.82650000000000001</v>
      </c>
      <c r="H168" s="3116">
        <v>0.82650000000000001</v>
      </c>
      <c r="I168" s="3116">
        <v>0.69</v>
      </c>
      <c r="J168" s="3116">
        <v>0.69</v>
      </c>
      <c r="K168" s="3116">
        <v>0.69</v>
      </c>
      <c r="L168" s="3116">
        <v>0.69</v>
      </c>
      <c r="M168" s="3117">
        <v>0.69</v>
      </c>
    </row>
    <row r="169" spans="1:13">
      <c r="A169" s="3115">
        <v>8.4</v>
      </c>
      <c r="B169" s="3116">
        <v>0.90159999999999996</v>
      </c>
      <c r="C169" s="3116">
        <v>0.90159999999999996</v>
      </c>
      <c r="D169" s="3116">
        <v>0.82479999999999998</v>
      </c>
      <c r="E169" s="3116">
        <v>0.82479999999999998</v>
      </c>
      <c r="F169" s="3116">
        <v>0.82479999999999998</v>
      </c>
      <c r="G169" s="3116">
        <v>0.82479999999999998</v>
      </c>
      <c r="H169" s="3116">
        <v>0.82479999999999998</v>
      </c>
      <c r="I169" s="3116">
        <v>0.68779999999999997</v>
      </c>
      <c r="J169" s="3116">
        <v>0.68779999999999997</v>
      </c>
      <c r="K169" s="3116">
        <v>0.68779999999999997</v>
      </c>
      <c r="L169" s="3116">
        <v>0.68779999999999997</v>
      </c>
      <c r="M169" s="3117">
        <v>0.68779999999999997</v>
      </c>
    </row>
    <row r="170" spans="1:13">
      <c r="A170" s="3115">
        <v>8.5</v>
      </c>
      <c r="B170" s="3116">
        <v>0.9002</v>
      </c>
      <c r="C170" s="3116">
        <v>0.9002</v>
      </c>
      <c r="D170" s="3116">
        <v>0.82310000000000005</v>
      </c>
      <c r="E170" s="3116">
        <v>0.82310000000000005</v>
      </c>
      <c r="F170" s="3116">
        <v>0.82310000000000005</v>
      </c>
      <c r="G170" s="3116">
        <v>0.82310000000000005</v>
      </c>
      <c r="H170" s="3116">
        <v>0.82310000000000005</v>
      </c>
      <c r="I170" s="3116">
        <v>0.68569999999999998</v>
      </c>
      <c r="J170" s="3116">
        <v>0.68569999999999998</v>
      </c>
      <c r="K170" s="3116">
        <v>0.68569999999999998</v>
      </c>
      <c r="L170" s="3116">
        <v>0.68569999999999998</v>
      </c>
      <c r="M170" s="3117">
        <v>0.68569999999999998</v>
      </c>
    </row>
    <row r="171" spans="1:13">
      <c r="A171" s="3115">
        <v>8.6</v>
      </c>
      <c r="B171" s="3116">
        <v>0.89880000000000004</v>
      </c>
      <c r="C171" s="3116">
        <v>0.89880000000000004</v>
      </c>
      <c r="D171" s="3116">
        <v>0.82140000000000002</v>
      </c>
      <c r="E171" s="3116">
        <v>0.82140000000000002</v>
      </c>
      <c r="F171" s="3116">
        <v>0.82140000000000002</v>
      </c>
      <c r="G171" s="3116">
        <v>0.82140000000000002</v>
      </c>
      <c r="H171" s="3116">
        <v>0.82140000000000002</v>
      </c>
      <c r="I171" s="3116">
        <v>0.68359999999999999</v>
      </c>
      <c r="J171" s="3116">
        <v>0.68359999999999999</v>
      </c>
      <c r="K171" s="3116">
        <v>0.68359999999999999</v>
      </c>
      <c r="L171" s="3116">
        <v>0.68359999999999999</v>
      </c>
      <c r="M171" s="3117">
        <v>0.68359999999999999</v>
      </c>
    </row>
    <row r="172" spans="1:13">
      <c r="A172" s="3115">
        <v>8.6999999999999993</v>
      </c>
      <c r="B172" s="3116">
        <v>0.89739999999999998</v>
      </c>
      <c r="C172" s="3116">
        <v>0.89739999999999998</v>
      </c>
      <c r="D172" s="3116">
        <v>0.81969999999999998</v>
      </c>
      <c r="E172" s="3116">
        <v>0.81969999999999998</v>
      </c>
      <c r="F172" s="3116">
        <v>0.81969999999999998</v>
      </c>
      <c r="G172" s="3116">
        <v>0.81969999999999998</v>
      </c>
      <c r="H172" s="3116">
        <v>0.81969999999999998</v>
      </c>
      <c r="I172" s="3116">
        <v>0.68149999999999999</v>
      </c>
      <c r="J172" s="3116">
        <v>0.68149999999999999</v>
      </c>
      <c r="K172" s="3116">
        <v>0.68149999999999999</v>
      </c>
      <c r="L172" s="3116">
        <v>0.68149999999999999</v>
      </c>
      <c r="M172" s="3117">
        <v>0.68149999999999999</v>
      </c>
    </row>
    <row r="173" spans="1:13">
      <c r="A173" s="3115">
        <v>8.8000000000000007</v>
      </c>
      <c r="B173" s="3116">
        <v>0.89600000000000002</v>
      </c>
      <c r="C173" s="3116">
        <v>0.89600000000000002</v>
      </c>
      <c r="D173" s="3116">
        <v>0.81810000000000005</v>
      </c>
      <c r="E173" s="3116">
        <v>0.81810000000000005</v>
      </c>
      <c r="F173" s="3116">
        <v>0.81810000000000005</v>
      </c>
      <c r="G173" s="3116">
        <v>0.81810000000000005</v>
      </c>
      <c r="H173" s="3116">
        <v>0.81810000000000005</v>
      </c>
      <c r="I173" s="3116">
        <v>0.6794</v>
      </c>
      <c r="J173" s="3116">
        <v>0.6794</v>
      </c>
      <c r="K173" s="3116">
        <v>0.6794</v>
      </c>
      <c r="L173" s="3116">
        <v>0.6794</v>
      </c>
      <c r="M173" s="3117">
        <v>0.6794</v>
      </c>
    </row>
    <row r="174" spans="1:13">
      <c r="A174" s="3115">
        <v>8.9</v>
      </c>
      <c r="B174" s="3116">
        <v>0.89470000000000005</v>
      </c>
      <c r="C174" s="3116">
        <v>0.89470000000000005</v>
      </c>
      <c r="D174" s="3116">
        <v>0.8165</v>
      </c>
      <c r="E174" s="3116">
        <v>0.8165</v>
      </c>
      <c r="F174" s="3116">
        <v>0.8165</v>
      </c>
      <c r="G174" s="3116">
        <v>0.8165</v>
      </c>
      <c r="H174" s="3116">
        <v>0.8165</v>
      </c>
      <c r="I174" s="3116">
        <v>0.6774</v>
      </c>
      <c r="J174" s="3116">
        <v>0.6774</v>
      </c>
      <c r="K174" s="3116">
        <v>0.6774</v>
      </c>
      <c r="L174" s="3116">
        <v>0.6774</v>
      </c>
      <c r="M174" s="3117">
        <v>0.6774</v>
      </c>
    </row>
    <row r="175" spans="1:13">
      <c r="A175" s="3118">
        <v>9</v>
      </c>
      <c r="B175" s="3116">
        <v>0.89339999999999997</v>
      </c>
      <c r="C175" s="3116">
        <v>0.89339999999999997</v>
      </c>
      <c r="D175" s="3116">
        <v>0.81489999999999996</v>
      </c>
      <c r="E175" s="3116">
        <v>0.81489999999999996</v>
      </c>
      <c r="F175" s="3116">
        <v>0.81489999999999996</v>
      </c>
      <c r="G175" s="3116">
        <v>0.81489999999999996</v>
      </c>
      <c r="H175" s="3116">
        <v>0.81489999999999996</v>
      </c>
      <c r="I175" s="3116">
        <v>0.6754</v>
      </c>
      <c r="J175" s="3116">
        <v>0.6754</v>
      </c>
      <c r="K175" s="3116">
        <v>0.6754</v>
      </c>
      <c r="L175" s="3116">
        <v>0.6754</v>
      </c>
      <c r="M175" s="3117">
        <v>0.6754</v>
      </c>
    </row>
    <row r="176" spans="1:13">
      <c r="A176" s="3118">
        <v>9.1</v>
      </c>
      <c r="B176" s="3116">
        <v>0.8921</v>
      </c>
      <c r="C176" s="3116">
        <v>0.8921</v>
      </c>
      <c r="D176" s="3116">
        <v>0.81330000000000002</v>
      </c>
      <c r="E176" s="3116">
        <v>0.81330000000000002</v>
      </c>
      <c r="F176" s="3116">
        <v>0.81330000000000002</v>
      </c>
      <c r="G176" s="3116">
        <v>0.81330000000000002</v>
      </c>
      <c r="H176" s="3116">
        <v>0.81330000000000002</v>
      </c>
      <c r="I176" s="3116">
        <v>0.6734</v>
      </c>
      <c r="J176" s="3116">
        <v>0.6734</v>
      </c>
      <c r="K176" s="3116">
        <v>0.6734</v>
      </c>
      <c r="L176" s="3116">
        <v>0.6734</v>
      </c>
      <c r="M176" s="3117">
        <v>0.6734</v>
      </c>
    </row>
    <row r="177" spans="1:20">
      <c r="A177" s="3118">
        <v>9.1999999999999993</v>
      </c>
      <c r="B177" s="3116">
        <v>0.89080000000000004</v>
      </c>
      <c r="C177" s="3116">
        <v>0.89080000000000004</v>
      </c>
      <c r="D177" s="3116">
        <v>0.81169999999999998</v>
      </c>
      <c r="E177" s="3116">
        <v>0.81169999999999998</v>
      </c>
      <c r="F177" s="3116">
        <v>0.81169999999999998</v>
      </c>
      <c r="G177" s="3116">
        <v>0.81169999999999998</v>
      </c>
      <c r="H177" s="3116">
        <v>0.81169999999999998</v>
      </c>
      <c r="I177" s="3116">
        <v>0.6714</v>
      </c>
      <c r="J177" s="3116">
        <v>0.6714</v>
      </c>
      <c r="K177" s="3116">
        <v>0.6714</v>
      </c>
      <c r="L177" s="3116">
        <v>0.6714</v>
      </c>
      <c r="M177" s="3117">
        <v>0.6714</v>
      </c>
    </row>
    <row r="178" spans="1:20">
      <c r="A178" s="3118">
        <v>9.3000000000000007</v>
      </c>
      <c r="B178" s="3116">
        <v>0.88949999999999996</v>
      </c>
      <c r="C178" s="3116">
        <v>0.88949999999999996</v>
      </c>
      <c r="D178" s="3116">
        <v>0.81010000000000004</v>
      </c>
      <c r="E178" s="3116">
        <v>0.81010000000000004</v>
      </c>
      <c r="F178" s="3116">
        <v>0.81010000000000004</v>
      </c>
      <c r="G178" s="3116">
        <v>0.81010000000000004</v>
      </c>
      <c r="H178" s="3116">
        <v>0.81010000000000004</v>
      </c>
      <c r="I178" s="3116">
        <v>0.6694</v>
      </c>
      <c r="J178" s="3116">
        <v>0.6694</v>
      </c>
      <c r="K178" s="3116">
        <v>0.6694</v>
      </c>
      <c r="L178" s="3116">
        <v>0.6694</v>
      </c>
      <c r="M178" s="3117">
        <v>0.6694</v>
      </c>
    </row>
    <row r="179" spans="1:20">
      <c r="A179" s="3118">
        <v>9.4</v>
      </c>
      <c r="B179" s="3116">
        <v>0.88819999999999999</v>
      </c>
      <c r="C179" s="3116">
        <v>0.88819999999999999</v>
      </c>
      <c r="D179" s="3116">
        <v>0.8085</v>
      </c>
      <c r="E179" s="3116">
        <v>0.8085</v>
      </c>
      <c r="F179" s="3116">
        <v>0.8085</v>
      </c>
      <c r="G179" s="3116">
        <v>0.8085</v>
      </c>
      <c r="H179" s="3116">
        <v>0.8085</v>
      </c>
      <c r="I179" s="3116">
        <v>0.66739999999999999</v>
      </c>
      <c r="J179" s="3116">
        <v>0.66739999999999999</v>
      </c>
      <c r="K179" s="3116">
        <v>0.66739999999999999</v>
      </c>
      <c r="L179" s="3116">
        <v>0.66739999999999999</v>
      </c>
      <c r="M179" s="3117">
        <v>0.66739999999999999</v>
      </c>
    </row>
    <row r="180" spans="1:20">
      <c r="A180" s="3118">
        <v>9.5</v>
      </c>
      <c r="B180" s="3116">
        <v>0.88700000000000001</v>
      </c>
      <c r="C180" s="3116">
        <v>0.88700000000000001</v>
      </c>
      <c r="D180" s="3116">
        <v>0.80700000000000005</v>
      </c>
      <c r="E180" s="3116">
        <v>0.80700000000000005</v>
      </c>
      <c r="F180" s="3116">
        <v>0.80700000000000005</v>
      </c>
      <c r="G180" s="3116">
        <v>0.80700000000000005</v>
      </c>
      <c r="H180" s="3116">
        <v>0.80700000000000005</v>
      </c>
      <c r="I180" s="3116">
        <v>0.66549999999999998</v>
      </c>
      <c r="J180" s="3116">
        <v>0.66549999999999998</v>
      </c>
      <c r="K180" s="3116">
        <v>0.66549999999999998</v>
      </c>
      <c r="L180" s="3116">
        <v>0.66549999999999998</v>
      </c>
      <c r="M180" s="3117">
        <v>0.66549999999999998</v>
      </c>
    </row>
    <row r="181" spans="1:20">
      <c r="A181" s="3118">
        <v>9.6</v>
      </c>
      <c r="B181" s="3116">
        <v>0.88580000000000003</v>
      </c>
      <c r="C181" s="3116">
        <v>0.88580000000000003</v>
      </c>
      <c r="D181" s="3116">
        <v>0.80549999999999999</v>
      </c>
      <c r="E181" s="3116">
        <v>0.80549999999999999</v>
      </c>
      <c r="F181" s="3116">
        <v>0.80549999999999999</v>
      </c>
      <c r="G181" s="3116">
        <v>0.80549999999999999</v>
      </c>
      <c r="H181" s="3116">
        <v>0.80549999999999999</v>
      </c>
      <c r="I181" s="3116">
        <v>0.66359999999999997</v>
      </c>
      <c r="J181" s="3116">
        <v>0.66359999999999997</v>
      </c>
      <c r="K181" s="3116">
        <v>0.66359999999999997</v>
      </c>
      <c r="L181" s="3116">
        <v>0.66359999999999997</v>
      </c>
      <c r="M181" s="3117">
        <v>0.66359999999999997</v>
      </c>
    </row>
    <row r="182" spans="1:20">
      <c r="A182" s="3118">
        <v>9.6999999999999993</v>
      </c>
      <c r="B182" s="3116">
        <v>0.88460000000000005</v>
      </c>
      <c r="C182" s="3116">
        <v>0.88460000000000005</v>
      </c>
      <c r="D182" s="3116">
        <v>0.80400000000000005</v>
      </c>
      <c r="E182" s="3116">
        <v>0.80400000000000005</v>
      </c>
      <c r="F182" s="3116">
        <v>0.80400000000000005</v>
      </c>
      <c r="G182" s="3116">
        <v>0.80400000000000005</v>
      </c>
      <c r="H182" s="3116">
        <v>0.80400000000000005</v>
      </c>
      <c r="I182" s="3116">
        <v>0.66169999999999995</v>
      </c>
      <c r="J182" s="3116">
        <v>0.66169999999999995</v>
      </c>
      <c r="K182" s="3116">
        <v>0.66169999999999995</v>
      </c>
      <c r="L182" s="3116">
        <v>0.66169999999999995</v>
      </c>
      <c r="M182" s="3117">
        <v>0.66169999999999995</v>
      </c>
    </row>
    <row r="183" spans="1:20">
      <c r="A183" s="3118">
        <v>9.8000000000000007</v>
      </c>
      <c r="B183" s="3116">
        <v>0.88339999999999996</v>
      </c>
      <c r="C183" s="3116">
        <v>0.88339999999999996</v>
      </c>
      <c r="D183" s="3116">
        <v>0.80249999999999999</v>
      </c>
      <c r="E183" s="3116">
        <v>0.80249999999999999</v>
      </c>
      <c r="F183" s="3116">
        <v>0.80249999999999999</v>
      </c>
      <c r="G183" s="3116">
        <v>0.80249999999999999</v>
      </c>
      <c r="H183" s="3116">
        <v>0.80249999999999999</v>
      </c>
      <c r="I183" s="3116">
        <v>0.65980000000000005</v>
      </c>
      <c r="J183" s="3116">
        <v>0.65980000000000005</v>
      </c>
      <c r="K183" s="3116">
        <v>0.65980000000000005</v>
      </c>
      <c r="L183" s="3116">
        <v>0.65980000000000005</v>
      </c>
      <c r="M183" s="3117">
        <v>0.65980000000000005</v>
      </c>
    </row>
    <row r="184" spans="1:20" ht="14.25" thickBot="1">
      <c r="A184" s="3119">
        <v>9.9</v>
      </c>
      <c r="B184" s="3120">
        <v>0.88219999999999998</v>
      </c>
      <c r="C184" s="3120">
        <v>0.88219999999999998</v>
      </c>
      <c r="D184" s="3120">
        <v>0.80100000000000005</v>
      </c>
      <c r="E184" s="3120">
        <v>0.80100000000000005</v>
      </c>
      <c r="F184" s="3120">
        <v>0.80100000000000005</v>
      </c>
      <c r="G184" s="3120">
        <v>0.80100000000000005</v>
      </c>
      <c r="H184" s="3120">
        <v>0.80100000000000005</v>
      </c>
      <c r="I184" s="3120">
        <v>0.65790000000000004</v>
      </c>
      <c r="J184" s="3120">
        <v>0.65790000000000004</v>
      </c>
      <c r="K184" s="3120">
        <v>0.65790000000000004</v>
      </c>
      <c r="L184" s="3120">
        <v>0.65790000000000004</v>
      </c>
      <c r="M184" s="3121">
        <v>0.65790000000000004</v>
      </c>
    </row>
    <row r="185" spans="1:20" ht="15" thickBot="1">
      <c r="A185" s="3109" t="s">
        <v>2803</v>
      </c>
      <c r="B185" s="3109"/>
      <c r="C185" s="3109"/>
      <c r="D185" s="3109"/>
      <c r="E185" s="3109"/>
      <c r="F185" s="3109"/>
      <c r="G185" s="3109"/>
      <c r="H185" s="3109"/>
      <c r="I185" s="3109"/>
      <c r="J185" s="3109"/>
      <c r="K185" s="3109"/>
      <c r="L185" s="3109"/>
      <c r="M185" s="3109"/>
    </row>
    <row r="186" spans="1:20">
      <c r="A186" s="3110" t="s">
        <v>2801</v>
      </c>
      <c r="B186" s="3111" t="s">
        <v>2597</v>
      </c>
      <c r="C186" s="3111" t="s">
        <v>2598</v>
      </c>
      <c r="D186" s="3111" t="s">
        <v>2599</v>
      </c>
      <c r="E186" s="3111" t="s">
        <v>2600</v>
      </c>
      <c r="F186" s="3111" t="s">
        <v>2601</v>
      </c>
      <c r="G186" s="3111" t="s">
        <v>2602</v>
      </c>
      <c r="H186" s="3112" t="s">
        <v>2603</v>
      </c>
      <c r="I186" s="3112" t="s">
        <v>2604</v>
      </c>
      <c r="J186" s="3113" t="s">
        <v>2605</v>
      </c>
      <c r="K186" s="3113" t="s">
        <v>2606</v>
      </c>
      <c r="L186" s="3113" t="s">
        <v>2607</v>
      </c>
      <c r="M186" s="3114" t="s">
        <v>2608</v>
      </c>
      <c r="Q186" s="3124" t="s">
        <v>2806</v>
      </c>
      <c r="R186" s="3124" t="s">
        <v>2807</v>
      </c>
      <c r="S186" s="3124" t="s">
        <v>2808</v>
      </c>
      <c r="T186" s="3124" t="s">
        <v>2809</v>
      </c>
    </row>
    <row r="187" spans="1:20">
      <c r="A187" s="3115">
        <v>1</v>
      </c>
      <c r="B187" s="3116">
        <v>1.1901999999999999</v>
      </c>
      <c r="C187" s="3116">
        <v>1.1901999999999999</v>
      </c>
      <c r="D187" s="3116">
        <v>1.222</v>
      </c>
      <c r="E187" s="3116">
        <v>1.222</v>
      </c>
      <c r="F187" s="3116">
        <v>1.222</v>
      </c>
      <c r="G187" s="3116">
        <v>1.222</v>
      </c>
      <c r="H187" s="3116">
        <v>1.222</v>
      </c>
      <c r="I187" s="3116">
        <v>1.1054999999999999</v>
      </c>
      <c r="J187" s="3116">
        <v>1.1054999999999999</v>
      </c>
      <c r="K187" s="3116">
        <v>1.1054999999999999</v>
      </c>
      <c r="L187" s="3116">
        <v>1.1054999999999999</v>
      </c>
      <c r="M187" s="3117">
        <v>1.1054999999999999</v>
      </c>
      <c r="Q187" s="3124">
        <v>10</v>
      </c>
      <c r="R187" s="3124">
        <f>ROUND(0.9448-0.0115*Q187,4)</f>
        <v>0.82979999999999998</v>
      </c>
      <c r="S187" s="3124">
        <f>ROUND(0.937-0.0145*Q187,4)</f>
        <v>0.79200000000000004</v>
      </c>
      <c r="T187" s="3124">
        <f>ROUND(0.7965-0.0185*Q187,4)</f>
        <v>0.61150000000000004</v>
      </c>
    </row>
    <row r="188" spans="1:20">
      <c r="A188" s="3115">
        <v>1.1000000000000001</v>
      </c>
      <c r="B188" s="3116">
        <v>1.1715</v>
      </c>
      <c r="C188" s="3116">
        <v>1.1715</v>
      </c>
      <c r="D188" s="3116">
        <v>1.2002999999999999</v>
      </c>
      <c r="E188" s="3116">
        <v>1.2002999999999999</v>
      </c>
      <c r="F188" s="3116">
        <v>1.2002999999999999</v>
      </c>
      <c r="G188" s="3116">
        <v>1.2002999999999999</v>
      </c>
      <c r="H188" s="3116">
        <v>1.2002999999999999</v>
      </c>
      <c r="I188" s="3116">
        <v>1.0819000000000001</v>
      </c>
      <c r="J188" s="3116">
        <v>1.0819000000000001</v>
      </c>
      <c r="K188" s="3116">
        <v>1.0819000000000001</v>
      </c>
      <c r="L188" s="3116">
        <v>1.0819000000000001</v>
      </c>
      <c r="M188" s="3117">
        <v>1.0819000000000001</v>
      </c>
    </row>
    <row r="189" spans="1:20">
      <c r="A189" s="3115">
        <v>1.2</v>
      </c>
      <c r="B189" s="3116">
        <v>1.1538999999999999</v>
      </c>
      <c r="C189" s="3116">
        <v>1.1538999999999999</v>
      </c>
      <c r="D189" s="3116">
        <v>1.1798</v>
      </c>
      <c r="E189" s="3116">
        <v>1.1798</v>
      </c>
      <c r="F189" s="3116">
        <v>1.1798</v>
      </c>
      <c r="G189" s="3116">
        <v>1.1798</v>
      </c>
      <c r="H189" s="3116">
        <v>1.1798</v>
      </c>
      <c r="I189" s="3116">
        <v>1.0597000000000001</v>
      </c>
      <c r="J189" s="3116">
        <v>1.0597000000000001</v>
      </c>
      <c r="K189" s="3116">
        <v>1.0597000000000001</v>
      </c>
      <c r="L189" s="3116">
        <v>1.0597000000000001</v>
      </c>
      <c r="M189" s="3117">
        <v>1.0597000000000001</v>
      </c>
    </row>
    <row r="190" spans="1:20">
      <c r="A190" s="3115">
        <v>1.3</v>
      </c>
      <c r="B190" s="3116">
        <v>1.1372</v>
      </c>
      <c r="C190" s="3116">
        <v>1.1372</v>
      </c>
      <c r="D190" s="3116">
        <v>1.1605000000000001</v>
      </c>
      <c r="E190" s="3116">
        <v>1.1605000000000001</v>
      </c>
      <c r="F190" s="3116">
        <v>1.1605000000000001</v>
      </c>
      <c r="G190" s="3116">
        <v>1.1605000000000001</v>
      </c>
      <c r="H190" s="3116">
        <v>1.1605000000000001</v>
      </c>
      <c r="I190" s="3116">
        <v>1.0386</v>
      </c>
      <c r="J190" s="3116">
        <v>1.0386</v>
      </c>
      <c r="K190" s="3116">
        <v>1.0386</v>
      </c>
      <c r="L190" s="3116">
        <v>1.0386</v>
      </c>
      <c r="M190" s="3117">
        <v>1.0386</v>
      </c>
    </row>
    <row r="191" spans="1:20">
      <c r="A191" s="3115">
        <v>1.4</v>
      </c>
      <c r="B191" s="3116">
        <v>1.1215999999999999</v>
      </c>
      <c r="C191" s="3116">
        <v>1.1215999999999999</v>
      </c>
      <c r="D191" s="3116">
        <v>1.1422000000000001</v>
      </c>
      <c r="E191" s="3116">
        <v>1.1422000000000001</v>
      </c>
      <c r="F191" s="3116">
        <v>1.1422000000000001</v>
      </c>
      <c r="G191" s="3116">
        <v>1.1422000000000001</v>
      </c>
      <c r="H191" s="3116">
        <v>1.1422000000000001</v>
      </c>
      <c r="I191" s="3116">
        <v>1.0187999999999999</v>
      </c>
      <c r="J191" s="3116">
        <v>1.0187999999999999</v>
      </c>
      <c r="K191" s="3116">
        <v>1.0187999999999999</v>
      </c>
      <c r="L191" s="3116">
        <v>1.0187999999999999</v>
      </c>
      <c r="M191" s="3117">
        <v>1.0187999999999999</v>
      </c>
    </row>
    <row r="192" spans="1:20">
      <c r="A192" s="3115">
        <v>1.5</v>
      </c>
      <c r="B192" s="3116">
        <v>1.1069</v>
      </c>
      <c r="C192" s="3116">
        <v>1.1069</v>
      </c>
      <c r="D192" s="3116">
        <v>1.125</v>
      </c>
      <c r="E192" s="3116">
        <v>1.125</v>
      </c>
      <c r="F192" s="3116">
        <v>1.125</v>
      </c>
      <c r="G192" s="3116">
        <v>1.125</v>
      </c>
      <c r="H192" s="3116">
        <v>1.125</v>
      </c>
      <c r="I192" s="3116">
        <v>1</v>
      </c>
      <c r="J192" s="3116">
        <v>1</v>
      </c>
      <c r="K192" s="3116">
        <v>1</v>
      </c>
      <c r="L192" s="3116">
        <v>1</v>
      </c>
      <c r="M192" s="3117">
        <v>1</v>
      </c>
    </row>
    <row r="193" spans="1:13">
      <c r="A193" s="3115">
        <v>1.6</v>
      </c>
      <c r="B193" s="3116">
        <v>1.0929</v>
      </c>
      <c r="C193" s="3116">
        <v>1.0929</v>
      </c>
      <c r="D193" s="3116">
        <v>1.1087</v>
      </c>
      <c r="E193" s="3116">
        <v>1.1087</v>
      </c>
      <c r="F193" s="3116">
        <v>1.1087</v>
      </c>
      <c r="G193" s="3116">
        <v>1.1087</v>
      </c>
      <c r="H193" s="3116">
        <v>1.1087</v>
      </c>
      <c r="I193" s="3116">
        <v>0.98229999999999995</v>
      </c>
      <c r="J193" s="3116">
        <v>0.98229999999999995</v>
      </c>
      <c r="K193" s="3116">
        <v>0.98229999999999995</v>
      </c>
      <c r="L193" s="3116">
        <v>0.98229999999999995</v>
      </c>
      <c r="M193" s="3117">
        <v>0.98229999999999995</v>
      </c>
    </row>
    <row r="194" spans="1:13">
      <c r="A194" s="3115">
        <v>1.7</v>
      </c>
      <c r="B194" s="3116">
        <v>1.0798000000000001</v>
      </c>
      <c r="C194" s="3116">
        <v>1.0798000000000001</v>
      </c>
      <c r="D194" s="3116">
        <v>1.0933999999999999</v>
      </c>
      <c r="E194" s="3116">
        <v>1.0933999999999999</v>
      </c>
      <c r="F194" s="3116">
        <v>1.0933999999999999</v>
      </c>
      <c r="G194" s="3116">
        <v>1.0933999999999999</v>
      </c>
      <c r="H194" s="3116">
        <v>1.0933999999999999</v>
      </c>
      <c r="I194" s="3116">
        <v>0.96560000000000001</v>
      </c>
      <c r="J194" s="3116">
        <v>0.96560000000000001</v>
      </c>
      <c r="K194" s="3116">
        <v>0.96560000000000001</v>
      </c>
      <c r="L194" s="3116">
        <v>0.96560000000000001</v>
      </c>
      <c r="M194" s="3117">
        <v>0.96560000000000001</v>
      </c>
    </row>
    <row r="195" spans="1:13">
      <c r="A195" s="3115">
        <v>1.8</v>
      </c>
      <c r="B195" s="3116">
        <v>1.0674999999999999</v>
      </c>
      <c r="C195" s="3116">
        <v>1.0674999999999999</v>
      </c>
      <c r="D195" s="3116">
        <v>1.0790999999999999</v>
      </c>
      <c r="E195" s="3116">
        <v>1.0790999999999999</v>
      </c>
      <c r="F195" s="3116">
        <v>1.0790999999999999</v>
      </c>
      <c r="G195" s="3116">
        <v>1.0790999999999999</v>
      </c>
      <c r="H195" s="3116">
        <v>1.0790999999999999</v>
      </c>
      <c r="I195" s="3116">
        <v>0.94989999999999997</v>
      </c>
      <c r="J195" s="3116">
        <v>0.94989999999999997</v>
      </c>
      <c r="K195" s="3116">
        <v>0.94989999999999997</v>
      </c>
      <c r="L195" s="3116">
        <v>0.94989999999999997</v>
      </c>
      <c r="M195" s="3117">
        <v>0.94989999999999997</v>
      </c>
    </row>
    <row r="196" spans="1:13">
      <c r="A196" s="3115">
        <v>1.9</v>
      </c>
      <c r="B196" s="3116">
        <v>1.0558000000000001</v>
      </c>
      <c r="C196" s="3116">
        <v>1.0558000000000001</v>
      </c>
      <c r="D196" s="3116">
        <v>1.0654999999999999</v>
      </c>
      <c r="E196" s="3116">
        <v>1.0654999999999999</v>
      </c>
      <c r="F196" s="3116">
        <v>1.0654999999999999</v>
      </c>
      <c r="G196" s="3116">
        <v>1.0654999999999999</v>
      </c>
      <c r="H196" s="3116">
        <v>1.0654999999999999</v>
      </c>
      <c r="I196" s="3116">
        <v>0.93520000000000003</v>
      </c>
      <c r="J196" s="3116">
        <v>0.93520000000000003</v>
      </c>
      <c r="K196" s="3116">
        <v>0.93520000000000003</v>
      </c>
      <c r="L196" s="3116">
        <v>0.93520000000000003</v>
      </c>
      <c r="M196" s="3117">
        <v>0.93520000000000003</v>
      </c>
    </row>
    <row r="197" spans="1:13">
      <c r="A197" s="3115">
        <v>2</v>
      </c>
      <c r="B197" s="3116">
        <v>1.0449999999999999</v>
      </c>
      <c r="C197" s="3116">
        <v>1.0449999999999999</v>
      </c>
      <c r="D197" s="3116">
        <v>1.0528</v>
      </c>
      <c r="E197" s="3116">
        <v>1.0528</v>
      </c>
      <c r="F197" s="3116">
        <v>1.0528</v>
      </c>
      <c r="G197" s="3116">
        <v>1.0528</v>
      </c>
      <c r="H197" s="3116">
        <v>1.0528</v>
      </c>
      <c r="I197" s="3116">
        <v>0.92130000000000001</v>
      </c>
      <c r="J197" s="3116">
        <v>0.92130000000000001</v>
      </c>
      <c r="K197" s="3116">
        <v>0.92130000000000001</v>
      </c>
      <c r="L197" s="3116">
        <v>0.92130000000000001</v>
      </c>
      <c r="M197" s="3117">
        <v>0.92130000000000001</v>
      </c>
    </row>
    <row r="198" spans="1:13">
      <c r="A198" s="3118">
        <v>2.1</v>
      </c>
      <c r="B198" s="3116">
        <v>1.0347999999999999</v>
      </c>
      <c r="C198" s="3116">
        <v>1.0347999999999999</v>
      </c>
      <c r="D198" s="3116">
        <v>1.0407999999999999</v>
      </c>
      <c r="E198" s="3116">
        <v>1.0407999999999999</v>
      </c>
      <c r="F198" s="3116">
        <v>1.0407999999999999</v>
      </c>
      <c r="G198" s="3116">
        <v>1.0407999999999999</v>
      </c>
      <c r="H198" s="3116">
        <v>1.0407999999999999</v>
      </c>
      <c r="I198" s="3116">
        <v>0.90820000000000001</v>
      </c>
      <c r="J198" s="3116">
        <v>0.90820000000000001</v>
      </c>
      <c r="K198" s="3116">
        <v>0.90820000000000001</v>
      </c>
      <c r="L198" s="3116">
        <v>0.90820000000000001</v>
      </c>
      <c r="M198" s="3117">
        <v>0.90820000000000001</v>
      </c>
    </row>
    <row r="199" spans="1:13">
      <c r="A199" s="3118">
        <v>2.2000000000000002</v>
      </c>
      <c r="B199" s="3116">
        <v>1.0251999999999999</v>
      </c>
      <c r="C199" s="3116">
        <v>1.0251999999999999</v>
      </c>
      <c r="D199" s="3116">
        <v>1.0296000000000001</v>
      </c>
      <c r="E199" s="3116">
        <v>1.0296000000000001</v>
      </c>
      <c r="F199" s="3116">
        <v>1.0296000000000001</v>
      </c>
      <c r="G199" s="3116">
        <v>1.0296000000000001</v>
      </c>
      <c r="H199" s="3116">
        <v>1.0296000000000001</v>
      </c>
      <c r="I199" s="3116">
        <v>0.89570000000000005</v>
      </c>
      <c r="J199" s="3116">
        <v>0.89570000000000005</v>
      </c>
      <c r="K199" s="3116">
        <v>0.89570000000000005</v>
      </c>
      <c r="L199" s="3116">
        <v>0.89570000000000005</v>
      </c>
      <c r="M199" s="3117">
        <v>0.89570000000000005</v>
      </c>
    </row>
    <row r="200" spans="1:13">
      <c r="A200" s="3118">
        <v>2.2999999999999998</v>
      </c>
      <c r="B200" s="3116">
        <v>1.0162</v>
      </c>
      <c r="C200" s="3116">
        <v>1.0162</v>
      </c>
      <c r="D200" s="3116">
        <v>1.0190999999999999</v>
      </c>
      <c r="E200" s="3116">
        <v>1.0190999999999999</v>
      </c>
      <c r="F200" s="3116">
        <v>1.0190999999999999</v>
      </c>
      <c r="G200" s="3116">
        <v>1.0190999999999999</v>
      </c>
      <c r="H200" s="3116">
        <v>1.0190999999999999</v>
      </c>
      <c r="I200" s="3116">
        <v>0.88419999999999999</v>
      </c>
      <c r="J200" s="3116">
        <v>0.88419999999999999</v>
      </c>
      <c r="K200" s="3116">
        <v>0.88419999999999999</v>
      </c>
      <c r="L200" s="3116">
        <v>0.88419999999999999</v>
      </c>
      <c r="M200" s="3117">
        <v>0.88419999999999999</v>
      </c>
    </row>
    <row r="201" spans="1:13">
      <c r="A201" s="3118">
        <v>2.4</v>
      </c>
      <c r="B201" s="3116">
        <v>1.0078</v>
      </c>
      <c r="C201" s="3116">
        <v>1.0078</v>
      </c>
      <c r="D201" s="3116">
        <v>1.0092000000000001</v>
      </c>
      <c r="E201" s="3116">
        <v>1.0092000000000001</v>
      </c>
      <c r="F201" s="3116">
        <v>1.0092000000000001</v>
      </c>
      <c r="G201" s="3116">
        <v>1.0092000000000001</v>
      </c>
      <c r="H201" s="3116">
        <v>1.0092000000000001</v>
      </c>
      <c r="I201" s="3116">
        <v>0.87329999999999997</v>
      </c>
      <c r="J201" s="3116">
        <v>0.87329999999999997</v>
      </c>
      <c r="K201" s="3116">
        <v>0.87329999999999997</v>
      </c>
      <c r="L201" s="3116">
        <v>0.87329999999999997</v>
      </c>
      <c r="M201" s="3117">
        <v>0.87329999999999997</v>
      </c>
    </row>
    <row r="202" spans="1:13">
      <c r="A202" s="3118">
        <v>2.5</v>
      </c>
      <c r="B202" s="3116">
        <v>1</v>
      </c>
      <c r="C202" s="3116">
        <v>1</v>
      </c>
      <c r="D202" s="3116">
        <v>1</v>
      </c>
      <c r="E202" s="3116">
        <v>1</v>
      </c>
      <c r="F202" s="3116">
        <v>1</v>
      </c>
      <c r="G202" s="3116">
        <v>1</v>
      </c>
      <c r="H202" s="3116">
        <v>1</v>
      </c>
      <c r="I202" s="3116">
        <v>0.86299999999999999</v>
      </c>
      <c r="J202" s="3116">
        <v>0.86299999999999999</v>
      </c>
      <c r="K202" s="3116">
        <v>0.86299999999999999</v>
      </c>
      <c r="L202" s="3116">
        <v>0.86299999999999999</v>
      </c>
      <c r="M202" s="3117">
        <v>0.86299999999999999</v>
      </c>
    </row>
    <row r="203" spans="1:13">
      <c r="A203" s="3118">
        <v>2.6</v>
      </c>
      <c r="B203" s="3116">
        <v>0.99270000000000003</v>
      </c>
      <c r="C203" s="3116">
        <v>0.99270000000000003</v>
      </c>
      <c r="D203" s="3116">
        <v>0.99139999999999995</v>
      </c>
      <c r="E203" s="3116">
        <v>0.99139999999999995</v>
      </c>
      <c r="F203" s="3116">
        <v>0.99139999999999995</v>
      </c>
      <c r="G203" s="3116">
        <v>0.99139999999999995</v>
      </c>
      <c r="H203" s="3116">
        <v>0.99139999999999995</v>
      </c>
      <c r="I203" s="3116">
        <v>0.85340000000000005</v>
      </c>
      <c r="J203" s="3116">
        <v>0.85340000000000005</v>
      </c>
      <c r="K203" s="3116">
        <v>0.85340000000000005</v>
      </c>
      <c r="L203" s="3116">
        <v>0.85340000000000005</v>
      </c>
      <c r="M203" s="3117">
        <v>0.85340000000000005</v>
      </c>
    </row>
    <row r="204" spans="1:13">
      <c r="A204" s="3118">
        <v>2.7</v>
      </c>
      <c r="B204" s="3116">
        <v>0.98580000000000001</v>
      </c>
      <c r="C204" s="3116">
        <v>0.98580000000000001</v>
      </c>
      <c r="D204" s="3116">
        <v>0.98329999999999995</v>
      </c>
      <c r="E204" s="3116">
        <v>0.98329999999999995</v>
      </c>
      <c r="F204" s="3116">
        <v>0.98329999999999995</v>
      </c>
      <c r="G204" s="3116">
        <v>0.98329999999999995</v>
      </c>
      <c r="H204" s="3116">
        <v>0.98329999999999995</v>
      </c>
      <c r="I204" s="3116">
        <v>0.84440000000000004</v>
      </c>
      <c r="J204" s="3116">
        <v>0.84440000000000004</v>
      </c>
      <c r="K204" s="3116">
        <v>0.84440000000000004</v>
      </c>
      <c r="L204" s="3116">
        <v>0.84440000000000004</v>
      </c>
      <c r="M204" s="3117">
        <v>0.84440000000000004</v>
      </c>
    </row>
    <row r="205" spans="1:13">
      <c r="A205" s="3118">
        <v>2.8</v>
      </c>
      <c r="B205" s="3116">
        <v>0.97940000000000005</v>
      </c>
      <c r="C205" s="3116">
        <v>0.97940000000000005</v>
      </c>
      <c r="D205" s="3116">
        <v>0.97570000000000001</v>
      </c>
      <c r="E205" s="3116">
        <v>0.97570000000000001</v>
      </c>
      <c r="F205" s="3116">
        <v>0.97570000000000001</v>
      </c>
      <c r="G205" s="3116">
        <v>0.97570000000000001</v>
      </c>
      <c r="H205" s="3116">
        <v>0.97570000000000001</v>
      </c>
      <c r="I205" s="3116">
        <v>0.83599999999999997</v>
      </c>
      <c r="J205" s="3116">
        <v>0.83599999999999997</v>
      </c>
      <c r="K205" s="3116">
        <v>0.83599999999999997</v>
      </c>
      <c r="L205" s="3116">
        <v>0.83599999999999997</v>
      </c>
      <c r="M205" s="3117">
        <v>0.83599999999999997</v>
      </c>
    </row>
    <row r="206" spans="1:13">
      <c r="A206" s="3118">
        <v>2.9</v>
      </c>
      <c r="B206" s="3116">
        <v>0.97350000000000003</v>
      </c>
      <c r="C206" s="3116">
        <v>0.97350000000000003</v>
      </c>
      <c r="D206" s="3116">
        <v>0.96870000000000001</v>
      </c>
      <c r="E206" s="3116">
        <v>0.96870000000000001</v>
      </c>
      <c r="F206" s="3116">
        <v>0.96870000000000001</v>
      </c>
      <c r="G206" s="3116">
        <v>0.96870000000000001</v>
      </c>
      <c r="H206" s="3116">
        <v>0.96870000000000001</v>
      </c>
      <c r="I206" s="3116">
        <v>0.82820000000000005</v>
      </c>
      <c r="J206" s="3116">
        <v>0.82820000000000005</v>
      </c>
      <c r="K206" s="3116">
        <v>0.82820000000000005</v>
      </c>
      <c r="L206" s="3116">
        <v>0.82820000000000005</v>
      </c>
      <c r="M206" s="3117">
        <v>0.82820000000000005</v>
      </c>
    </row>
    <row r="207" spans="1:13">
      <c r="A207" s="3118">
        <v>3</v>
      </c>
      <c r="B207" s="3116">
        <v>0.96789999999999998</v>
      </c>
      <c r="C207" s="3116">
        <v>0.96789999999999998</v>
      </c>
      <c r="D207" s="3116">
        <v>0.96209999999999996</v>
      </c>
      <c r="E207" s="3116">
        <v>0.96209999999999996</v>
      </c>
      <c r="F207" s="3116">
        <v>0.96209999999999996</v>
      </c>
      <c r="G207" s="3116">
        <v>0.96209999999999996</v>
      </c>
      <c r="H207" s="3116">
        <v>0.96209999999999996</v>
      </c>
      <c r="I207" s="3116">
        <v>0.82079999999999997</v>
      </c>
      <c r="J207" s="3116">
        <v>0.82079999999999997</v>
      </c>
      <c r="K207" s="3116">
        <v>0.82079999999999997</v>
      </c>
      <c r="L207" s="3116">
        <v>0.82079999999999997</v>
      </c>
      <c r="M207" s="3117">
        <v>0.82079999999999997</v>
      </c>
    </row>
    <row r="208" spans="1:13">
      <c r="A208" s="3118">
        <v>3.1</v>
      </c>
      <c r="B208" s="3116">
        <v>0.9627</v>
      </c>
      <c r="C208" s="3116">
        <v>0.9627</v>
      </c>
      <c r="D208" s="3116">
        <v>0.95589999999999997</v>
      </c>
      <c r="E208" s="3116">
        <v>0.95589999999999997</v>
      </c>
      <c r="F208" s="3116">
        <v>0.95589999999999997</v>
      </c>
      <c r="G208" s="3116">
        <v>0.95589999999999997</v>
      </c>
      <c r="H208" s="3116">
        <v>0.95589999999999997</v>
      </c>
      <c r="I208" s="3116">
        <v>0.81389999999999996</v>
      </c>
      <c r="J208" s="3116">
        <v>0.81389999999999996</v>
      </c>
      <c r="K208" s="3116">
        <v>0.81389999999999996</v>
      </c>
      <c r="L208" s="3116">
        <v>0.81389999999999996</v>
      </c>
      <c r="M208" s="3117">
        <v>0.81389999999999996</v>
      </c>
    </row>
    <row r="209" spans="1:13">
      <c r="A209" s="3118">
        <v>3.2</v>
      </c>
      <c r="B209" s="3116">
        <v>0.95789999999999997</v>
      </c>
      <c r="C209" s="3116">
        <v>0.95789999999999997</v>
      </c>
      <c r="D209" s="3116">
        <v>0.95020000000000004</v>
      </c>
      <c r="E209" s="3116">
        <v>0.95020000000000004</v>
      </c>
      <c r="F209" s="3116">
        <v>0.95020000000000004</v>
      </c>
      <c r="G209" s="3116">
        <v>0.95020000000000004</v>
      </c>
      <c r="H209" s="3116">
        <v>0.95020000000000004</v>
      </c>
      <c r="I209" s="3116">
        <v>0.8075</v>
      </c>
      <c r="J209" s="3116">
        <v>0.8075</v>
      </c>
      <c r="K209" s="3116">
        <v>0.8075</v>
      </c>
      <c r="L209" s="3116">
        <v>0.8075</v>
      </c>
      <c r="M209" s="3117">
        <v>0.8075</v>
      </c>
    </row>
    <row r="210" spans="1:13">
      <c r="A210" s="3118">
        <v>3.3</v>
      </c>
      <c r="B210" s="3116">
        <v>0.95340000000000003</v>
      </c>
      <c r="C210" s="3116">
        <v>0.95340000000000003</v>
      </c>
      <c r="D210" s="3116">
        <v>0.94479999999999997</v>
      </c>
      <c r="E210" s="3116">
        <v>0.94479999999999997</v>
      </c>
      <c r="F210" s="3116">
        <v>0.94479999999999997</v>
      </c>
      <c r="G210" s="3116">
        <v>0.94479999999999997</v>
      </c>
      <c r="H210" s="3116">
        <v>0.94479999999999997</v>
      </c>
      <c r="I210" s="3116">
        <v>0.80149999999999999</v>
      </c>
      <c r="J210" s="3116">
        <v>0.80149999999999999</v>
      </c>
      <c r="K210" s="3116">
        <v>0.80149999999999999</v>
      </c>
      <c r="L210" s="3116">
        <v>0.80149999999999999</v>
      </c>
      <c r="M210" s="3117">
        <v>0.80149999999999999</v>
      </c>
    </row>
    <row r="211" spans="1:13">
      <c r="A211" s="3118">
        <v>3.4</v>
      </c>
      <c r="B211" s="3116">
        <v>0.94920000000000004</v>
      </c>
      <c r="C211" s="3116">
        <v>0.94920000000000004</v>
      </c>
      <c r="D211" s="3116">
        <v>0.93989999999999996</v>
      </c>
      <c r="E211" s="3116">
        <v>0.93989999999999996</v>
      </c>
      <c r="F211" s="3116">
        <v>0.93989999999999996</v>
      </c>
      <c r="G211" s="3116">
        <v>0.93989999999999996</v>
      </c>
      <c r="H211" s="3116">
        <v>0.93989999999999996</v>
      </c>
      <c r="I211" s="3116">
        <v>0.79590000000000005</v>
      </c>
      <c r="J211" s="3116">
        <v>0.79590000000000005</v>
      </c>
      <c r="K211" s="3116">
        <v>0.79590000000000005</v>
      </c>
      <c r="L211" s="3116">
        <v>0.79590000000000005</v>
      </c>
      <c r="M211" s="3117">
        <v>0.79590000000000005</v>
      </c>
    </row>
    <row r="212" spans="1:13">
      <c r="A212" s="3118">
        <v>3.5</v>
      </c>
      <c r="B212" s="3116">
        <v>0.94540000000000002</v>
      </c>
      <c r="C212" s="3116">
        <v>0.94540000000000002</v>
      </c>
      <c r="D212" s="3116">
        <v>0.93520000000000003</v>
      </c>
      <c r="E212" s="3116">
        <v>0.93520000000000003</v>
      </c>
      <c r="F212" s="3116">
        <v>0.93520000000000003</v>
      </c>
      <c r="G212" s="3116">
        <v>0.93520000000000003</v>
      </c>
      <c r="H212" s="3116">
        <v>0.93520000000000003</v>
      </c>
      <c r="I212" s="3116">
        <v>0.79059999999999997</v>
      </c>
      <c r="J212" s="3116">
        <v>0.79059999999999997</v>
      </c>
      <c r="K212" s="3116">
        <v>0.79059999999999997</v>
      </c>
      <c r="L212" s="3116">
        <v>0.79059999999999997</v>
      </c>
      <c r="M212" s="3117">
        <v>0.79059999999999997</v>
      </c>
    </row>
    <row r="213" spans="1:13">
      <c r="A213" s="3118">
        <v>3.6</v>
      </c>
      <c r="B213" s="3116">
        <v>0.94179999999999997</v>
      </c>
      <c r="C213" s="3116">
        <v>0.94179999999999997</v>
      </c>
      <c r="D213" s="3116">
        <v>0.93089999999999995</v>
      </c>
      <c r="E213" s="3116">
        <v>0.93089999999999995</v>
      </c>
      <c r="F213" s="3116">
        <v>0.93089999999999995</v>
      </c>
      <c r="G213" s="3116">
        <v>0.93089999999999995</v>
      </c>
      <c r="H213" s="3116">
        <v>0.93089999999999995</v>
      </c>
      <c r="I213" s="3116">
        <v>0.78569999999999995</v>
      </c>
      <c r="J213" s="3116">
        <v>0.78569999999999995</v>
      </c>
      <c r="K213" s="3116">
        <v>0.78569999999999995</v>
      </c>
      <c r="L213" s="3116">
        <v>0.78569999999999995</v>
      </c>
      <c r="M213" s="3117">
        <v>0.78569999999999995</v>
      </c>
    </row>
    <row r="214" spans="1:13">
      <c r="A214" s="3118">
        <v>3.7</v>
      </c>
      <c r="B214" s="3116">
        <v>0.93840000000000001</v>
      </c>
      <c r="C214" s="3116">
        <v>0.93840000000000001</v>
      </c>
      <c r="D214" s="3116">
        <v>0.92689999999999995</v>
      </c>
      <c r="E214" s="3116">
        <v>0.92689999999999995</v>
      </c>
      <c r="F214" s="3116">
        <v>0.92689999999999995</v>
      </c>
      <c r="G214" s="3116">
        <v>0.92689999999999995</v>
      </c>
      <c r="H214" s="3116">
        <v>0.92689999999999995</v>
      </c>
      <c r="I214" s="3116">
        <v>0.78110000000000002</v>
      </c>
      <c r="J214" s="3116">
        <v>0.78110000000000002</v>
      </c>
      <c r="K214" s="3116">
        <v>0.78110000000000002</v>
      </c>
      <c r="L214" s="3116">
        <v>0.78110000000000002</v>
      </c>
      <c r="M214" s="3117">
        <v>0.78110000000000002</v>
      </c>
    </row>
    <row r="215" spans="1:13">
      <c r="A215" s="3118">
        <v>3.8</v>
      </c>
      <c r="B215" s="3116">
        <v>0.93530000000000002</v>
      </c>
      <c r="C215" s="3116">
        <v>0.93530000000000002</v>
      </c>
      <c r="D215" s="3116">
        <v>0.92310000000000003</v>
      </c>
      <c r="E215" s="3116">
        <v>0.92310000000000003</v>
      </c>
      <c r="F215" s="3116">
        <v>0.92310000000000003</v>
      </c>
      <c r="G215" s="3116">
        <v>0.92310000000000003</v>
      </c>
      <c r="H215" s="3116">
        <v>0.92310000000000003</v>
      </c>
      <c r="I215" s="3116">
        <v>0.77680000000000005</v>
      </c>
      <c r="J215" s="3116">
        <v>0.77680000000000005</v>
      </c>
      <c r="K215" s="3116">
        <v>0.77680000000000005</v>
      </c>
      <c r="L215" s="3116">
        <v>0.77680000000000005</v>
      </c>
      <c r="M215" s="3117">
        <v>0.77680000000000005</v>
      </c>
    </row>
    <row r="216" spans="1:13">
      <c r="A216" s="3118">
        <v>3.9</v>
      </c>
      <c r="B216" s="3116">
        <v>0.93240000000000001</v>
      </c>
      <c r="C216" s="3116">
        <v>0.93240000000000001</v>
      </c>
      <c r="D216" s="3116">
        <v>0.91959999999999997</v>
      </c>
      <c r="E216" s="3116">
        <v>0.91959999999999997</v>
      </c>
      <c r="F216" s="3116">
        <v>0.91959999999999997</v>
      </c>
      <c r="G216" s="3116">
        <v>0.91959999999999997</v>
      </c>
      <c r="H216" s="3116">
        <v>0.91959999999999997</v>
      </c>
      <c r="I216" s="3116">
        <v>0.77270000000000005</v>
      </c>
      <c r="J216" s="3116">
        <v>0.77270000000000005</v>
      </c>
      <c r="K216" s="3116">
        <v>0.77270000000000005</v>
      </c>
      <c r="L216" s="3116">
        <v>0.77270000000000005</v>
      </c>
      <c r="M216" s="3117">
        <v>0.77270000000000005</v>
      </c>
    </row>
    <row r="217" spans="1:13">
      <c r="A217" s="3118">
        <v>4</v>
      </c>
      <c r="B217" s="3116">
        <v>0.92969999999999997</v>
      </c>
      <c r="C217" s="3116">
        <v>0.92969999999999997</v>
      </c>
      <c r="D217" s="3116">
        <v>0.9163</v>
      </c>
      <c r="E217" s="3116">
        <v>0.9163</v>
      </c>
      <c r="F217" s="3116">
        <v>0.9163</v>
      </c>
      <c r="G217" s="3116">
        <v>0.9163</v>
      </c>
      <c r="H217" s="3116">
        <v>0.9163</v>
      </c>
      <c r="I217" s="3116">
        <v>0.76880000000000004</v>
      </c>
      <c r="J217" s="3116">
        <v>0.76880000000000004</v>
      </c>
      <c r="K217" s="3116">
        <v>0.76880000000000004</v>
      </c>
      <c r="L217" s="3116">
        <v>0.76880000000000004</v>
      </c>
      <c r="M217" s="3117">
        <v>0.76880000000000004</v>
      </c>
    </row>
    <row r="218" spans="1:13">
      <c r="A218" s="3118">
        <v>4.0999999999999996</v>
      </c>
      <c r="B218" s="3116">
        <v>0.92720000000000002</v>
      </c>
      <c r="C218" s="3116">
        <v>0.92720000000000002</v>
      </c>
      <c r="D218" s="3116">
        <v>0.91320000000000001</v>
      </c>
      <c r="E218" s="3116">
        <v>0.91320000000000001</v>
      </c>
      <c r="F218" s="3116">
        <v>0.91320000000000001</v>
      </c>
      <c r="G218" s="3116">
        <v>0.91320000000000001</v>
      </c>
      <c r="H218" s="3116">
        <v>0.91320000000000001</v>
      </c>
      <c r="I218" s="3116">
        <v>0.7651</v>
      </c>
      <c r="J218" s="3116">
        <v>0.7651</v>
      </c>
      <c r="K218" s="3116">
        <v>0.7651</v>
      </c>
      <c r="L218" s="3116">
        <v>0.7651</v>
      </c>
      <c r="M218" s="3117">
        <v>0.7651</v>
      </c>
    </row>
    <row r="219" spans="1:13">
      <c r="A219" s="3118">
        <v>4.2</v>
      </c>
      <c r="B219" s="3116">
        <v>0.92479999999999996</v>
      </c>
      <c r="C219" s="3116">
        <v>0.92479999999999996</v>
      </c>
      <c r="D219" s="3116">
        <v>0.91020000000000001</v>
      </c>
      <c r="E219" s="3116">
        <v>0.91020000000000001</v>
      </c>
      <c r="F219" s="3116">
        <v>0.91020000000000001</v>
      </c>
      <c r="G219" s="3116">
        <v>0.91020000000000001</v>
      </c>
      <c r="H219" s="3116">
        <v>0.91020000000000001</v>
      </c>
      <c r="I219" s="3116">
        <v>0.76149999999999995</v>
      </c>
      <c r="J219" s="3116">
        <v>0.76149999999999995</v>
      </c>
      <c r="K219" s="3116">
        <v>0.76149999999999995</v>
      </c>
      <c r="L219" s="3116">
        <v>0.76149999999999995</v>
      </c>
      <c r="M219" s="3117">
        <v>0.76149999999999995</v>
      </c>
    </row>
    <row r="220" spans="1:13">
      <c r="A220" s="3118">
        <v>4.3</v>
      </c>
      <c r="B220" s="3116">
        <v>0.92249999999999999</v>
      </c>
      <c r="C220" s="3116">
        <v>0.92249999999999999</v>
      </c>
      <c r="D220" s="3116">
        <v>0.9073</v>
      </c>
      <c r="E220" s="3116">
        <v>0.9073</v>
      </c>
      <c r="F220" s="3116">
        <v>0.9073</v>
      </c>
      <c r="G220" s="3116">
        <v>0.9073</v>
      </c>
      <c r="H220" s="3116">
        <v>0.9073</v>
      </c>
      <c r="I220" s="3116">
        <v>0.75800000000000001</v>
      </c>
      <c r="J220" s="3116">
        <v>0.75800000000000001</v>
      </c>
      <c r="K220" s="3116">
        <v>0.75800000000000001</v>
      </c>
      <c r="L220" s="3116">
        <v>0.75800000000000001</v>
      </c>
      <c r="M220" s="3117">
        <v>0.75800000000000001</v>
      </c>
    </row>
    <row r="221" spans="1:13">
      <c r="A221" s="3118">
        <v>4.4000000000000004</v>
      </c>
      <c r="B221" s="3116">
        <v>0.92030000000000001</v>
      </c>
      <c r="C221" s="3116">
        <v>0.92030000000000001</v>
      </c>
      <c r="D221" s="3116">
        <v>0.90449999999999997</v>
      </c>
      <c r="E221" s="3116">
        <v>0.90449999999999997</v>
      </c>
      <c r="F221" s="3116">
        <v>0.90449999999999997</v>
      </c>
      <c r="G221" s="3116">
        <v>0.90449999999999997</v>
      </c>
      <c r="H221" s="3116">
        <v>0.90449999999999997</v>
      </c>
      <c r="I221" s="3116">
        <v>0.75460000000000005</v>
      </c>
      <c r="J221" s="3116">
        <v>0.75460000000000005</v>
      </c>
      <c r="K221" s="3116">
        <v>0.75460000000000005</v>
      </c>
      <c r="L221" s="3116">
        <v>0.75460000000000005</v>
      </c>
      <c r="M221" s="3117">
        <v>0.75460000000000005</v>
      </c>
    </row>
    <row r="222" spans="1:13">
      <c r="A222" s="3118">
        <v>4.5</v>
      </c>
      <c r="B222" s="3116">
        <v>0.91810000000000003</v>
      </c>
      <c r="C222" s="3116">
        <v>0.91810000000000003</v>
      </c>
      <c r="D222" s="3116">
        <v>0.90180000000000005</v>
      </c>
      <c r="E222" s="3116">
        <v>0.90180000000000005</v>
      </c>
      <c r="F222" s="3116">
        <v>0.90180000000000005</v>
      </c>
      <c r="G222" s="3116">
        <v>0.90180000000000005</v>
      </c>
      <c r="H222" s="3116">
        <v>0.90180000000000005</v>
      </c>
      <c r="I222" s="3116">
        <v>0.75129999999999997</v>
      </c>
      <c r="J222" s="3116">
        <v>0.75129999999999997</v>
      </c>
      <c r="K222" s="3116">
        <v>0.75129999999999997</v>
      </c>
      <c r="L222" s="3116">
        <v>0.75129999999999997</v>
      </c>
      <c r="M222" s="3117">
        <v>0.75129999999999997</v>
      </c>
    </row>
    <row r="223" spans="1:13">
      <c r="A223" s="3118">
        <v>4.5999999999999996</v>
      </c>
      <c r="B223" s="3116">
        <v>0.91600000000000004</v>
      </c>
      <c r="C223" s="3116">
        <v>0.91600000000000004</v>
      </c>
      <c r="D223" s="3116">
        <v>0.8992</v>
      </c>
      <c r="E223" s="3116">
        <v>0.8992</v>
      </c>
      <c r="F223" s="3116">
        <v>0.8992</v>
      </c>
      <c r="G223" s="3116">
        <v>0.8992</v>
      </c>
      <c r="H223" s="3116">
        <v>0.8992</v>
      </c>
      <c r="I223" s="3116">
        <v>0.748</v>
      </c>
      <c r="J223" s="3116">
        <v>0.748</v>
      </c>
      <c r="K223" s="3116">
        <v>0.748</v>
      </c>
      <c r="L223" s="3116">
        <v>0.748</v>
      </c>
      <c r="M223" s="3117">
        <v>0.748</v>
      </c>
    </row>
    <row r="224" spans="1:13">
      <c r="A224" s="3118">
        <v>4.7</v>
      </c>
      <c r="B224" s="3116">
        <v>0.91390000000000005</v>
      </c>
      <c r="C224" s="3116">
        <v>0.91390000000000005</v>
      </c>
      <c r="D224" s="3116">
        <v>0.89659999999999995</v>
      </c>
      <c r="E224" s="3116">
        <v>0.89659999999999995</v>
      </c>
      <c r="F224" s="3116">
        <v>0.89659999999999995</v>
      </c>
      <c r="G224" s="3116">
        <v>0.89659999999999995</v>
      </c>
      <c r="H224" s="3116">
        <v>0.89659999999999995</v>
      </c>
      <c r="I224" s="3116">
        <v>0.74480000000000002</v>
      </c>
      <c r="J224" s="3116">
        <v>0.74480000000000002</v>
      </c>
      <c r="K224" s="3116">
        <v>0.74480000000000002</v>
      </c>
      <c r="L224" s="3116">
        <v>0.74480000000000002</v>
      </c>
      <c r="M224" s="3117">
        <v>0.74480000000000002</v>
      </c>
    </row>
    <row r="225" spans="1:13">
      <c r="A225" s="3118">
        <v>4.8</v>
      </c>
      <c r="B225" s="3116">
        <v>0.91180000000000005</v>
      </c>
      <c r="C225" s="3116">
        <v>0.91180000000000005</v>
      </c>
      <c r="D225" s="3116">
        <v>0.89410000000000001</v>
      </c>
      <c r="E225" s="3116">
        <v>0.89410000000000001</v>
      </c>
      <c r="F225" s="3116">
        <v>0.89410000000000001</v>
      </c>
      <c r="G225" s="3116">
        <v>0.89410000000000001</v>
      </c>
      <c r="H225" s="3116">
        <v>0.89410000000000001</v>
      </c>
      <c r="I225" s="3116">
        <v>0.74160000000000004</v>
      </c>
      <c r="J225" s="3116">
        <v>0.74160000000000004</v>
      </c>
      <c r="K225" s="3116">
        <v>0.74160000000000004</v>
      </c>
      <c r="L225" s="3116">
        <v>0.74160000000000004</v>
      </c>
      <c r="M225" s="3117">
        <v>0.74160000000000004</v>
      </c>
    </row>
    <row r="226" spans="1:13">
      <c r="A226" s="3118">
        <v>4.9000000000000004</v>
      </c>
      <c r="B226" s="3116">
        <v>0.90980000000000005</v>
      </c>
      <c r="C226" s="3116">
        <v>0.90980000000000005</v>
      </c>
      <c r="D226" s="3116">
        <v>0.89159999999999995</v>
      </c>
      <c r="E226" s="3116">
        <v>0.89159999999999995</v>
      </c>
      <c r="F226" s="3116">
        <v>0.89159999999999995</v>
      </c>
      <c r="G226" s="3116">
        <v>0.89159999999999995</v>
      </c>
      <c r="H226" s="3116">
        <v>0.89159999999999995</v>
      </c>
      <c r="I226" s="3116">
        <v>0.73839999999999995</v>
      </c>
      <c r="J226" s="3116">
        <v>0.73839999999999995</v>
      </c>
      <c r="K226" s="3116">
        <v>0.73839999999999995</v>
      </c>
      <c r="L226" s="3116">
        <v>0.73839999999999995</v>
      </c>
      <c r="M226" s="3117">
        <v>0.73839999999999995</v>
      </c>
    </row>
    <row r="227" spans="1:13">
      <c r="A227" s="3118">
        <v>5</v>
      </c>
      <c r="B227" s="3116">
        <v>0.90780000000000005</v>
      </c>
      <c r="C227" s="3116">
        <v>0.90780000000000005</v>
      </c>
      <c r="D227" s="3116">
        <v>0.8891</v>
      </c>
      <c r="E227" s="3116">
        <v>0.8891</v>
      </c>
      <c r="F227" s="3116">
        <v>0.8891</v>
      </c>
      <c r="G227" s="3116">
        <v>0.8891</v>
      </c>
      <c r="H227" s="3116">
        <v>0.8891</v>
      </c>
      <c r="I227" s="3116">
        <v>0.73529999999999995</v>
      </c>
      <c r="J227" s="3116">
        <v>0.73529999999999995</v>
      </c>
      <c r="K227" s="3116">
        <v>0.73529999999999995</v>
      </c>
      <c r="L227" s="3116">
        <v>0.73529999999999995</v>
      </c>
      <c r="M227" s="3117">
        <v>0.73529999999999995</v>
      </c>
    </row>
    <row r="228" spans="1:13">
      <c r="A228" s="3115">
        <v>5.0999999999999996</v>
      </c>
      <c r="B228" s="3116">
        <v>0.90580000000000005</v>
      </c>
      <c r="C228" s="3116">
        <v>0.90580000000000005</v>
      </c>
      <c r="D228" s="3116">
        <v>0.88670000000000004</v>
      </c>
      <c r="E228" s="3116">
        <v>0.88670000000000004</v>
      </c>
      <c r="F228" s="3116">
        <v>0.88670000000000004</v>
      </c>
      <c r="G228" s="3116">
        <v>0.88670000000000004</v>
      </c>
      <c r="H228" s="3116">
        <v>0.88670000000000004</v>
      </c>
      <c r="I228" s="3116">
        <v>0.73219999999999996</v>
      </c>
      <c r="J228" s="3116">
        <v>0.73219999999999996</v>
      </c>
      <c r="K228" s="3116">
        <v>0.73219999999999996</v>
      </c>
      <c r="L228" s="3116">
        <v>0.73219999999999996</v>
      </c>
      <c r="M228" s="3117">
        <v>0.73219999999999996</v>
      </c>
    </row>
    <row r="229" spans="1:13">
      <c r="A229" s="3115">
        <v>5.2</v>
      </c>
      <c r="B229" s="3116">
        <v>0.90380000000000005</v>
      </c>
      <c r="C229" s="3116">
        <v>0.90380000000000005</v>
      </c>
      <c r="D229" s="3116">
        <v>0.88429999999999997</v>
      </c>
      <c r="E229" s="3116">
        <v>0.88429999999999997</v>
      </c>
      <c r="F229" s="3116">
        <v>0.88429999999999997</v>
      </c>
      <c r="G229" s="3116">
        <v>0.88429999999999997</v>
      </c>
      <c r="H229" s="3116">
        <v>0.88429999999999997</v>
      </c>
      <c r="I229" s="3116">
        <v>0.72909999999999997</v>
      </c>
      <c r="J229" s="3116">
        <v>0.72909999999999997</v>
      </c>
      <c r="K229" s="3116">
        <v>0.72909999999999997</v>
      </c>
      <c r="L229" s="3116">
        <v>0.72909999999999997</v>
      </c>
      <c r="M229" s="3117">
        <v>0.72909999999999997</v>
      </c>
    </row>
    <row r="230" spans="1:13">
      <c r="A230" s="3115">
        <v>5.3</v>
      </c>
      <c r="B230" s="3116">
        <v>0.90190000000000003</v>
      </c>
      <c r="C230" s="3116">
        <v>0.90190000000000003</v>
      </c>
      <c r="D230" s="3116">
        <v>0.88190000000000002</v>
      </c>
      <c r="E230" s="3116">
        <v>0.88190000000000002</v>
      </c>
      <c r="F230" s="3116">
        <v>0.88190000000000002</v>
      </c>
      <c r="G230" s="3116">
        <v>0.88190000000000002</v>
      </c>
      <c r="H230" s="3116">
        <v>0.88190000000000002</v>
      </c>
      <c r="I230" s="3116">
        <v>0.72609999999999997</v>
      </c>
      <c r="J230" s="3116">
        <v>0.72609999999999997</v>
      </c>
      <c r="K230" s="3116">
        <v>0.72609999999999997</v>
      </c>
      <c r="L230" s="3116">
        <v>0.72609999999999997</v>
      </c>
      <c r="M230" s="3117">
        <v>0.72609999999999997</v>
      </c>
    </row>
    <row r="231" spans="1:13">
      <c r="A231" s="3115">
        <v>5.4</v>
      </c>
      <c r="B231" s="3116">
        <v>0.9</v>
      </c>
      <c r="C231" s="3116">
        <v>0.9</v>
      </c>
      <c r="D231" s="3116">
        <v>0.87949999999999995</v>
      </c>
      <c r="E231" s="3116">
        <v>0.87949999999999995</v>
      </c>
      <c r="F231" s="3116">
        <v>0.87949999999999995</v>
      </c>
      <c r="G231" s="3116">
        <v>0.87949999999999995</v>
      </c>
      <c r="H231" s="3116">
        <v>0.87949999999999995</v>
      </c>
      <c r="I231" s="3116">
        <v>0.72309999999999997</v>
      </c>
      <c r="J231" s="3116">
        <v>0.72309999999999997</v>
      </c>
      <c r="K231" s="3116">
        <v>0.72309999999999997</v>
      </c>
      <c r="L231" s="3116">
        <v>0.72309999999999997</v>
      </c>
      <c r="M231" s="3117">
        <v>0.72309999999999997</v>
      </c>
    </row>
    <row r="232" spans="1:13">
      <c r="A232" s="3115">
        <v>5.5</v>
      </c>
      <c r="B232" s="3116">
        <v>0.89810000000000001</v>
      </c>
      <c r="C232" s="3116">
        <v>0.89810000000000001</v>
      </c>
      <c r="D232" s="3116">
        <v>0.87719999999999998</v>
      </c>
      <c r="E232" s="3116">
        <v>0.87719999999999998</v>
      </c>
      <c r="F232" s="3116">
        <v>0.87719999999999998</v>
      </c>
      <c r="G232" s="3116">
        <v>0.87719999999999998</v>
      </c>
      <c r="H232" s="3116">
        <v>0.87719999999999998</v>
      </c>
      <c r="I232" s="3116">
        <v>0.72009999999999996</v>
      </c>
      <c r="J232" s="3116">
        <v>0.72009999999999996</v>
      </c>
      <c r="K232" s="3116">
        <v>0.72009999999999996</v>
      </c>
      <c r="L232" s="3116">
        <v>0.72009999999999996</v>
      </c>
      <c r="M232" s="3117">
        <v>0.72009999999999996</v>
      </c>
    </row>
    <row r="233" spans="1:13">
      <c r="A233" s="3115">
        <v>5.6</v>
      </c>
      <c r="B233" s="3116">
        <v>0.8962</v>
      </c>
      <c r="C233" s="3116">
        <v>0.8962</v>
      </c>
      <c r="D233" s="3116">
        <v>0.87490000000000001</v>
      </c>
      <c r="E233" s="3116">
        <v>0.87490000000000001</v>
      </c>
      <c r="F233" s="3116">
        <v>0.87490000000000001</v>
      </c>
      <c r="G233" s="3116">
        <v>0.87490000000000001</v>
      </c>
      <c r="H233" s="3116">
        <v>0.87490000000000001</v>
      </c>
      <c r="I233" s="3116">
        <v>0.71709999999999996</v>
      </c>
      <c r="J233" s="3116">
        <v>0.71709999999999996</v>
      </c>
      <c r="K233" s="3116">
        <v>0.71709999999999996</v>
      </c>
      <c r="L233" s="3116">
        <v>0.71709999999999996</v>
      </c>
      <c r="M233" s="3117">
        <v>0.71709999999999996</v>
      </c>
    </row>
    <row r="234" spans="1:13">
      <c r="A234" s="3118">
        <v>5.7</v>
      </c>
      <c r="B234" s="3116">
        <v>0.89429999999999998</v>
      </c>
      <c r="C234" s="3116">
        <v>0.89429999999999998</v>
      </c>
      <c r="D234" s="3116">
        <v>0.87260000000000004</v>
      </c>
      <c r="E234" s="3116">
        <v>0.87260000000000004</v>
      </c>
      <c r="F234" s="3116">
        <v>0.87260000000000004</v>
      </c>
      <c r="G234" s="3116">
        <v>0.87260000000000004</v>
      </c>
      <c r="H234" s="3116">
        <v>0.87260000000000004</v>
      </c>
      <c r="I234" s="3116">
        <v>0.71419999999999995</v>
      </c>
      <c r="J234" s="3116">
        <v>0.71419999999999995</v>
      </c>
      <c r="K234" s="3116">
        <v>0.71419999999999995</v>
      </c>
      <c r="L234" s="3116">
        <v>0.71419999999999995</v>
      </c>
      <c r="M234" s="3117">
        <v>0.71419999999999995</v>
      </c>
    </row>
    <row r="235" spans="1:13">
      <c r="A235" s="3115">
        <v>5.8</v>
      </c>
      <c r="B235" s="3116">
        <v>0.89249999999999996</v>
      </c>
      <c r="C235" s="3116">
        <v>0.89249999999999996</v>
      </c>
      <c r="D235" s="3116">
        <v>0.87029999999999996</v>
      </c>
      <c r="E235" s="3116">
        <v>0.87029999999999996</v>
      </c>
      <c r="F235" s="3116">
        <v>0.87029999999999996</v>
      </c>
      <c r="G235" s="3116">
        <v>0.87029999999999996</v>
      </c>
      <c r="H235" s="3116">
        <v>0.87029999999999996</v>
      </c>
      <c r="I235" s="3116">
        <v>0.71130000000000004</v>
      </c>
      <c r="J235" s="3116">
        <v>0.71130000000000004</v>
      </c>
      <c r="K235" s="3116">
        <v>0.71130000000000004</v>
      </c>
      <c r="L235" s="3116">
        <v>0.71130000000000004</v>
      </c>
      <c r="M235" s="3117">
        <v>0.71130000000000004</v>
      </c>
    </row>
    <row r="236" spans="1:13">
      <c r="A236" s="3115">
        <v>5.9</v>
      </c>
      <c r="B236" s="3116">
        <v>0.89070000000000005</v>
      </c>
      <c r="C236" s="3116">
        <v>0.89070000000000005</v>
      </c>
      <c r="D236" s="3116">
        <v>0.86799999999999999</v>
      </c>
      <c r="E236" s="3116">
        <v>0.86799999999999999</v>
      </c>
      <c r="F236" s="3116">
        <v>0.86799999999999999</v>
      </c>
      <c r="G236" s="3116">
        <v>0.86799999999999999</v>
      </c>
      <c r="H236" s="3116">
        <v>0.86799999999999999</v>
      </c>
      <c r="I236" s="3116">
        <v>0.70840000000000003</v>
      </c>
      <c r="J236" s="3116">
        <v>0.70840000000000003</v>
      </c>
      <c r="K236" s="3116">
        <v>0.70840000000000003</v>
      </c>
      <c r="L236" s="3116">
        <v>0.70840000000000003</v>
      </c>
      <c r="M236" s="3117">
        <v>0.70840000000000003</v>
      </c>
    </row>
    <row r="237" spans="1:13">
      <c r="A237" s="3115">
        <v>6</v>
      </c>
      <c r="B237" s="3116">
        <v>0.88890000000000002</v>
      </c>
      <c r="C237" s="3116">
        <v>0.88890000000000002</v>
      </c>
      <c r="D237" s="3116">
        <v>0.86580000000000001</v>
      </c>
      <c r="E237" s="3116">
        <v>0.86580000000000001</v>
      </c>
      <c r="F237" s="3116">
        <v>0.86580000000000001</v>
      </c>
      <c r="G237" s="3116">
        <v>0.86580000000000001</v>
      </c>
      <c r="H237" s="3116">
        <v>0.86580000000000001</v>
      </c>
      <c r="I237" s="3116">
        <v>0.70550000000000002</v>
      </c>
      <c r="J237" s="3116">
        <v>0.70550000000000002</v>
      </c>
      <c r="K237" s="3116">
        <v>0.70550000000000002</v>
      </c>
      <c r="L237" s="3116">
        <v>0.70550000000000002</v>
      </c>
      <c r="M237" s="3117">
        <v>0.70550000000000002</v>
      </c>
    </row>
    <row r="238" spans="1:13">
      <c r="A238" s="3115">
        <v>6.1</v>
      </c>
      <c r="B238" s="3116">
        <v>0.8871</v>
      </c>
      <c r="C238" s="3116">
        <v>0.8871</v>
      </c>
      <c r="D238" s="3116">
        <v>0.86360000000000003</v>
      </c>
      <c r="E238" s="3116">
        <v>0.86360000000000003</v>
      </c>
      <c r="F238" s="3116">
        <v>0.86360000000000003</v>
      </c>
      <c r="G238" s="3116">
        <v>0.86360000000000003</v>
      </c>
      <c r="H238" s="3116">
        <v>0.86360000000000003</v>
      </c>
      <c r="I238" s="3116">
        <v>0.70269999999999999</v>
      </c>
      <c r="J238" s="3116">
        <v>0.70269999999999999</v>
      </c>
      <c r="K238" s="3116">
        <v>0.70269999999999999</v>
      </c>
      <c r="L238" s="3116">
        <v>0.70269999999999999</v>
      </c>
      <c r="M238" s="3117">
        <v>0.70269999999999999</v>
      </c>
    </row>
    <row r="239" spans="1:13">
      <c r="A239" s="3115">
        <v>6.2</v>
      </c>
      <c r="B239" s="3116">
        <v>0.88529999999999998</v>
      </c>
      <c r="C239" s="3116">
        <v>0.88529999999999998</v>
      </c>
      <c r="D239" s="3116">
        <v>0.86140000000000005</v>
      </c>
      <c r="E239" s="3116">
        <v>0.86140000000000005</v>
      </c>
      <c r="F239" s="3116">
        <v>0.86140000000000005</v>
      </c>
      <c r="G239" s="3116">
        <v>0.86140000000000005</v>
      </c>
      <c r="H239" s="3116">
        <v>0.86140000000000005</v>
      </c>
      <c r="I239" s="3116">
        <v>0.69989999999999997</v>
      </c>
      <c r="J239" s="3116">
        <v>0.69989999999999997</v>
      </c>
      <c r="K239" s="3116">
        <v>0.69989999999999997</v>
      </c>
      <c r="L239" s="3116">
        <v>0.69989999999999997</v>
      </c>
      <c r="M239" s="3117">
        <v>0.69989999999999997</v>
      </c>
    </row>
    <row r="240" spans="1:13">
      <c r="A240" s="3115">
        <v>6.3</v>
      </c>
      <c r="B240" s="3116">
        <v>0.88349999999999995</v>
      </c>
      <c r="C240" s="3116">
        <v>0.88349999999999995</v>
      </c>
      <c r="D240" s="3116">
        <v>0.85919999999999996</v>
      </c>
      <c r="E240" s="3116">
        <v>0.85919999999999996</v>
      </c>
      <c r="F240" s="3116">
        <v>0.85919999999999996</v>
      </c>
      <c r="G240" s="3116">
        <v>0.85919999999999996</v>
      </c>
      <c r="H240" s="3116">
        <v>0.85919999999999996</v>
      </c>
      <c r="I240" s="3116">
        <v>0.69710000000000005</v>
      </c>
      <c r="J240" s="3116">
        <v>0.69710000000000005</v>
      </c>
      <c r="K240" s="3116">
        <v>0.69710000000000005</v>
      </c>
      <c r="L240" s="3116">
        <v>0.69710000000000005</v>
      </c>
      <c r="M240" s="3117">
        <v>0.69710000000000005</v>
      </c>
    </row>
    <row r="241" spans="1:13">
      <c r="A241" s="3115">
        <v>6.4</v>
      </c>
      <c r="B241" s="3116">
        <v>0.88180000000000003</v>
      </c>
      <c r="C241" s="3116">
        <v>0.88180000000000003</v>
      </c>
      <c r="D241" s="3116">
        <v>0.85699999999999998</v>
      </c>
      <c r="E241" s="3116">
        <v>0.85699999999999998</v>
      </c>
      <c r="F241" s="3116">
        <v>0.85699999999999998</v>
      </c>
      <c r="G241" s="3116">
        <v>0.85699999999999998</v>
      </c>
      <c r="H241" s="3116">
        <v>0.85699999999999998</v>
      </c>
      <c r="I241" s="3116">
        <v>0.69430000000000003</v>
      </c>
      <c r="J241" s="3116">
        <v>0.69430000000000003</v>
      </c>
      <c r="K241" s="3116">
        <v>0.69430000000000003</v>
      </c>
      <c r="L241" s="3116">
        <v>0.69430000000000003</v>
      </c>
      <c r="M241" s="3117">
        <v>0.69430000000000003</v>
      </c>
    </row>
    <row r="242" spans="1:13">
      <c r="A242" s="3115">
        <v>6.5</v>
      </c>
      <c r="B242" s="3116">
        <v>0.88009999999999999</v>
      </c>
      <c r="C242" s="3116">
        <v>0.88009999999999999</v>
      </c>
      <c r="D242" s="3116">
        <v>0.85489999999999999</v>
      </c>
      <c r="E242" s="3116">
        <v>0.85489999999999999</v>
      </c>
      <c r="F242" s="3116">
        <v>0.85489999999999999</v>
      </c>
      <c r="G242" s="3116">
        <v>0.85489999999999999</v>
      </c>
      <c r="H242" s="3116">
        <v>0.85489999999999999</v>
      </c>
      <c r="I242" s="3116">
        <v>0.69159999999999999</v>
      </c>
      <c r="J242" s="3116">
        <v>0.69159999999999999</v>
      </c>
      <c r="K242" s="3116">
        <v>0.69159999999999999</v>
      </c>
      <c r="L242" s="3116">
        <v>0.69159999999999999</v>
      </c>
      <c r="M242" s="3117">
        <v>0.69159999999999999</v>
      </c>
    </row>
    <row r="243" spans="1:13">
      <c r="A243" s="3115">
        <v>6.6</v>
      </c>
      <c r="B243" s="3116">
        <v>0.87839999999999996</v>
      </c>
      <c r="C243" s="3116">
        <v>0.87839999999999996</v>
      </c>
      <c r="D243" s="3116">
        <v>0.8528</v>
      </c>
      <c r="E243" s="3116">
        <v>0.8528</v>
      </c>
      <c r="F243" s="3116">
        <v>0.8528</v>
      </c>
      <c r="G243" s="3116">
        <v>0.8528</v>
      </c>
      <c r="H243" s="3116">
        <v>0.8528</v>
      </c>
      <c r="I243" s="3116">
        <v>0.68889999999999996</v>
      </c>
      <c r="J243" s="3116">
        <v>0.68889999999999996</v>
      </c>
      <c r="K243" s="3116">
        <v>0.68889999999999996</v>
      </c>
      <c r="L243" s="3116">
        <v>0.68889999999999996</v>
      </c>
      <c r="M243" s="3117">
        <v>0.68889999999999996</v>
      </c>
    </row>
    <row r="244" spans="1:13">
      <c r="A244" s="3115">
        <v>6.7</v>
      </c>
      <c r="B244" s="3116">
        <v>0.87670000000000003</v>
      </c>
      <c r="C244" s="3116">
        <v>0.87670000000000003</v>
      </c>
      <c r="D244" s="3116">
        <v>0.85070000000000001</v>
      </c>
      <c r="E244" s="3116">
        <v>0.85070000000000001</v>
      </c>
      <c r="F244" s="3116">
        <v>0.85070000000000001</v>
      </c>
      <c r="G244" s="3116">
        <v>0.85070000000000001</v>
      </c>
      <c r="H244" s="3116">
        <v>0.85070000000000001</v>
      </c>
      <c r="I244" s="3116">
        <v>0.68620000000000003</v>
      </c>
      <c r="J244" s="3116">
        <v>0.68620000000000003</v>
      </c>
      <c r="K244" s="3116">
        <v>0.68620000000000003</v>
      </c>
      <c r="L244" s="3116">
        <v>0.68620000000000003</v>
      </c>
      <c r="M244" s="3117">
        <v>0.68620000000000003</v>
      </c>
    </row>
    <row r="245" spans="1:13">
      <c r="A245" s="3115">
        <v>6.8</v>
      </c>
      <c r="B245" s="3116">
        <v>0.875</v>
      </c>
      <c r="C245" s="3116">
        <v>0.875</v>
      </c>
      <c r="D245" s="3116">
        <v>0.84860000000000002</v>
      </c>
      <c r="E245" s="3116">
        <v>0.84860000000000002</v>
      </c>
      <c r="F245" s="3116">
        <v>0.84860000000000002</v>
      </c>
      <c r="G245" s="3116">
        <v>0.84860000000000002</v>
      </c>
      <c r="H245" s="3116">
        <v>0.84860000000000002</v>
      </c>
      <c r="I245" s="3116">
        <v>0.6835</v>
      </c>
      <c r="J245" s="3116">
        <v>0.6835</v>
      </c>
      <c r="K245" s="3116">
        <v>0.6835</v>
      </c>
      <c r="L245" s="3116">
        <v>0.6835</v>
      </c>
      <c r="M245" s="3117">
        <v>0.6835</v>
      </c>
    </row>
    <row r="246" spans="1:13">
      <c r="A246" s="3115">
        <v>6.9</v>
      </c>
      <c r="B246" s="3116">
        <v>0.87329999999999997</v>
      </c>
      <c r="C246" s="3116">
        <v>0.87329999999999997</v>
      </c>
      <c r="D246" s="3116">
        <v>0.84650000000000003</v>
      </c>
      <c r="E246" s="3116">
        <v>0.84650000000000003</v>
      </c>
      <c r="F246" s="3116">
        <v>0.84650000000000003</v>
      </c>
      <c r="G246" s="3116">
        <v>0.84650000000000003</v>
      </c>
      <c r="H246" s="3116">
        <v>0.84650000000000003</v>
      </c>
      <c r="I246" s="3116">
        <v>0.68089999999999995</v>
      </c>
      <c r="J246" s="3116">
        <v>0.68089999999999995</v>
      </c>
      <c r="K246" s="3116">
        <v>0.68089999999999995</v>
      </c>
      <c r="L246" s="3116">
        <v>0.68089999999999995</v>
      </c>
      <c r="M246" s="3117">
        <v>0.68089999999999995</v>
      </c>
    </row>
    <row r="247" spans="1:13">
      <c r="A247" s="3115">
        <v>7</v>
      </c>
      <c r="B247" s="3116">
        <v>0.87170000000000003</v>
      </c>
      <c r="C247" s="3116">
        <v>0.87170000000000003</v>
      </c>
      <c r="D247" s="3116">
        <v>0.84450000000000003</v>
      </c>
      <c r="E247" s="3116">
        <v>0.84450000000000003</v>
      </c>
      <c r="F247" s="3116">
        <v>0.84450000000000003</v>
      </c>
      <c r="G247" s="3116">
        <v>0.84450000000000003</v>
      </c>
      <c r="H247" s="3116">
        <v>0.84450000000000003</v>
      </c>
      <c r="I247" s="3116">
        <v>0.67830000000000001</v>
      </c>
      <c r="J247" s="3116">
        <v>0.67830000000000001</v>
      </c>
      <c r="K247" s="3116">
        <v>0.67830000000000001</v>
      </c>
      <c r="L247" s="3116">
        <v>0.67830000000000001</v>
      </c>
      <c r="M247" s="3117">
        <v>0.67830000000000001</v>
      </c>
    </row>
    <row r="248" spans="1:13">
      <c r="A248" s="3115">
        <v>7.1</v>
      </c>
      <c r="B248" s="3116">
        <v>0.87009999999999998</v>
      </c>
      <c r="C248" s="3116">
        <v>0.87009999999999998</v>
      </c>
      <c r="D248" s="3116">
        <v>0.84250000000000003</v>
      </c>
      <c r="E248" s="3116">
        <v>0.84250000000000003</v>
      </c>
      <c r="F248" s="3116">
        <v>0.84250000000000003</v>
      </c>
      <c r="G248" s="3116">
        <v>0.84250000000000003</v>
      </c>
      <c r="H248" s="3116">
        <v>0.84250000000000003</v>
      </c>
      <c r="I248" s="3116">
        <v>0.67569999999999997</v>
      </c>
      <c r="J248" s="3116">
        <v>0.67569999999999997</v>
      </c>
      <c r="K248" s="3116">
        <v>0.67569999999999997</v>
      </c>
      <c r="L248" s="3116">
        <v>0.67569999999999997</v>
      </c>
      <c r="M248" s="3117">
        <v>0.67569999999999997</v>
      </c>
    </row>
    <row r="249" spans="1:13">
      <c r="A249" s="3115">
        <v>7.2</v>
      </c>
      <c r="B249" s="3116">
        <v>0.86850000000000005</v>
      </c>
      <c r="C249" s="3116">
        <v>0.86850000000000005</v>
      </c>
      <c r="D249" s="3116">
        <v>0.84050000000000002</v>
      </c>
      <c r="E249" s="3116">
        <v>0.84050000000000002</v>
      </c>
      <c r="F249" s="3116">
        <v>0.84050000000000002</v>
      </c>
      <c r="G249" s="3116">
        <v>0.84050000000000002</v>
      </c>
      <c r="H249" s="3116">
        <v>0.84050000000000002</v>
      </c>
      <c r="I249" s="3116">
        <v>0.67310000000000003</v>
      </c>
      <c r="J249" s="3116">
        <v>0.67310000000000003</v>
      </c>
      <c r="K249" s="3116">
        <v>0.67310000000000003</v>
      </c>
      <c r="L249" s="3116">
        <v>0.67310000000000003</v>
      </c>
      <c r="M249" s="3117">
        <v>0.67310000000000003</v>
      </c>
    </row>
    <row r="250" spans="1:13">
      <c r="A250" s="3115">
        <v>7.3</v>
      </c>
      <c r="B250" s="3116">
        <v>0.8669</v>
      </c>
      <c r="C250" s="3116">
        <v>0.8669</v>
      </c>
      <c r="D250" s="3116">
        <v>0.83850000000000002</v>
      </c>
      <c r="E250" s="3116">
        <v>0.83850000000000002</v>
      </c>
      <c r="F250" s="3116">
        <v>0.83850000000000002</v>
      </c>
      <c r="G250" s="3116">
        <v>0.83850000000000002</v>
      </c>
      <c r="H250" s="3116">
        <v>0.83850000000000002</v>
      </c>
      <c r="I250" s="3116">
        <v>0.67059999999999997</v>
      </c>
      <c r="J250" s="3116">
        <v>0.67059999999999997</v>
      </c>
      <c r="K250" s="3116">
        <v>0.67059999999999997</v>
      </c>
      <c r="L250" s="3116">
        <v>0.67059999999999997</v>
      </c>
      <c r="M250" s="3117">
        <v>0.67059999999999997</v>
      </c>
    </row>
    <row r="251" spans="1:13">
      <c r="A251" s="3115">
        <v>7.4</v>
      </c>
      <c r="B251" s="3116">
        <v>0.86529999999999996</v>
      </c>
      <c r="C251" s="3116">
        <v>0.86529999999999996</v>
      </c>
      <c r="D251" s="3116">
        <v>0.83650000000000002</v>
      </c>
      <c r="E251" s="3116">
        <v>0.83650000000000002</v>
      </c>
      <c r="F251" s="3116">
        <v>0.83650000000000002</v>
      </c>
      <c r="G251" s="3116">
        <v>0.83650000000000002</v>
      </c>
      <c r="H251" s="3116">
        <v>0.83650000000000002</v>
      </c>
      <c r="I251" s="3116">
        <v>0.66810000000000003</v>
      </c>
      <c r="J251" s="3116">
        <v>0.66810000000000003</v>
      </c>
      <c r="K251" s="3116">
        <v>0.66810000000000003</v>
      </c>
      <c r="L251" s="3116">
        <v>0.66810000000000003</v>
      </c>
      <c r="M251" s="3117">
        <v>0.66810000000000003</v>
      </c>
    </row>
    <row r="252" spans="1:13">
      <c r="A252" s="3115">
        <v>7.5</v>
      </c>
      <c r="B252" s="3116">
        <v>0.86370000000000002</v>
      </c>
      <c r="C252" s="3116">
        <v>0.86370000000000002</v>
      </c>
      <c r="D252" s="3116">
        <v>0.83460000000000001</v>
      </c>
      <c r="E252" s="3116">
        <v>0.83460000000000001</v>
      </c>
      <c r="F252" s="3116">
        <v>0.83460000000000001</v>
      </c>
      <c r="G252" s="3116">
        <v>0.83460000000000001</v>
      </c>
      <c r="H252" s="3116">
        <v>0.83460000000000001</v>
      </c>
      <c r="I252" s="3116">
        <v>0.66559999999999997</v>
      </c>
      <c r="J252" s="3116">
        <v>0.66559999999999997</v>
      </c>
      <c r="K252" s="3116">
        <v>0.66559999999999997</v>
      </c>
      <c r="L252" s="3116">
        <v>0.66559999999999997</v>
      </c>
      <c r="M252" s="3117">
        <v>0.66559999999999997</v>
      </c>
    </row>
    <row r="253" spans="1:13">
      <c r="A253" s="3115">
        <v>7.6</v>
      </c>
      <c r="B253" s="3116">
        <v>0.86219999999999997</v>
      </c>
      <c r="C253" s="3116">
        <v>0.86219999999999997</v>
      </c>
      <c r="D253" s="3116">
        <v>0.8327</v>
      </c>
      <c r="E253" s="3116">
        <v>0.8327</v>
      </c>
      <c r="F253" s="3116">
        <v>0.8327</v>
      </c>
      <c r="G253" s="3116">
        <v>0.8327</v>
      </c>
      <c r="H253" s="3116">
        <v>0.8327</v>
      </c>
      <c r="I253" s="3116">
        <v>0.66310000000000002</v>
      </c>
      <c r="J253" s="3116">
        <v>0.66310000000000002</v>
      </c>
      <c r="K253" s="3116">
        <v>0.66310000000000002</v>
      </c>
      <c r="L253" s="3116">
        <v>0.66310000000000002</v>
      </c>
      <c r="M253" s="3117">
        <v>0.66310000000000002</v>
      </c>
    </row>
    <row r="254" spans="1:13">
      <c r="A254" s="3115">
        <v>7.7</v>
      </c>
      <c r="B254" s="3116">
        <v>0.86070000000000002</v>
      </c>
      <c r="C254" s="3116">
        <v>0.86070000000000002</v>
      </c>
      <c r="D254" s="3116">
        <v>0.83079999999999998</v>
      </c>
      <c r="E254" s="3116">
        <v>0.83079999999999998</v>
      </c>
      <c r="F254" s="3116">
        <v>0.83079999999999998</v>
      </c>
      <c r="G254" s="3116">
        <v>0.83079999999999998</v>
      </c>
      <c r="H254" s="3116">
        <v>0.83079999999999998</v>
      </c>
      <c r="I254" s="3116">
        <v>0.66069999999999995</v>
      </c>
      <c r="J254" s="3116">
        <v>0.66069999999999995</v>
      </c>
      <c r="K254" s="3116">
        <v>0.66069999999999995</v>
      </c>
      <c r="L254" s="3116">
        <v>0.66069999999999995</v>
      </c>
      <c r="M254" s="3117">
        <v>0.66069999999999995</v>
      </c>
    </row>
    <row r="255" spans="1:13">
      <c r="A255" s="3115">
        <v>7.8</v>
      </c>
      <c r="B255" s="3116">
        <v>0.85919999999999996</v>
      </c>
      <c r="C255" s="3116">
        <v>0.85919999999999996</v>
      </c>
      <c r="D255" s="3116">
        <v>0.82889999999999997</v>
      </c>
      <c r="E255" s="3116">
        <v>0.82889999999999997</v>
      </c>
      <c r="F255" s="3116">
        <v>0.82889999999999997</v>
      </c>
      <c r="G255" s="3116">
        <v>0.82889999999999997</v>
      </c>
      <c r="H255" s="3116">
        <v>0.82889999999999997</v>
      </c>
      <c r="I255" s="3116">
        <v>0.6583</v>
      </c>
      <c r="J255" s="3116">
        <v>0.6583</v>
      </c>
      <c r="K255" s="3116">
        <v>0.6583</v>
      </c>
      <c r="L255" s="3116">
        <v>0.6583</v>
      </c>
      <c r="M255" s="3117">
        <v>0.6583</v>
      </c>
    </row>
    <row r="256" spans="1:13">
      <c r="A256" s="3115">
        <v>7.9</v>
      </c>
      <c r="B256" s="3116">
        <v>0.85770000000000002</v>
      </c>
      <c r="C256" s="3116">
        <v>0.85770000000000002</v>
      </c>
      <c r="D256" s="3116">
        <v>0.82699999999999996</v>
      </c>
      <c r="E256" s="3116">
        <v>0.82699999999999996</v>
      </c>
      <c r="F256" s="3116">
        <v>0.82699999999999996</v>
      </c>
      <c r="G256" s="3116">
        <v>0.82699999999999996</v>
      </c>
      <c r="H256" s="3116">
        <v>0.82699999999999996</v>
      </c>
      <c r="I256" s="3116">
        <v>0.65590000000000004</v>
      </c>
      <c r="J256" s="3116">
        <v>0.65590000000000004</v>
      </c>
      <c r="K256" s="3116">
        <v>0.65590000000000004</v>
      </c>
      <c r="L256" s="3116">
        <v>0.65590000000000004</v>
      </c>
      <c r="M256" s="3117">
        <v>0.65590000000000004</v>
      </c>
    </row>
    <row r="257" spans="1:13">
      <c r="A257" s="3115">
        <v>8</v>
      </c>
      <c r="B257" s="3116">
        <v>0.85619999999999996</v>
      </c>
      <c r="C257" s="3116">
        <v>0.85619999999999996</v>
      </c>
      <c r="D257" s="3116">
        <v>0.82509999999999994</v>
      </c>
      <c r="E257" s="3116">
        <v>0.82509999999999994</v>
      </c>
      <c r="F257" s="3116">
        <v>0.82509999999999994</v>
      </c>
      <c r="G257" s="3116">
        <v>0.82509999999999994</v>
      </c>
      <c r="H257" s="3116">
        <v>0.82509999999999994</v>
      </c>
      <c r="I257" s="3116">
        <v>0.65349999999999997</v>
      </c>
      <c r="J257" s="3116">
        <v>0.65349999999999997</v>
      </c>
      <c r="K257" s="3116">
        <v>0.65349999999999997</v>
      </c>
      <c r="L257" s="3116">
        <v>0.65349999999999997</v>
      </c>
      <c r="M257" s="3117">
        <v>0.65349999999999997</v>
      </c>
    </row>
    <row r="258" spans="1:13">
      <c r="A258" s="3115">
        <v>8.1</v>
      </c>
      <c r="B258" s="3116">
        <v>0.85470000000000002</v>
      </c>
      <c r="C258" s="3116">
        <v>0.85470000000000002</v>
      </c>
      <c r="D258" s="3116">
        <v>0.82330000000000003</v>
      </c>
      <c r="E258" s="3116">
        <v>0.82330000000000003</v>
      </c>
      <c r="F258" s="3116">
        <v>0.82330000000000003</v>
      </c>
      <c r="G258" s="3116">
        <v>0.82330000000000003</v>
      </c>
      <c r="H258" s="3116">
        <v>0.82330000000000003</v>
      </c>
      <c r="I258" s="3116">
        <v>0.6512</v>
      </c>
      <c r="J258" s="3116">
        <v>0.6512</v>
      </c>
      <c r="K258" s="3116">
        <v>0.6512</v>
      </c>
      <c r="L258" s="3116">
        <v>0.6512</v>
      </c>
      <c r="M258" s="3117">
        <v>0.6512</v>
      </c>
    </row>
    <row r="259" spans="1:13">
      <c r="A259" s="3115">
        <v>8.1999999999999993</v>
      </c>
      <c r="B259" s="3116">
        <v>0.85329999999999995</v>
      </c>
      <c r="C259" s="3116">
        <v>0.85329999999999995</v>
      </c>
      <c r="D259" s="3116">
        <v>0.82150000000000001</v>
      </c>
      <c r="E259" s="3116">
        <v>0.82150000000000001</v>
      </c>
      <c r="F259" s="3116">
        <v>0.82150000000000001</v>
      </c>
      <c r="G259" s="3116">
        <v>0.82150000000000001</v>
      </c>
      <c r="H259" s="3116">
        <v>0.82150000000000001</v>
      </c>
      <c r="I259" s="3116">
        <v>0.64890000000000003</v>
      </c>
      <c r="J259" s="3116">
        <v>0.64890000000000003</v>
      </c>
      <c r="K259" s="3116">
        <v>0.64890000000000003</v>
      </c>
      <c r="L259" s="3116">
        <v>0.64890000000000003</v>
      </c>
      <c r="M259" s="3117">
        <v>0.64890000000000003</v>
      </c>
    </row>
    <row r="260" spans="1:13">
      <c r="A260" s="3115">
        <v>8.3000000000000007</v>
      </c>
      <c r="B260" s="3116">
        <v>0.85189999999999999</v>
      </c>
      <c r="C260" s="3116">
        <v>0.85189999999999999</v>
      </c>
      <c r="D260" s="3116">
        <v>0.81969999999999998</v>
      </c>
      <c r="E260" s="3116">
        <v>0.81969999999999998</v>
      </c>
      <c r="F260" s="3116">
        <v>0.81969999999999998</v>
      </c>
      <c r="G260" s="3116">
        <v>0.81969999999999998</v>
      </c>
      <c r="H260" s="3116">
        <v>0.81969999999999998</v>
      </c>
      <c r="I260" s="3116">
        <v>0.64659999999999995</v>
      </c>
      <c r="J260" s="3116">
        <v>0.64659999999999995</v>
      </c>
      <c r="K260" s="3116">
        <v>0.64659999999999995</v>
      </c>
      <c r="L260" s="3116">
        <v>0.64659999999999995</v>
      </c>
      <c r="M260" s="3117">
        <v>0.64659999999999995</v>
      </c>
    </row>
    <row r="261" spans="1:13">
      <c r="A261" s="3115">
        <v>8.4</v>
      </c>
      <c r="B261" s="3116">
        <v>0.85050000000000003</v>
      </c>
      <c r="C261" s="3116">
        <v>0.85050000000000003</v>
      </c>
      <c r="D261" s="3116">
        <v>0.81789999999999996</v>
      </c>
      <c r="E261" s="3116">
        <v>0.81789999999999996</v>
      </c>
      <c r="F261" s="3116">
        <v>0.81789999999999996</v>
      </c>
      <c r="G261" s="3116">
        <v>0.81789999999999996</v>
      </c>
      <c r="H261" s="3116">
        <v>0.81789999999999996</v>
      </c>
      <c r="I261" s="3116">
        <v>0.64429999999999998</v>
      </c>
      <c r="J261" s="3116">
        <v>0.64429999999999998</v>
      </c>
      <c r="K261" s="3116">
        <v>0.64429999999999998</v>
      </c>
      <c r="L261" s="3116">
        <v>0.64429999999999998</v>
      </c>
      <c r="M261" s="3117">
        <v>0.64429999999999998</v>
      </c>
    </row>
    <row r="262" spans="1:13">
      <c r="A262" s="3115">
        <v>8.5</v>
      </c>
      <c r="B262" s="3116">
        <v>0.84909999999999997</v>
      </c>
      <c r="C262" s="3116">
        <v>0.84909999999999997</v>
      </c>
      <c r="D262" s="3116">
        <v>0.81610000000000005</v>
      </c>
      <c r="E262" s="3116">
        <v>0.81610000000000005</v>
      </c>
      <c r="F262" s="3116">
        <v>0.81610000000000005</v>
      </c>
      <c r="G262" s="3116">
        <v>0.81610000000000005</v>
      </c>
      <c r="H262" s="3116">
        <v>0.81610000000000005</v>
      </c>
      <c r="I262" s="3116">
        <v>0.6421</v>
      </c>
      <c r="J262" s="3116">
        <v>0.6421</v>
      </c>
      <c r="K262" s="3116">
        <v>0.6421</v>
      </c>
      <c r="L262" s="3116">
        <v>0.6421</v>
      </c>
      <c r="M262" s="3117">
        <v>0.6421</v>
      </c>
    </row>
    <row r="263" spans="1:13">
      <c r="A263" s="3115">
        <v>8.6</v>
      </c>
      <c r="B263" s="3116">
        <v>0.84770000000000001</v>
      </c>
      <c r="C263" s="3116">
        <v>0.84770000000000001</v>
      </c>
      <c r="D263" s="3116">
        <v>0.81440000000000001</v>
      </c>
      <c r="E263" s="3116">
        <v>0.81440000000000001</v>
      </c>
      <c r="F263" s="3116">
        <v>0.81440000000000001</v>
      </c>
      <c r="G263" s="3116">
        <v>0.81440000000000001</v>
      </c>
      <c r="H263" s="3116">
        <v>0.81440000000000001</v>
      </c>
      <c r="I263" s="3116">
        <v>0.63990000000000002</v>
      </c>
      <c r="J263" s="3116">
        <v>0.63990000000000002</v>
      </c>
      <c r="K263" s="3116">
        <v>0.63990000000000002</v>
      </c>
      <c r="L263" s="3116">
        <v>0.63990000000000002</v>
      </c>
      <c r="M263" s="3117">
        <v>0.63990000000000002</v>
      </c>
    </row>
    <row r="264" spans="1:13">
      <c r="A264" s="3115">
        <v>8.6999999999999993</v>
      </c>
      <c r="B264" s="3116">
        <v>0.84630000000000005</v>
      </c>
      <c r="C264" s="3116">
        <v>0.84630000000000005</v>
      </c>
      <c r="D264" s="3116">
        <v>0.81269999999999998</v>
      </c>
      <c r="E264" s="3116">
        <v>0.81269999999999998</v>
      </c>
      <c r="F264" s="3116">
        <v>0.81269999999999998</v>
      </c>
      <c r="G264" s="3116">
        <v>0.81269999999999998</v>
      </c>
      <c r="H264" s="3116">
        <v>0.81269999999999998</v>
      </c>
      <c r="I264" s="3116">
        <v>0.63770000000000004</v>
      </c>
      <c r="J264" s="3116">
        <v>0.63770000000000004</v>
      </c>
      <c r="K264" s="3116">
        <v>0.63770000000000004</v>
      </c>
      <c r="L264" s="3116">
        <v>0.63770000000000004</v>
      </c>
      <c r="M264" s="3117">
        <v>0.63770000000000004</v>
      </c>
    </row>
    <row r="265" spans="1:13">
      <c r="A265" s="3115">
        <v>8.8000000000000007</v>
      </c>
      <c r="B265" s="3116">
        <v>0.84489999999999998</v>
      </c>
      <c r="C265" s="3116">
        <v>0.84489999999999998</v>
      </c>
      <c r="D265" s="3116">
        <v>0.81100000000000005</v>
      </c>
      <c r="E265" s="3116">
        <v>0.81100000000000005</v>
      </c>
      <c r="F265" s="3116">
        <v>0.81100000000000005</v>
      </c>
      <c r="G265" s="3116">
        <v>0.81100000000000005</v>
      </c>
      <c r="H265" s="3116">
        <v>0.81100000000000005</v>
      </c>
      <c r="I265" s="3116">
        <v>0.63549999999999995</v>
      </c>
      <c r="J265" s="3116">
        <v>0.63549999999999995</v>
      </c>
      <c r="K265" s="3116">
        <v>0.63549999999999995</v>
      </c>
      <c r="L265" s="3116">
        <v>0.63549999999999995</v>
      </c>
      <c r="M265" s="3117">
        <v>0.63549999999999995</v>
      </c>
    </row>
    <row r="266" spans="1:13">
      <c r="A266" s="3115">
        <v>8.9</v>
      </c>
      <c r="B266" s="3116">
        <v>0.84360000000000002</v>
      </c>
      <c r="C266" s="3116">
        <v>0.84360000000000002</v>
      </c>
      <c r="D266" s="3116">
        <v>0.80930000000000002</v>
      </c>
      <c r="E266" s="3116">
        <v>0.80930000000000002</v>
      </c>
      <c r="F266" s="3116">
        <v>0.80930000000000002</v>
      </c>
      <c r="G266" s="3116">
        <v>0.80930000000000002</v>
      </c>
      <c r="H266" s="3116">
        <v>0.80930000000000002</v>
      </c>
      <c r="I266" s="3116">
        <v>0.63339999999999996</v>
      </c>
      <c r="J266" s="3116">
        <v>0.63339999999999996</v>
      </c>
      <c r="K266" s="3116">
        <v>0.63339999999999996</v>
      </c>
      <c r="L266" s="3116">
        <v>0.63339999999999996</v>
      </c>
      <c r="M266" s="3117">
        <v>0.63339999999999996</v>
      </c>
    </row>
    <row r="267" spans="1:13">
      <c r="A267" s="3118">
        <v>9</v>
      </c>
      <c r="B267" s="3116">
        <v>0.84230000000000005</v>
      </c>
      <c r="C267" s="3116">
        <v>0.84230000000000005</v>
      </c>
      <c r="D267" s="3116">
        <v>0.80759999999999998</v>
      </c>
      <c r="E267" s="3116">
        <v>0.80759999999999998</v>
      </c>
      <c r="F267" s="3116">
        <v>0.80759999999999998</v>
      </c>
      <c r="G267" s="3116">
        <v>0.80759999999999998</v>
      </c>
      <c r="H267" s="3116">
        <v>0.80759999999999998</v>
      </c>
      <c r="I267" s="3116">
        <v>0.63129999999999997</v>
      </c>
      <c r="J267" s="3116">
        <v>0.63129999999999997</v>
      </c>
      <c r="K267" s="3116">
        <v>0.63129999999999997</v>
      </c>
      <c r="L267" s="3116">
        <v>0.63129999999999997</v>
      </c>
      <c r="M267" s="3117">
        <v>0.63129999999999997</v>
      </c>
    </row>
    <row r="268" spans="1:13">
      <c r="A268" s="3118">
        <v>9.1</v>
      </c>
      <c r="B268" s="3116">
        <v>0.84099999999999997</v>
      </c>
      <c r="C268" s="3116">
        <v>0.84099999999999997</v>
      </c>
      <c r="D268" s="3116">
        <v>0.80600000000000005</v>
      </c>
      <c r="E268" s="3116">
        <v>0.80600000000000005</v>
      </c>
      <c r="F268" s="3116">
        <v>0.80600000000000005</v>
      </c>
      <c r="G268" s="3116">
        <v>0.80600000000000005</v>
      </c>
      <c r="H268" s="3116">
        <v>0.80600000000000005</v>
      </c>
      <c r="I268" s="3116">
        <v>0.62919999999999998</v>
      </c>
      <c r="J268" s="3116">
        <v>0.62919999999999998</v>
      </c>
      <c r="K268" s="3116">
        <v>0.62919999999999998</v>
      </c>
      <c r="L268" s="3116">
        <v>0.62919999999999998</v>
      </c>
      <c r="M268" s="3117">
        <v>0.62919999999999998</v>
      </c>
    </row>
    <row r="269" spans="1:13">
      <c r="A269" s="3118">
        <v>9.1999999999999993</v>
      </c>
      <c r="B269" s="3116">
        <v>0.8397</v>
      </c>
      <c r="C269" s="3116">
        <v>0.8397</v>
      </c>
      <c r="D269" s="3116">
        <v>0.8044</v>
      </c>
      <c r="E269" s="3116">
        <v>0.8044</v>
      </c>
      <c r="F269" s="3116">
        <v>0.8044</v>
      </c>
      <c r="G269" s="3116">
        <v>0.8044</v>
      </c>
      <c r="H269" s="3116">
        <v>0.8044</v>
      </c>
      <c r="I269" s="3116">
        <v>0.62709999999999999</v>
      </c>
      <c r="J269" s="3116">
        <v>0.62709999999999999</v>
      </c>
      <c r="K269" s="3116">
        <v>0.62709999999999999</v>
      </c>
      <c r="L269" s="3116">
        <v>0.62709999999999999</v>
      </c>
      <c r="M269" s="3117">
        <v>0.62709999999999999</v>
      </c>
    </row>
    <row r="270" spans="1:13">
      <c r="A270" s="3118">
        <v>9.3000000000000007</v>
      </c>
      <c r="B270" s="3116">
        <v>0.83840000000000003</v>
      </c>
      <c r="C270" s="3116">
        <v>0.83840000000000003</v>
      </c>
      <c r="D270" s="3116">
        <v>0.80279999999999996</v>
      </c>
      <c r="E270" s="3116">
        <v>0.80279999999999996</v>
      </c>
      <c r="F270" s="3116">
        <v>0.80279999999999996</v>
      </c>
      <c r="G270" s="3116">
        <v>0.80279999999999996</v>
      </c>
      <c r="H270" s="3116">
        <v>0.80279999999999996</v>
      </c>
      <c r="I270" s="3116">
        <v>0.62509999999999999</v>
      </c>
      <c r="J270" s="3116">
        <v>0.62509999999999999</v>
      </c>
      <c r="K270" s="3116">
        <v>0.62509999999999999</v>
      </c>
      <c r="L270" s="3116">
        <v>0.62509999999999999</v>
      </c>
      <c r="M270" s="3117">
        <v>0.62509999999999999</v>
      </c>
    </row>
    <row r="271" spans="1:13">
      <c r="A271" s="3118">
        <v>9.4</v>
      </c>
      <c r="B271" s="3116">
        <v>0.83709999999999996</v>
      </c>
      <c r="C271" s="3116">
        <v>0.83709999999999996</v>
      </c>
      <c r="D271" s="3116">
        <v>0.80120000000000002</v>
      </c>
      <c r="E271" s="3116">
        <v>0.80120000000000002</v>
      </c>
      <c r="F271" s="3116">
        <v>0.80120000000000002</v>
      </c>
      <c r="G271" s="3116">
        <v>0.80120000000000002</v>
      </c>
      <c r="H271" s="3116">
        <v>0.80120000000000002</v>
      </c>
      <c r="I271" s="3116">
        <v>0.62309999999999999</v>
      </c>
      <c r="J271" s="3116">
        <v>0.62309999999999999</v>
      </c>
      <c r="K271" s="3116">
        <v>0.62309999999999999</v>
      </c>
      <c r="L271" s="3116">
        <v>0.62309999999999999</v>
      </c>
      <c r="M271" s="3117">
        <v>0.62309999999999999</v>
      </c>
    </row>
    <row r="272" spans="1:13">
      <c r="A272" s="3118">
        <v>9.5</v>
      </c>
      <c r="B272" s="3116">
        <v>0.83579999999999999</v>
      </c>
      <c r="C272" s="3116">
        <v>0.83579999999999999</v>
      </c>
      <c r="D272" s="3116">
        <v>0.79959999999999998</v>
      </c>
      <c r="E272" s="3116">
        <v>0.79959999999999998</v>
      </c>
      <c r="F272" s="3116">
        <v>0.79959999999999998</v>
      </c>
      <c r="G272" s="3116">
        <v>0.79959999999999998</v>
      </c>
      <c r="H272" s="3116">
        <v>0.79959999999999998</v>
      </c>
      <c r="I272" s="3116">
        <v>0.62109999999999999</v>
      </c>
      <c r="J272" s="3116">
        <v>0.62109999999999999</v>
      </c>
      <c r="K272" s="3116">
        <v>0.62109999999999999</v>
      </c>
      <c r="L272" s="3116">
        <v>0.62109999999999999</v>
      </c>
      <c r="M272" s="3117">
        <v>0.62109999999999999</v>
      </c>
    </row>
    <row r="273" spans="1:21">
      <c r="A273" s="3118">
        <v>9.6</v>
      </c>
      <c r="B273" s="3116">
        <v>0.83460000000000001</v>
      </c>
      <c r="C273" s="3116">
        <v>0.83460000000000001</v>
      </c>
      <c r="D273" s="3116">
        <v>0.79800000000000004</v>
      </c>
      <c r="E273" s="3116">
        <v>0.79800000000000004</v>
      </c>
      <c r="F273" s="3116">
        <v>0.79800000000000004</v>
      </c>
      <c r="G273" s="3116">
        <v>0.79800000000000004</v>
      </c>
      <c r="H273" s="3116">
        <v>0.79800000000000004</v>
      </c>
      <c r="I273" s="3116">
        <v>0.61909999999999998</v>
      </c>
      <c r="J273" s="3116">
        <v>0.61909999999999998</v>
      </c>
      <c r="K273" s="3116">
        <v>0.61909999999999998</v>
      </c>
      <c r="L273" s="3116">
        <v>0.61909999999999998</v>
      </c>
      <c r="M273" s="3117">
        <v>0.61909999999999998</v>
      </c>
    </row>
    <row r="274" spans="1:21">
      <c r="A274" s="3118">
        <v>9.6999999999999993</v>
      </c>
      <c r="B274" s="3116">
        <v>0.83340000000000003</v>
      </c>
      <c r="C274" s="3116">
        <v>0.83340000000000003</v>
      </c>
      <c r="D274" s="3116">
        <v>0.79649999999999999</v>
      </c>
      <c r="E274" s="3116">
        <v>0.79649999999999999</v>
      </c>
      <c r="F274" s="3116">
        <v>0.79649999999999999</v>
      </c>
      <c r="G274" s="3116">
        <v>0.79649999999999999</v>
      </c>
      <c r="H274" s="3116">
        <v>0.79649999999999999</v>
      </c>
      <c r="I274" s="3116">
        <v>0.61719999999999997</v>
      </c>
      <c r="J274" s="3116">
        <v>0.61719999999999997</v>
      </c>
      <c r="K274" s="3116">
        <v>0.61719999999999997</v>
      </c>
      <c r="L274" s="3116">
        <v>0.61719999999999997</v>
      </c>
      <c r="M274" s="3117">
        <v>0.61719999999999997</v>
      </c>
    </row>
    <row r="275" spans="1:21">
      <c r="A275" s="3118">
        <v>9.8000000000000007</v>
      </c>
      <c r="B275" s="3116">
        <v>0.83220000000000005</v>
      </c>
      <c r="C275" s="3116">
        <v>0.83220000000000005</v>
      </c>
      <c r="D275" s="3116">
        <v>0.79500000000000004</v>
      </c>
      <c r="E275" s="3116">
        <v>0.79500000000000004</v>
      </c>
      <c r="F275" s="3116">
        <v>0.79500000000000004</v>
      </c>
      <c r="G275" s="3116">
        <v>0.79500000000000004</v>
      </c>
      <c r="H275" s="3116">
        <v>0.79500000000000004</v>
      </c>
      <c r="I275" s="3116">
        <v>0.61529999999999996</v>
      </c>
      <c r="J275" s="3116">
        <v>0.61529999999999996</v>
      </c>
      <c r="K275" s="3116">
        <v>0.61529999999999996</v>
      </c>
      <c r="L275" s="3116">
        <v>0.61529999999999996</v>
      </c>
      <c r="M275" s="3117">
        <v>0.61529999999999996</v>
      </c>
    </row>
    <row r="276" spans="1:21" ht="14.25" thickBot="1">
      <c r="A276" s="3119">
        <v>9.9</v>
      </c>
      <c r="B276" s="3120">
        <v>0.83099999999999996</v>
      </c>
      <c r="C276" s="3120">
        <v>0.83099999999999996</v>
      </c>
      <c r="D276" s="3120">
        <v>0.79349999999999998</v>
      </c>
      <c r="E276" s="3120">
        <v>0.79349999999999998</v>
      </c>
      <c r="F276" s="3120">
        <v>0.79349999999999998</v>
      </c>
      <c r="G276" s="3120">
        <v>0.79349999999999998</v>
      </c>
      <c r="H276" s="3120">
        <v>0.79349999999999998</v>
      </c>
      <c r="I276" s="3120">
        <v>0.61339999999999995</v>
      </c>
      <c r="J276" s="3120">
        <v>0.61339999999999995</v>
      </c>
      <c r="K276" s="3120">
        <v>0.61339999999999995</v>
      </c>
      <c r="L276" s="3120">
        <v>0.61339999999999995</v>
      </c>
      <c r="M276" s="3121">
        <v>0.61339999999999995</v>
      </c>
    </row>
    <row r="277" spans="1:21" ht="15" thickBot="1">
      <c r="A277" s="3109" t="s">
        <v>2804</v>
      </c>
      <c r="B277" s="3109"/>
      <c r="C277" s="3109"/>
      <c r="D277" s="3109"/>
      <c r="E277" s="3109"/>
      <c r="F277" s="3109"/>
      <c r="G277" s="3109"/>
      <c r="H277" s="3109"/>
      <c r="I277" s="3109"/>
      <c r="J277" s="3109"/>
      <c r="K277" s="3109"/>
      <c r="L277" s="3109"/>
      <c r="M277" s="3109"/>
    </row>
    <row r="278" spans="1:21">
      <c r="A278" s="3110" t="s">
        <v>2801</v>
      </c>
      <c r="B278" s="3111" t="s">
        <v>2597</v>
      </c>
      <c r="C278" s="3111" t="s">
        <v>2598</v>
      </c>
      <c r="D278" s="3111" t="s">
        <v>2599</v>
      </c>
      <c r="E278" s="3111" t="s">
        <v>2600</v>
      </c>
      <c r="F278" s="3111" t="s">
        <v>2601</v>
      </c>
      <c r="G278" s="3111" t="s">
        <v>2602</v>
      </c>
      <c r="H278" s="3112" t="s">
        <v>2603</v>
      </c>
      <c r="I278" s="3112" t="s">
        <v>2604</v>
      </c>
      <c r="J278" s="3113" t="s">
        <v>2605</v>
      </c>
      <c r="K278" s="3113" t="s">
        <v>2606</v>
      </c>
      <c r="L278" s="3113" t="s">
        <v>2607</v>
      </c>
      <c r="M278" s="3114" t="s">
        <v>2608</v>
      </c>
      <c r="Q278" s="3124" t="s">
        <v>2806</v>
      </c>
      <c r="R278" s="3124" t="s">
        <v>2807</v>
      </c>
      <c r="S278" s="3124" t="s">
        <v>2810</v>
      </c>
      <c r="T278" s="3124" t="s">
        <v>2811</v>
      </c>
      <c r="U278" s="3124" t="s">
        <v>2809</v>
      </c>
    </row>
    <row r="279" spans="1:21">
      <c r="A279" s="3115">
        <v>1</v>
      </c>
      <c r="B279" s="3116">
        <v>1.1055999999999999</v>
      </c>
      <c r="C279" s="3116">
        <v>1.1055999999999999</v>
      </c>
      <c r="D279" s="3116">
        <v>1.1220000000000001</v>
      </c>
      <c r="E279" s="3116">
        <v>1.1220000000000001</v>
      </c>
      <c r="F279" s="3116">
        <v>1.1220000000000001</v>
      </c>
      <c r="G279" s="3116">
        <v>1.0583</v>
      </c>
      <c r="H279" s="3116">
        <v>1.0583</v>
      </c>
      <c r="I279" s="3116">
        <v>1</v>
      </c>
      <c r="J279" s="3116">
        <v>1</v>
      </c>
      <c r="K279" s="3116">
        <v>1</v>
      </c>
      <c r="L279" s="3116">
        <v>1</v>
      </c>
      <c r="M279" s="3117">
        <v>1</v>
      </c>
      <c r="Q279" s="3124">
        <v>10</v>
      </c>
      <c r="R279" s="3124">
        <f>ROUND(0.7836-0.012*Q279,4)</f>
        <v>0.66359999999999997</v>
      </c>
      <c r="S279" s="3124">
        <f>ROUND(0.753-0.015*Q279,4)</f>
        <v>0.60299999999999998</v>
      </c>
      <c r="T279" s="3124">
        <f>ROUND(0.6612-0.018*Q279,4)</f>
        <v>0.48120000000000002</v>
      </c>
      <c r="U279" s="3124">
        <f>ROUND(0.5905-0.019*R279,4)</f>
        <v>0.57789999999999997</v>
      </c>
    </row>
    <row r="280" spans="1:21">
      <c r="A280" s="3115">
        <v>1.1000000000000001</v>
      </c>
      <c r="B280" s="3116">
        <v>1.0820000000000001</v>
      </c>
      <c r="C280" s="3116">
        <v>1.0820000000000001</v>
      </c>
      <c r="D280" s="3116">
        <v>1.0948</v>
      </c>
      <c r="E280" s="3116">
        <v>1.0948</v>
      </c>
      <c r="F280" s="3116">
        <v>1.0948</v>
      </c>
      <c r="G280" s="3116">
        <v>1.0284</v>
      </c>
      <c r="H280" s="3116">
        <v>1.0284</v>
      </c>
      <c r="I280" s="3116">
        <v>0.96860000000000002</v>
      </c>
      <c r="J280" s="3116">
        <v>0.96860000000000002</v>
      </c>
      <c r="K280" s="3116">
        <v>0.96860000000000002</v>
      </c>
      <c r="L280" s="3116">
        <v>0.96860000000000002</v>
      </c>
      <c r="M280" s="3117">
        <v>0.96860000000000002</v>
      </c>
    </row>
    <row r="281" spans="1:21">
      <c r="A281" s="3115">
        <v>1.2</v>
      </c>
      <c r="B281" s="3116">
        <v>1.0598000000000001</v>
      </c>
      <c r="C281" s="3116">
        <v>1.0598000000000001</v>
      </c>
      <c r="D281" s="3116">
        <v>1.0690999999999999</v>
      </c>
      <c r="E281" s="3116">
        <v>1.0690999999999999</v>
      </c>
      <c r="F281" s="3116">
        <v>1.0690999999999999</v>
      </c>
      <c r="G281" s="3116">
        <v>1</v>
      </c>
      <c r="H281" s="3116">
        <v>1</v>
      </c>
      <c r="I281" s="3116">
        <v>0.93879999999999997</v>
      </c>
      <c r="J281" s="3116">
        <v>0.93879999999999997</v>
      </c>
      <c r="K281" s="3116">
        <v>0.93879999999999997</v>
      </c>
      <c r="L281" s="3116">
        <v>0.93879999999999997</v>
      </c>
      <c r="M281" s="3117">
        <v>0.93879999999999997</v>
      </c>
    </row>
    <row r="282" spans="1:21">
      <c r="A282" s="3115">
        <v>1.3</v>
      </c>
      <c r="B282" s="3116">
        <v>1.0387</v>
      </c>
      <c r="C282" s="3116">
        <v>1.0387</v>
      </c>
      <c r="D282" s="3116">
        <v>1.0447</v>
      </c>
      <c r="E282" s="3116">
        <v>1.0447</v>
      </c>
      <c r="F282" s="3116">
        <v>1.0447</v>
      </c>
      <c r="G282" s="3116">
        <v>0.97319999999999995</v>
      </c>
      <c r="H282" s="3116">
        <v>0.97319999999999995</v>
      </c>
      <c r="I282" s="3116">
        <v>0.91069999999999995</v>
      </c>
      <c r="J282" s="3116">
        <v>0.91069999999999995</v>
      </c>
      <c r="K282" s="3116">
        <v>0.91069999999999995</v>
      </c>
      <c r="L282" s="3116">
        <v>0.91069999999999995</v>
      </c>
      <c r="M282" s="3117">
        <v>0.91069999999999995</v>
      </c>
    </row>
    <row r="283" spans="1:21">
      <c r="A283" s="3115">
        <v>1.4</v>
      </c>
      <c r="B283" s="3116">
        <v>1.0187999999999999</v>
      </c>
      <c r="C283" s="3116">
        <v>1.0187999999999999</v>
      </c>
      <c r="D283" s="3116">
        <v>1.0217000000000001</v>
      </c>
      <c r="E283" s="3116">
        <v>1.0217000000000001</v>
      </c>
      <c r="F283" s="3116">
        <v>1.0217000000000001</v>
      </c>
      <c r="G283" s="3116">
        <v>0.94779999999999998</v>
      </c>
      <c r="H283" s="3116">
        <v>0.94779999999999998</v>
      </c>
      <c r="I283" s="3116">
        <v>0.8841</v>
      </c>
      <c r="J283" s="3116">
        <v>0.8841</v>
      </c>
      <c r="K283" s="3116">
        <v>0.8841</v>
      </c>
      <c r="L283" s="3116">
        <v>0.8841</v>
      </c>
      <c r="M283" s="3117">
        <v>0.8841</v>
      </c>
    </row>
    <row r="284" spans="1:21">
      <c r="A284" s="3115">
        <v>1.5</v>
      </c>
      <c r="B284" s="3116">
        <v>1</v>
      </c>
      <c r="C284" s="3116">
        <v>1</v>
      </c>
      <c r="D284" s="3116">
        <v>1</v>
      </c>
      <c r="E284" s="3116">
        <v>1</v>
      </c>
      <c r="F284" s="3116">
        <v>1</v>
      </c>
      <c r="G284" s="3116">
        <v>0.92379999999999995</v>
      </c>
      <c r="H284" s="3116">
        <v>0.92379999999999995</v>
      </c>
      <c r="I284" s="3116">
        <v>0.8589</v>
      </c>
      <c r="J284" s="3116">
        <v>0.8589</v>
      </c>
      <c r="K284" s="3116">
        <v>0.8589</v>
      </c>
      <c r="L284" s="3116">
        <v>0.8589</v>
      </c>
      <c r="M284" s="3117">
        <v>0.8589</v>
      </c>
    </row>
    <row r="285" spans="1:21">
      <c r="A285" s="3115">
        <v>1.6</v>
      </c>
      <c r="B285" s="3116">
        <v>0.98229999999999995</v>
      </c>
      <c r="C285" s="3116">
        <v>0.98229999999999995</v>
      </c>
      <c r="D285" s="3116">
        <v>0.97950000000000004</v>
      </c>
      <c r="E285" s="3116">
        <v>0.97950000000000004</v>
      </c>
      <c r="F285" s="3116">
        <v>0.97950000000000004</v>
      </c>
      <c r="G285" s="3116">
        <v>0.9012</v>
      </c>
      <c r="H285" s="3116">
        <v>0.9012</v>
      </c>
      <c r="I285" s="3116">
        <v>0.83509999999999995</v>
      </c>
      <c r="J285" s="3116">
        <v>0.83509999999999995</v>
      </c>
      <c r="K285" s="3116">
        <v>0.83509999999999995</v>
      </c>
      <c r="L285" s="3116">
        <v>0.83509999999999995</v>
      </c>
      <c r="M285" s="3117">
        <v>0.83509999999999995</v>
      </c>
    </row>
    <row r="286" spans="1:21">
      <c r="A286" s="3115">
        <v>1.7</v>
      </c>
      <c r="B286" s="3116">
        <v>0.96550000000000002</v>
      </c>
      <c r="C286" s="3116">
        <v>0.96550000000000002</v>
      </c>
      <c r="D286" s="3116">
        <v>0.96009999999999995</v>
      </c>
      <c r="E286" s="3116">
        <v>0.96009999999999995</v>
      </c>
      <c r="F286" s="3116">
        <v>0.96009999999999995</v>
      </c>
      <c r="G286" s="3116">
        <v>0.87980000000000003</v>
      </c>
      <c r="H286" s="3116">
        <v>0.87980000000000003</v>
      </c>
      <c r="I286" s="3116">
        <v>0.81269999999999998</v>
      </c>
      <c r="J286" s="3116">
        <v>0.81269999999999998</v>
      </c>
      <c r="K286" s="3116">
        <v>0.81269999999999998</v>
      </c>
      <c r="L286" s="3116">
        <v>0.81269999999999998</v>
      </c>
      <c r="M286" s="3117">
        <v>0.81269999999999998</v>
      </c>
    </row>
    <row r="287" spans="1:21">
      <c r="A287" s="3115">
        <v>1.8</v>
      </c>
      <c r="B287" s="3116">
        <v>0.94969999999999999</v>
      </c>
      <c r="C287" s="3116">
        <v>0.94969999999999999</v>
      </c>
      <c r="D287" s="3116">
        <v>0.94189999999999996</v>
      </c>
      <c r="E287" s="3116">
        <v>0.94189999999999996</v>
      </c>
      <c r="F287" s="3116">
        <v>0.94189999999999996</v>
      </c>
      <c r="G287" s="3116">
        <v>0.85960000000000003</v>
      </c>
      <c r="H287" s="3116">
        <v>0.85960000000000003</v>
      </c>
      <c r="I287" s="3116">
        <v>0.79149999999999998</v>
      </c>
      <c r="J287" s="3116">
        <v>0.79149999999999998</v>
      </c>
      <c r="K287" s="3116">
        <v>0.79149999999999998</v>
      </c>
      <c r="L287" s="3116">
        <v>0.79149999999999998</v>
      </c>
      <c r="M287" s="3117">
        <v>0.79149999999999998</v>
      </c>
    </row>
    <row r="288" spans="1:21">
      <c r="A288" s="3115">
        <v>1.9</v>
      </c>
      <c r="B288" s="3116">
        <v>0.93479999999999996</v>
      </c>
      <c r="C288" s="3116">
        <v>0.93479999999999996</v>
      </c>
      <c r="D288" s="3116">
        <v>0.92459999999999998</v>
      </c>
      <c r="E288" s="3116">
        <v>0.92459999999999998</v>
      </c>
      <c r="F288" s="3116">
        <v>0.92459999999999998</v>
      </c>
      <c r="G288" s="3116">
        <v>0.84060000000000001</v>
      </c>
      <c r="H288" s="3116">
        <v>0.84060000000000001</v>
      </c>
      <c r="I288" s="3116">
        <v>0.77149999999999996</v>
      </c>
      <c r="J288" s="3116">
        <v>0.77149999999999996</v>
      </c>
      <c r="K288" s="3116">
        <v>0.77149999999999996</v>
      </c>
      <c r="L288" s="3116">
        <v>0.77149999999999996</v>
      </c>
      <c r="M288" s="3117">
        <v>0.77149999999999996</v>
      </c>
    </row>
    <row r="289" spans="1:13">
      <c r="A289" s="3115">
        <v>2</v>
      </c>
      <c r="B289" s="3116">
        <v>0.92079999999999995</v>
      </c>
      <c r="C289" s="3116">
        <v>0.92079999999999995</v>
      </c>
      <c r="D289" s="3116">
        <v>0.90839999999999999</v>
      </c>
      <c r="E289" s="3116">
        <v>0.90839999999999999</v>
      </c>
      <c r="F289" s="3116">
        <v>0.90839999999999999</v>
      </c>
      <c r="G289" s="3116">
        <v>0.82269999999999999</v>
      </c>
      <c r="H289" s="3116">
        <v>0.82269999999999999</v>
      </c>
      <c r="I289" s="3116">
        <v>0.75270000000000004</v>
      </c>
      <c r="J289" s="3116">
        <v>0.75270000000000004</v>
      </c>
      <c r="K289" s="3116">
        <v>0.75270000000000004</v>
      </c>
      <c r="L289" s="3116">
        <v>0.75270000000000004</v>
      </c>
      <c r="M289" s="3117">
        <v>0.75270000000000004</v>
      </c>
    </row>
    <row r="290" spans="1:13">
      <c r="A290" s="3118">
        <v>2.1</v>
      </c>
      <c r="B290" s="3116">
        <v>0.90759999999999996</v>
      </c>
      <c r="C290" s="3116">
        <v>0.90759999999999996</v>
      </c>
      <c r="D290" s="3116">
        <v>0.89319999999999999</v>
      </c>
      <c r="E290" s="3116">
        <v>0.89319999999999999</v>
      </c>
      <c r="F290" s="3116">
        <v>0.89319999999999999</v>
      </c>
      <c r="G290" s="3116">
        <v>0.80589999999999995</v>
      </c>
      <c r="H290" s="3116">
        <v>0.80589999999999995</v>
      </c>
      <c r="I290" s="3116">
        <v>0.73499999999999999</v>
      </c>
      <c r="J290" s="3116">
        <v>0.73499999999999999</v>
      </c>
      <c r="K290" s="3116">
        <v>0.73499999999999999</v>
      </c>
      <c r="L290" s="3116">
        <v>0.73499999999999999</v>
      </c>
      <c r="M290" s="3117">
        <v>0.73499999999999999</v>
      </c>
    </row>
    <row r="291" spans="1:13">
      <c r="A291" s="3118">
        <v>2.2000000000000002</v>
      </c>
      <c r="B291" s="3116">
        <v>0.8952</v>
      </c>
      <c r="C291" s="3116">
        <v>0.8952</v>
      </c>
      <c r="D291" s="3116">
        <v>0.87880000000000003</v>
      </c>
      <c r="E291" s="3116">
        <v>0.87880000000000003</v>
      </c>
      <c r="F291" s="3116">
        <v>0.87880000000000003</v>
      </c>
      <c r="G291" s="3116">
        <v>0.79</v>
      </c>
      <c r="H291" s="3116">
        <v>0.79</v>
      </c>
      <c r="I291" s="3116">
        <v>0.71840000000000004</v>
      </c>
      <c r="J291" s="3116">
        <v>0.71840000000000004</v>
      </c>
      <c r="K291" s="3116">
        <v>0.71840000000000004</v>
      </c>
      <c r="L291" s="3116">
        <v>0.71840000000000004</v>
      </c>
      <c r="M291" s="3117">
        <v>0.71840000000000004</v>
      </c>
    </row>
    <row r="292" spans="1:13">
      <c r="A292" s="3118">
        <v>2.2999999999999998</v>
      </c>
      <c r="B292" s="3116">
        <v>0.88360000000000005</v>
      </c>
      <c r="C292" s="3116">
        <v>0.88360000000000005</v>
      </c>
      <c r="D292" s="3116">
        <v>0.86529999999999996</v>
      </c>
      <c r="E292" s="3116">
        <v>0.86529999999999996</v>
      </c>
      <c r="F292" s="3116">
        <v>0.86529999999999996</v>
      </c>
      <c r="G292" s="3116">
        <v>0.77510000000000001</v>
      </c>
      <c r="H292" s="3116">
        <v>0.77510000000000001</v>
      </c>
      <c r="I292" s="3116">
        <v>0.70269999999999999</v>
      </c>
      <c r="J292" s="3116">
        <v>0.70269999999999999</v>
      </c>
      <c r="K292" s="3116">
        <v>0.70269999999999999</v>
      </c>
      <c r="L292" s="3116">
        <v>0.70269999999999999</v>
      </c>
      <c r="M292" s="3117">
        <v>0.70269999999999999</v>
      </c>
    </row>
    <row r="293" spans="1:13">
      <c r="A293" s="3118">
        <v>2.4</v>
      </c>
      <c r="B293" s="3116">
        <v>0.87260000000000004</v>
      </c>
      <c r="C293" s="3116">
        <v>0.87260000000000004</v>
      </c>
      <c r="D293" s="3116">
        <v>0.85260000000000002</v>
      </c>
      <c r="E293" s="3116">
        <v>0.85260000000000002</v>
      </c>
      <c r="F293" s="3116">
        <v>0.85260000000000002</v>
      </c>
      <c r="G293" s="3116">
        <v>0.76100000000000001</v>
      </c>
      <c r="H293" s="3116">
        <v>0.76100000000000001</v>
      </c>
      <c r="I293" s="3116">
        <v>0.68799999999999994</v>
      </c>
      <c r="J293" s="3116">
        <v>0.68799999999999994</v>
      </c>
      <c r="K293" s="3116">
        <v>0.68799999999999994</v>
      </c>
      <c r="L293" s="3116">
        <v>0.68799999999999994</v>
      </c>
      <c r="M293" s="3117">
        <v>0.68799999999999994</v>
      </c>
    </row>
    <row r="294" spans="1:13">
      <c r="A294" s="3118">
        <v>2.5</v>
      </c>
      <c r="B294" s="3116">
        <v>0.86229999999999996</v>
      </c>
      <c r="C294" s="3116">
        <v>0.86229999999999996</v>
      </c>
      <c r="D294" s="3116">
        <v>0.8407</v>
      </c>
      <c r="E294" s="3116">
        <v>0.8407</v>
      </c>
      <c r="F294" s="3116">
        <v>0.8407</v>
      </c>
      <c r="G294" s="3116">
        <v>0.74780000000000002</v>
      </c>
      <c r="H294" s="3116">
        <v>0.74780000000000002</v>
      </c>
      <c r="I294" s="3116">
        <v>0.67410000000000003</v>
      </c>
      <c r="J294" s="3116">
        <v>0.67410000000000003</v>
      </c>
      <c r="K294" s="3116">
        <v>0.67410000000000003</v>
      </c>
      <c r="L294" s="3116">
        <v>0.67410000000000003</v>
      </c>
      <c r="M294" s="3117">
        <v>0.67410000000000003</v>
      </c>
    </row>
    <row r="295" spans="1:13">
      <c r="A295" s="3118">
        <v>2.6</v>
      </c>
      <c r="B295" s="3116">
        <v>0.85270000000000001</v>
      </c>
      <c r="C295" s="3116">
        <v>0.85270000000000001</v>
      </c>
      <c r="D295" s="3116">
        <v>0.82950000000000002</v>
      </c>
      <c r="E295" s="3116">
        <v>0.82950000000000002</v>
      </c>
      <c r="F295" s="3116">
        <v>0.82950000000000002</v>
      </c>
      <c r="G295" s="3116">
        <v>0.73540000000000005</v>
      </c>
      <c r="H295" s="3116">
        <v>0.73540000000000005</v>
      </c>
      <c r="I295" s="3116">
        <v>0.66110000000000002</v>
      </c>
      <c r="J295" s="3116">
        <v>0.66110000000000002</v>
      </c>
      <c r="K295" s="3116">
        <v>0.66110000000000002</v>
      </c>
      <c r="L295" s="3116">
        <v>0.66110000000000002</v>
      </c>
      <c r="M295" s="3117">
        <v>0.66110000000000002</v>
      </c>
    </row>
    <row r="296" spans="1:13">
      <c r="A296" s="3118">
        <v>2.7</v>
      </c>
      <c r="B296" s="3116">
        <v>0.84360000000000002</v>
      </c>
      <c r="C296" s="3116">
        <v>0.84360000000000002</v>
      </c>
      <c r="D296" s="3116">
        <v>0.81899999999999995</v>
      </c>
      <c r="E296" s="3116">
        <v>0.81899999999999995</v>
      </c>
      <c r="F296" s="3116">
        <v>0.81899999999999995</v>
      </c>
      <c r="G296" s="3116">
        <v>0.7238</v>
      </c>
      <c r="H296" s="3116">
        <v>0.7238</v>
      </c>
      <c r="I296" s="3116">
        <v>0.64880000000000004</v>
      </c>
      <c r="J296" s="3116">
        <v>0.64880000000000004</v>
      </c>
      <c r="K296" s="3116">
        <v>0.64880000000000004</v>
      </c>
      <c r="L296" s="3116">
        <v>0.64880000000000004</v>
      </c>
      <c r="M296" s="3117">
        <v>0.64880000000000004</v>
      </c>
    </row>
    <row r="297" spans="1:13">
      <c r="A297" s="3118">
        <v>2.8</v>
      </c>
      <c r="B297" s="3116">
        <v>0.83509999999999995</v>
      </c>
      <c r="C297" s="3116">
        <v>0.83509999999999995</v>
      </c>
      <c r="D297" s="3116">
        <v>0.80910000000000004</v>
      </c>
      <c r="E297" s="3116">
        <v>0.80910000000000004</v>
      </c>
      <c r="F297" s="3116">
        <v>0.80910000000000004</v>
      </c>
      <c r="G297" s="3116">
        <v>0.71289999999999998</v>
      </c>
      <c r="H297" s="3116">
        <v>0.71289999999999998</v>
      </c>
      <c r="I297" s="3116">
        <v>0.63739999999999997</v>
      </c>
      <c r="J297" s="3116">
        <v>0.63739999999999997</v>
      </c>
      <c r="K297" s="3116">
        <v>0.63739999999999997</v>
      </c>
      <c r="L297" s="3116">
        <v>0.63739999999999997</v>
      </c>
      <c r="M297" s="3117">
        <v>0.63739999999999997</v>
      </c>
    </row>
    <row r="298" spans="1:13">
      <c r="A298" s="3118">
        <v>2.9</v>
      </c>
      <c r="B298" s="3116">
        <v>0.82720000000000005</v>
      </c>
      <c r="C298" s="3116">
        <v>0.82720000000000005</v>
      </c>
      <c r="D298" s="3116">
        <v>0.79990000000000006</v>
      </c>
      <c r="E298" s="3116">
        <v>0.79990000000000006</v>
      </c>
      <c r="F298" s="3116">
        <v>0.79990000000000006</v>
      </c>
      <c r="G298" s="3116">
        <v>0.7026</v>
      </c>
      <c r="H298" s="3116">
        <v>0.7026</v>
      </c>
      <c r="I298" s="3116">
        <v>0.62660000000000005</v>
      </c>
      <c r="J298" s="3116">
        <v>0.62660000000000005</v>
      </c>
      <c r="K298" s="3116">
        <v>0.62660000000000005</v>
      </c>
      <c r="L298" s="3116">
        <v>0.62660000000000005</v>
      </c>
      <c r="M298" s="3117">
        <v>0.62660000000000005</v>
      </c>
    </row>
    <row r="299" spans="1:13">
      <c r="A299" s="3118">
        <v>3</v>
      </c>
      <c r="B299" s="3116">
        <v>0.81969999999999998</v>
      </c>
      <c r="C299" s="3116">
        <v>0.81969999999999998</v>
      </c>
      <c r="D299" s="3116">
        <v>0.79120000000000001</v>
      </c>
      <c r="E299" s="3116">
        <v>0.79120000000000001</v>
      </c>
      <c r="F299" s="3116">
        <v>0.79120000000000001</v>
      </c>
      <c r="G299" s="3116">
        <v>0.69299999999999995</v>
      </c>
      <c r="H299" s="3116">
        <v>0.69299999999999995</v>
      </c>
      <c r="I299" s="3116">
        <v>0.61650000000000005</v>
      </c>
      <c r="J299" s="3116">
        <v>0.61650000000000005</v>
      </c>
      <c r="K299" s="3116">
        <v>0.61650000000000005</v>
      </c>
      <c r="L299" s="3116">
        <v>0.61650000000000005</v>
      </c>
      <c r="M299" s="3117">
        <v>0.61650000000000005</v>
      </c>
    </row>
    <row r="300" spans="1:13">
      <c r="A300" s="3118">
        <v>3.1</v>
      </c>
      <c r="B300" s="3116">
        <v>0.81279999999999997</v>
      </c>
      <c r="C300" s="3116">
        <v>0.81279999999999997</v>
      </c>
      <c r="D300" s="3116">
        <v>0.78310000000000002</v>
      </c>
      <c r="E300" s="3116">
        <v>0.78310000000000002</v>
      </c>
      <c r="F300" s="3116">
        <v>0.78310000000000002</v>
      </c>
      <c r="G300" s="3116">
        <v>0.68400000000000005</v>
      </c>
      <c r="H300" s="3116">
        <v>0.68400000000000005</v>
      </c>
      <c r="I300" s="3116">
        <v>0.60709999999999997</v>
      </c>
      <c r="J300" s="3116">
        <v>0.60709999999999997</v>
      </c>
      <c r="K300" s="3116">
        <v>0.60709999999999997</v>
      </c>
      <c r="L300" s="3116">
        <v>0.60709999999999997</v>
      </c>
      <c r="M300" s="3117">
        <v>0.60709999999999997</v>
      </c>
    </row>
    <row r="301" spans="1:13">
      <c r="A301" s="3118">
        <v>3.2</v>
      </c>
      <c r="B301" s="3116">
        <v>0.80620000000000003</v>
      </c>
      <c r="C301" s="3116">
        <v>0.80620000000000003</v>
      </c>
      <c r="D301" s="3116">
        <v>0.77549999999999997</v>
      </c>
      <c r="E301" s="3116">
        <v>0.77549999999999997</v>
      </c>
      <c r="F301" s="3116">
        <v>0.77549999999999997</v>
      </c>
      <c r="G301" s="3116">
        <v>0.67559999999999998</v>
      </c>
      <c r="H301" s="3116">
        <v>0.67559999999999998</v>
      </c>
      <c r="I301" s="3116">
        <v>0.59809999999999997</v>
      </c>
      <c r="J301" s="3116">
        <v>0.59809999999999997</v>
      </c>
      <c r="K301" s="3116">
        <v>0.59809999999999997</v>
      </c>
      <c r="L301" s="3116">
        <v>0.59809999999999997</v>
      </c>
      <c r="M301" s="3117">
        <v>0.59809999999999997</v>
      </c>
    </row>
    <row r="302" spans="1:13">
      <c r="A302" s="3118">
        <v>3.3</v>
      </c>
      <c r="B302" s="3116">
        <v>0.80010000000000003</v>
      </c>
      <c r="C302" s="3116">
        <v>0.80010000000000003</v>
      </c>
      <c r="D302" s="3116">
        <v>0.76839999999999997</v>
      </c>
      <c r="E302" s="3116">
        <v>0.76839999999999997</v>
      </c>
      <c r="F302" s="3116">
        <v>0.76839999999999997</v>
      </c>
      <c r="G302" s="3116">
        <v>0.66769999999999996</v>
      </c>
      <c r="H302" s="3116">
        <v>0.66769999999999996</v>
      </c>
      <c r="I302" s="3116">
        <v>0.58979999999999999</v>
      </c>
      <c r="J302" s="3116">
        <v>0.58979999999999999</v>
      </c>
      <c r="K302" s="3116">
        <v>0.58979999999999999</v>
      </c>
      <c r="L302" s="3116">
        <v>0.58979999999999999</v>
      </c>
      <c r="M302" s="3117">
        <v>0.58979999999999999</v>
      </c>
    </row>
    <row r="303" spans="1:13">
      <c r="A303" s="3118">
        <v>3.4</v>
      </c>
      <c r="B303" s="3116">
        <v>0.7944</v>
      </c>
      <c r="C303" s="3116">
        <v>0.7944</v>
      </c>
      <c r="D303" s="3116">
        <v>0.76170000000000004</v>
      </c>
      <c r="E303" s="3116">
        <v>0.76170000000000004</v>
      </c>
      <c r="F303" s="3116">
        <v>0.76170000000000004</v>
      </c>
      <c r="G303" s="3116">
        <v>0.66020000000000001</v>
      </c>
      <c r="H303" s="3116">
        <v>0.66020000000000001</v>
      </c>
      <c r="I303" s="3116">
        <v>0.58209999999999995</v>
      </c>
      <c r="J303" s="3116">
        <v>0.58209999999999995</v>
      </c>
      <c r="K303" s="3116">
        <v>0.58209999999999995</v>
      </c>
      <c r="L303" s="3116">
        <v>0.58209999999999995</v>
      </c>
      <c r="M303" s="3117">
        <v>0.58209999999999995</v>
      </c>
    </row>
    <row r="304" spans="1:13">
      <c r="A304" s="3118">
        <v>3.5</v>
      </c>
      <c r="B304" s="3116">
        <v>0.78910000000000002</v>
      </c>
      <c r="C304" s="3116">
        <v>0.78910000000000002</v>
      </c>
      <c r="D304" s="3116">
        <v>0.75549999999999995</v>
      </c>
      <c r="E304" s="3116">
        <v>0.75549999999999995</v>
      </c>
      <c r="F304" s="3116">
        <v>0.75549999999999995</v>
      </c>
      <c r="G304" s="3116">
        <v>0.65329999999999999</v>
      </c>
      <c r="H304" s="3116">
        <v>0.65329999999999999</v>
      </c>
      <c r="I304" s="3116">
        <v>0.57479999999999998</v>
      </c>
      <c r="J304" s="3116">
        <v>0.57479999999999998</v>
      </c>
      <c r="K304" s="3116">
        <v>0.57479999999999998</v>
      </c>
      <c r="L304" s="3116">
        <v>0.57479999999999998</v>
      </c>
      <c r="M304" s="3117">
        <v>0.57479999999999998</v>
      </c>
    </row>
    <row r="305" spans="1:13">
      <c r="A305" s="3118">
        <v>3.6</v>
      </c>
      <c r="B305" s="3116">
        <v>0.78410000000000002</v>
      </c>
      <c r="C305" s="3116">
        <v>0.78410000000000002</v>
      </c>
      <c r="D305" s="3116">
        <v>0.74960000000000004</v>
      </c>
      <c r="E305" s="3116">
        <v>0.74960000000000004</v>
      </c>
      <c r="F305" s="3116">
        <v>0.74960000000000004</v>
      </c>
      <c r="G305" s="3116">
        <v>0.64680000000000004</v>
      </c>
      <c r="H305" s="3116">
        <v>0.64680000000000004</v>
      </c>
      <c r="I305" s="3116">
        <v>0.56789999999999996</v>
      </c>
      <c r="J305" s="3116">
        <v>0.56789999999999996</v>
      </c>
      <c r="K305" s="3116">
        <v>0.56789999999999996</v>
      </c>
      <c r="L305" s="3116">
        <v>0.56789999999999996</v>
      </c>
      <c r="M305" s="3117">
        <v>0.56789999999999996</v>
      </c>
    </row>
    <row r="306" spans="1:13">
      <c r="A306" s="3118">
        <v>3.7</v>
      </c>
      <c r="B306" s="3116">
        <v>0.77939999999999998</v>
      </c>
      <c r="C306" s="3116">
        <v>0.77939999999999998</v>
      </c>
      <c r="D306" s="3116">
        <v>0.74409999999999998</v>
      </c>
      <c r="E306" s="3116">
        <v>0.74409999999999998</v>
      </c>
      <c r="F306" s="3116">
        <v>0.74409999999999998</v>
      </c>
      <c r="G306" s="3116">
        <v>0.64070000000000005</v>
      </c>
      <c r="H306" s="3116">
        <v>0.64070000000000005</v>
      </c>
      <c r="I306" s="3116">
        <v>0.5615</v>
      </c>
      <c r="J306" s="3116">
        <v>0.5615</v>
      </c>
      <c r="K306" s="3116">
        <v>0.5615</v>
      </c>
      <c r="L306" s="3116">
        <v>0.5615</v>
      </c>
      <c r="M306" s="3117">
        <v>0.5615</v>
      </c>
    </row>
    <row r="307" spans="1:13">
      <c r="A307" s="3118">
        <v>3.8</v>
      </c>
      <c r="B307" s="3116">
        <v>0.77500000000000002</v>
      </c>
      <c r="C307" s="3116">
        <v>0.77500000000000002</v>
      </c>
      <c r="D307" s="3116">
        <v>0.73899999999999999</v>
      </c>
      <c r="E307" s="3116">
        <v>0.73899999999999999</v>
      </c>
      <c r="F307" s="3116">
        <v>0.73899999999999999</v>
      </c>
      <c r="G307" s="3116">
        <v>0.63490000000000002</v>
      </c>
      <c r="H307" s="3116">
        <v>0.63490000000000002</v>
      </c>
      <c r="I307" s="3116">
        <v>0.55549999999999999</v>
      </c>
      <c r="J307" s="3116">
        <v>0.55549999999999999</v>
      </c>
      <c r="K307" s="3116">
        <v>0.55549999999999999</v>
      </c>
      <c r="L307" s="3116">
        <v>0.55549999999999999</v>
      </c>
      <c r="M307" s="3117">
        <v>0.55549999999999999</v>
      </c>
    </row>
    <row r="308" spans="1:13">
      <c r="A308" s="3118">
        <v>3.9</v>
      </c>
      <c r="B308" s="3116">
        <v>0.77090000000000003</v>
      </c>
      <c r="C308" s="3116">
        <v>0.77090000000000003</v>
      </c>
      <c r="D308" s="3116">
        <v>0.73419999999999996</v>
      </c>
      <c r="E308" s="3116">
        <v>0.73419999999999996</v>
      </c>
      <c r="F308" s="3116">
        <v>0.73419999999999996</v>
      </c>
      <c r="G308" s="3116">
        <v>0.62949999999999995</v>
      </c>
      <c r="H308" s="3116">
        <v>0.62949999999999995</v>
      </c>
      <c r="I308" s="3116">
        <v>0.54990000000000006</v>
      </c>
      <c r="J308" s="3116">
        <v>0.54990000000000006</v>
      </c>
      <c r="K308" s="3116">
        <v>0.54990000000000006</v>
      </c>
      <c r="L308" s="3116">
        <v>0.54990000000000006</v>
      </c>
      <c r="M308" s="3117">
        <v>0.54990000000000006</v>
      </c>
    </row>
    <row r="309" spans="1:13">
      <c r="A309" s="3118">
        <v>4</v>
      </c>
      <c r="B309" s="3116">
        <v>0.7671</v>
      </c>
      <c r="C309" s="3116">
        <v>0.7671</v>
      </c>
      <c r="D309" s="3116">
        <v>0.72970000000000002</v>
      </c>
      <c r="E309" s="3116">
        <v>0.72970000000000002</v>
      </c>
      <c r="F309" s="3116">
        <v>0.72970000000000002</v>
      </c>
      <c r="G309" s="3116">
        <v>0.62450000000000006</v>
      </c>
      <c r="H309" s="3116">
        <v>0.62450000000000006</v>
      </c>
      <c r="I309" s="3116">
        <v>0.54449999999999998</v>
      </c>
      <c r="J309" s="3116">
        <v>0.54449999999999998</v>
      </c>
      <c r="K309" s="3116">
        <v>0.54449999999999998</v>
      </c>
      <c r="L309" s="3116">
        <v>0.54449999999999998</v>
      </c>
      <c r="M309" s="3117">
        <v>0.54449999999999998</v>
      </c>
    </row>
    <row r="310" spans="1:13">
      <c r="A310" s="3118">
        <v>4.0999999999999996</v>
      </c>
      <c r="B310" s="3116">
        <v>0.76349999999999996</v>
      </c>
      <c r="C310" s="3116">
        <v>0.76349999999999996</v>
      </c>
      <c r="D310" s="3116">
        <v>0.72540000000000004</v>
      </c>
      <c r="E310" s="3116">
        <v>0.72540000000000004</v>
      </c>
      <c r="F310" s="3116">
        <v>0.72540000000000004</v>
      </c>
      <c r="G310" s="3116">
        <v>0.61970000000000003</v>
      </c>
      <c r="H310" s="3116">
        <v>0.61970000000000003</v>
      </c>
      <c r="I310" s="3116">
        <v>0.53959999999999997</v>
      </c>
      <c r="J310" s="3116">
        <v>0.53959999999999997</v>
      </c>
      <c r="K310" s="3116">
        <v>0.53959999999999997</v>
      </c>
      <c r="L310" s="3116">
        <v>0.53959999999999997</v>
      </c>
      <c r="M310" s="3117">
        <v>0.53959999999999997</v>
      </c>
    </row>
    <row r="311" spans="1:13">
      <c r="A311" s="3118">
        <v>4.2</v>
      </c>
      <c r="B311" s="3116">
        <v>0.7601</v>
      </c>
      <c r="C311" s="3116">
        <v>0.7601</v>
      </c>
      <c r="D311" s="3116">
        <v>0.72140000000000004</v>
      </c>
      <c r="E311" s="3116">
        <v>0.72140000000000004</v>
      </c>
      <c r="F311" s="3116">
        <v>0.72140000000000004</v>
      </c>
      <c r="G311" s="3116">
        <v>0.61529999999999996</v>
      </c>
      <c r="H311" s="3116">
        <v>0.61529999999999996</v>
      </c>
      <c r="I311" s="3116">
        <v>0.53490000000000004</v>
      </c>
      <c r="J311" s="3116">
        <v>0.53490000000000004</v>
      </c>
      <c r="K311" s="3116">
        <v>0.53490000000000004</v>
      </c>
      <c r="L311" s="3116">
        <v>0.53490000000000004</v>
      </c>
      <c r="M311" s="3117">
        <v>0.53490000000000004</v>
      </c>
    </row>
    <row r="312" spans="1:13">
      <c r="A312" s="3118">
        <v>4.3</v>
      </c>
      <c r="B312" s="3116">
        <v>0.75700000000000001</v>
      </c>
      <c r="C312" s="3116">
        <v>0.75700000000000001</v>
      </c>
      <c r="D312" s="3116">
        <v>0.7177</v>
      </c>
      <c r="E312" s="3116">
        <v>0.7177</v>
      </c>
      <c r="F312" s="3116">
        <v>0.7177</v>
      </c>
      <c r="G312" s="3116">
        <v>0.61109999999999998</v>
      </c>
      <c r="H312" s="3116">
        <v>0.61109999999999998</v>
      </c>
      <c r="I312" s="3116">
        <v>0.53049999999999997</v>
      </c>
      <c r="J312" s="3116">
        <v>0.53049999999999997</v>
      </c>
      <c r="K312" s="3116">
        <v>0.53049999999999997</v>
      </c>
      <c r="L312" s="3116">
        <v>0.53049999999999997</v>
      </c>
      <c r="M312" s="3117">
        <v>0.53049999999999997</v>
      </c>
    </row>
    <row r="313" spans="1:13">
      <c r="A313" s="3118">
        <v>4.4000000000000004</v>
      </c>
      <c r="B313" s="3116">
        <v>0.754</v>
      </c>
      <c r="C313" s="3116">
        <v>0.754</v>
      </c>
      <c r="D313" s="3116">
        <v>0.71409999999999996</v>
      </c>
      <c r="E313" s="3116">
        <v>0.71409999999999996</v>
      </c>
      <c r="F313" s="3116">
        <v>0.71409999999999996</v>
      </c>
      <c r="G313" s="3116">
        <v>0.60709999999999997</v>
      </c>
      <c r="H313" s="3116">
        <v>0.60709999999999997</v>
      </c>
      <c r="I313" s="3116">
        <v>0.52639999999999998</v>
      </c>
      <c r="J313" s="3116">
        <v>0.52639999999999998</v>
      </c>
      <c r="K313" s="3116">
        <v>0.52639999999999998</v>
      </c>
      <c r="L313" s="3116">
        <v>0.52639999999999998</v>
      </c>
      <c r="M313" s="3117">
        <v>0.52639999999999998</v>
      </c>
    </row>
    <row r="314" spans="1:13">
      <c r="A314" s="3118">
        <v>4.5</v>
      </c>
      <c r="B314" s="3116">
        <v>0.75119999999999998</v>
      </c>
      <c r="C314" s="3116">
        <v>0.75119999999999998</v>
      </c>
      <c r="D314" s="3116">
        <v>0.71079999999999999</v>
      </c>
      <c r="E314" s="3116">
        <v>0.71079999999999999</v>
      </c>
      <c r="F314" s="3116">
        <v>0.71079999999999999</v>
      </c>
      <c r="G314" s="3116">
        <v>0.60329999999999995</v>
      </c>
      <c r="H314" s="3116">
        <v>0.60329999999999995</v>
      </c>
      <c r="I314" s="3116">
        <v>0.52249999999999996</v>
      </c>
      <c r="J314" s="3116">
        <v>0.52249999999999996</v>
      </c>
      <c r="K314" s="3116">
        <v>0.52249999999999996</v>
      </c>
      <c r="L314" s="3116">
        <v>0.52249999999999996</v>
      </c>
      <c r="M314" s="3117">
        <v>0.52249999999999996</v>
      </c>
    </row>
    <row r="315" spans="1:13">
      <c r="A315" s="3118">
        <v>4.5999999999999996</v>
      </c>
      <c r="B315" s="3116">
        <v>0.74860000000000004</v>
      </c>
      <c r="C315" s="3116">
        <v>0.74860000000000004</v>
      </c>
      <c r="D315" s="3116">
        <v>0.70760000000000001</v>
      </c>
      <c r="E315" s="3116">
        <v>0.70760000000000001</v>
      </c>
      <c r="F315" s="3116">
        <v>0.70760000000000001</v>
      </c>
      <c r="G315" s="3116">
        <v>0.59970000000000001</v>
      </c>
      <c r="H315" s="3116">
        <v>0.59970000000000001</v>
      </c>
      <c r="I315" s="3116">
        <v>0.51890000000000003</v>
      </c>
      <c r="J315" s="3116">
        <v>0.51890000000000003</v>
      </c>
      <c r="K315" s="3116">
        <v>0.51890000000000003</v>
      </c>
      <c r="L315" s="3116">
        <v>0.51890000000000003</v>
      </c>
      <c r="M315" s="3117">
        <v>0.51890000000000003</v>
      </c>
    </row>
    <row r="316" spans="1:13">
      <c r="A316" s="3118">
        <v>4.7</v>
      </c>
      <c r="B316" s="3116">
        <v>0.74609999999999999</v>
      </c>
      <c r="C316" s="3116">
        <v>0.74609999999999999</v>
      </c>
      <c r="D316" s="3116">
        <v>0.7046</v>
      </c>
      <c r="E316" s="3116">
        <v>0.7046</v>
      </c>
      <c r="F316" s="3116">
        <v>0.7046</v>
      </c>
      <c r="G316" s="3116">
        <v>0.59630000000000005</v>
      </c>
      <c r="H316" s="3116">
        <v>0.59630000000000005</v>
      </c>
      <c r="I316" s="3116">
        <v>0.51529999999999998</v>
      </c>
      <c r="J316" s="3116">
        <v>0.51529999999999998</v>
      </c>
      <c r="K316" s="3116">
        <v>0.51529999999999998</v>
      </c>
      <c r="L316" s="3116">
        <v>0.51529999999999998</v>
      </c>
      <c r="M316" s="3117">
        <v>0.51529999999999998</v>
      </c>
    </row>
    <row r="317" spans="1:13">
      <c r="A317" s="3118">
        <v>4.8</v>
      </c>
      <c r="B317" s="3116">
        <v>0.74380000000000002</v>
      </c>
      <c r="C317" s="3116">
        <v>0.74380000000000002</v>
      </c>
      <c r="D317" s="3116">
        <v>0.70169999999999999</v>
      </c>
      <c r="E317" s="3116">
        <v>0.70169999999999999</v>
      </c>
      <c r="F317" s="3116">
        <v>0.70169999999999999</v>
      </c>
      <c r="G317" s="3116">
        <v>0.59309999999999996</v>
      </c>
      <c r="H317" s="3116">
        <v>0.59309999999999996</v>
      </c>
      <c r="I317" s="3116">
        <v>0.5121</v>
      </c>
      <c r="J317" s="3116">
        <v>0.5121</v>
      </c>
      <c r="K317" s="3116">
        <v>0.5121</v>
      </c>
      <c r="L317" s="3116">
        <v>0.5121</v>
      </c>
      <c r="M317" s="3117">
        <v>0.5121</v>
      </c>
    </row>
    <row r="318" spans="1:13">
      <c r="A318" s="3118">
        <v>4.9000000000000004</v>
      </c>
      <c r="B318" s="3116">
        <v>0.74160000000000004</v>
      </c>
      <c r="C318" s="3116">
        <v>0.74160000000000004</v>
      </c>
      <c r="D318" s="3116">
        <v>0.69889999999999997</v>
      </c>
      <c r="E318" s="3116">
        <v>0.69889999999999997</v>
      </c>
      <c r="F318" s="3116">
        <v>0.69889999999999997</v>
      </c>
      <c r="G318" s="3116">
        <v>0.59009999999999996</v>
      </c>
      <c r="H318" s="3116">
        <v>0.59009999999999996</v>
      </c>
      <c r="I318" s="3116">
        <v>0.50900000000000001</v>
      </c>
      <c r="J318" s="3116">
        <v>0.50900000000000001</v>
      </c>
      <c r="K318" s="3116">
        <v>0.50900000000000001</v>
      </c>
      <c r="L318" s="3116">
        <v>0.50900000000000001</v>
      </c>
      <c r="M318" s="3117">
        <v>0.50900000000000001</v>
      </c>
    </row>
    <row r="319" spans="1:13">
      <c r="A319" s="3118">
        <v>5</v>
      </c>
      <c r="B319" s="3116">
        <v>0.73950000000000005</v>
      </c>
      <c r="C319" s="3116">
        <v>0.73950000000000005</v>
      </c>
      <c r="D319" s="3116">
        <v>0.69620000000000004</v>
      </c>
      <c r="E319" s="3116">
        <v>0.69620000000000004</v>
      </c>
      <c r="F319" s="3116">
        <v>0.69620000000000004</v>
      </c>
      <c r="G319" s="3116">
        <v>0.58720000000000006</v>
      </c>
      <c r="H319" s="3116">
        <v>0.58720000000000006</v>
      </c>
      <c r="I319" s="3116">
        <v>0.50609999999999999</v>
      </c>
      <c r="J319" s="3116">
        <v>0.50609999999999999</v>
      </c>
      <c r="K319" s="3116">
        <v>0.50609999999999999</v>
      </c>
      <c r="L319" s="3116">
        <v>0.50609999999999999</v>
      </c>
      <c r="M319" s="3117">
        <v>0.50609999999999999</v>
      </c>
    </row>
    <row r="320" spans="1:13">
      <c r="A320" s="3115">
        <v>5.0999999999999996</v>
      </c>
      <c r="B320" s="3116">
        <v>0.73750000000000004</v>
      </c>
      <c r="C320" s="3116">
        <v>0.73750000000000004</v>
      </c>
      <c r="D320" s="3116">
        <v>0.69359999999999999</v>
      </c>
      <c r="E320" s="3116">
        <v>0.69359999999999999</v>
      </c>
      <c r="F320" s="3116">
        <v>0.69359999999999999</v>
      </c>
      <c r="G320" s="3116">
        <v>0.58440000000000003</v>
      </c>
      <c r="H320" s="3116">
        <v>0.58440000000000003</v>
      </c>
      <c r="I320" s="3116">
        <v>0.50329999999999997</v>
      </c>
      <c r="J320" s="3116">
        <v>0.50329999999999997</v>
      </c>
      <c r="K320" s="3116">
        <v>0.50329999999999997</v>
      </c>
      <c r="L320" s="3116">
        <v>0.50329999999999997</v>
      </c>
      <c r="M320" s="3117">
        <v>0.50329999999999997</v>
      </c>
    </row>
    <row r="321" spans="1:13">
      <c r="A321" s="3115">
        <v>5.2</v>
      </c>
      <c r="B321" s="3116">
        <v>0.73560000000000003</v>
      </c>
      <c r="C321" s="3116">
        <v>0.73560000000000003</v>
      </c>
      <c r="D321" s="3116">
        <v>0.69110000000000005</v>
      </c>
      <c r="E321" s="3116">
        <v>0.69110000000000005</v>
      </c>
      <c r="F321" s="3116">
        <v>0.69110000000000005</v>
      </c>
      <c r="G321" s="3116">
        <v>0.58169999999999999</v>
      </c>
      <c r="H321" s="3116">
        <v>0.58169999999999999</v>
      </c>
      <c r="I321" s="3116">
        <v>0.50060000000000004</v>
      </c>
      <c r="J321" s="3116">
        <v>0.50060000000000004</v>
      </c>
      <c r="K321" s="3116">
        <v>0.50060000000000004</v>
      </c>
      <c r="L321" s="3116">
        <v>0.50060000000000004</v>
      </c>
      <c r="M321" s="3117">
        <v>0.50060000000000004</v>
      </c>
    </row>
    <row r="322" spans="1:13">
      <c r="A322" s="3115">
        <v>5.3</v>
      </c>
      <c r="B322" s="3116">
        <v>0.73380000000000001</v>
      </c>
      <c r="C322" s="3116">
        <v>0.73380000000000001</v>
      </c>
      <c r="D322" s="3116">
        <v>0.68869999999999998</v>
      </c>
      <c r="E322" s="3116">
        <v>0.68869999999999998</v>
      </c>
      <c r="F322" s="3116">
        <v>0.68869999999999998</v>
      </c>
      <c r="G322" s="3116">
        <v>0.57909999999999995</v>
      </c>
      <c r="H322" s="3116">
        <v>0.57909999999999995</v>
      </c>
      <c r="I322" s="3116">
        <v>0.49809999999999999</v>
      </c>
      <c r="J322" s="3116">
        <v>0.49809999999999999</v>
      </c>
      <c r="K322" s="3116">
        <v>0.49809999999999999</v>
      </c>
      <c r="L322" s="3116">
        <v>0.49809999999999999</v>
      </c>
      <c r="M322" s="3117">
        <v>0.49809999999999999</v>
      </c>
    </row>
    <row r="323" spans="1:13">
      <c r="A323" s="3115">
        <v>5.4</v>
      </c>
      <c r="B323" s="3116">
        <v>0.73199999999999998</v>
      </c>
      <c r="C323" s="3116">
        <v>0.73199999999999998</v>
      </c>
      <c r="D323" s="3116">
        <v>0.68640000000000001</v>
      </c>
      <c r="E323" s="3116">
        <v>0.68640000000000001</v>
      </c>
      <c r="F323" s="3116">
        <v>0.68640000000000001</v>
      </c>
      <c r="G323" s="3116">
        <v>0.57650000000000001</v>
      </c>
      <c r="H323" s="3116">
        <v>0.57650000000000001</v>
      </c>
      <c r="I323" s="3116">
        <v>0.49559999999999998</v>
      </c>
      <c r="J323" s="3116">
        <v>0.49559999999999998</v>
      </c>
      <c r="K323" s="3116">
        <v>0.49559999999999998</v>
      </c>
      <c r="L323" s="3116">
        <v>0.49559999999999998</v>
      </c>
      <c r="M323" s="3117">
        <v>0.49559999999999998</v>
      </c>
    </row>
    <row r="324" spans="1:13">
      <c r="A324" s="3115">
        <v>5.5</v>
      </c>
      <c r="B324" s="3116">
        <v>0.73009999999999997</v>
      </c>
      <c r="C324" s="3116">
        <v>0.73009999999999997</v>
      </c>
      <c r="D324" s="3116">
        <v>0.68420000000000003</v>
      </c>
      <c r="E324" s="3116">
        <v>0.68420000000000003</v>
      </c>
      <c r="F324" s="3116">
        <v>0.68420000000000003</v>
      </c>
      <c r="G324" s="3116">
        <v>0.57399999999999995</v>
      </c>
      <c r="H324" s="3116">
        <v>0.57399999999999995</v>
      </c>
      <c r="I324" s="3116">
        <v>0.49320000000000003</v>
      </c>
      <c r="J324" s="3116">
        <v>0.49320000000000003</v>
      </c>
      <c r="K324" s="3116">
        <v>0.49320000000000003</v>
      </c>
      <c r="L324" s="3116">
        <v>0.49320000000000003</v>
      </c>
      <c r="M324" s="3117">
        <v>0.49320000000000003</v>
      </c>
    </row>
    <row r="325" spans="1:13">
      <c r="A325" s="3115">
        <v>5.6</v>
      </c>
      <c r="B325" s="3116">
        <v>0.72819999999999996</v>
      </c>
      <c r="C325" s="3116">
        <v>0.72819999999999996</v>
      </c>
      <c r="D325" s="3116">
        <v>0.68200000000000005</v>
      </c>
      <c r="E325" s="3116">
        <v>0.68200000000000005</v>
      </c>
      <c r="F325" s="3116">
        <v>0.68200000000000005</v>
      </c>
      <c r="G325" s="3116">
        <v>0.57150000000000001</v>
      </c>
      <c r="H325" s="3116">
        <v>0.57150000000000001</v>
      </c>
      <c r="I325" s="3116">
        <v>0.49080000000000001</v>
      </c>
      <c r="J325" s="3116">
        <v>0.49080000000000001</v>
      </c>
      <c r="K325" s="3116">
        <v>0.49080000000000001</v>
      </c>
      <c r="L325" s="3116">
        <v>0.49080000000000001</v>
      </c>
      <c r="M325" s="3117">
        <v>0.49080000000000001</v>
      </c>
    </row>
    <row r="326" spans="1:13">
      <c r="A326" s="3118">
        <v>5.7</v>
      </c>
      <c r="B326" s="3116">
        <v>0.72640000000000005</v>
      </c>
      <c r="C326" s="3116">
        <v>0.72640000000000005</v>
      </c>
      <c r="D326" s="3116">
        <v>0.67989999999999995</v>
      </c>
      <c r="E326" s="3116">
        <v>0.67989999999999995</v>
      </c>
      <c r="F326" s="3116">
        <v>0.67989999999999995</v>
      </c>
      <c r="G326" s="3116">
        <v>0.56899999999999995</v>
      </c>
      <c r="H326" s="3116">
        <v>0.56899999999999995</v>
      </c>
      <c r="I326" s="3116">
        <v>0.4884</v>
      </c>
      <c r="J326" s="3116">
        <v>0.4884</v>
      </c>
      <c r="K326" s="3116">
        <v>0.4884</v>
      </c>
      <c r="L326" s="3116">
        <v>0.4884</v>
      </c>
      <c r="M326" s="3117">
        <v>0.4884</v>
      </c>
    </row>
    <row r="327" spans="1:13">
      <c r="A327" s="3115">
        <v>5.8</v>
      </c>
      <c r="B327" s="3116">
        <v>0.72460000000000002</v>
      </c>
      <c r="C327" s="3116">
        <v>0.72460000000000002</v>
      </c>
      <c r="D327" s="3116">
        <v>0.67779999999999996</v>
      </c>
      <c r="E327" s="3116">
        <v>0.67779999999999996</v>
      </c>
      <c r="F327" s="3116">
        <v>0.67779999999999996</v>
      </c>
      <c r="G327" s="3116">
        <v>0.56659999999999999</v>
      </c>
      <c r="H327" s="3116">
        <v>0.56659999999999999</v>
      </c>
      <c r="I327" s="3116">
        <v>0.48609999999999998</v>
      </c>
      <c r="J327" s="3116">
        <v>0.48609999999999998</v>
      </c>
      <c r="K327" s="3116">
        <v>0.48609999999999998</v>
      </c>
      <c r="L327" s="3116">
        <v>0.48609999999999998</v>
      </c>
      <c r="M327" s="3117">
        <v>0.48609999999999998</v>
      </c>
    </row>
    <row r="328" spans="1:13">
      <c r="A328" s="3115">
        <v>5.9</v>
      </c>
      <c r="B328" s="3116">
        <v>0.7228</v>
      </c>
      <c r="C328" s="3116">
        <v>0.7228</v>
      </c>
      <c r="D328" s="3116">
        <v>0.67569999999999997</v>
      </c>
      <c r="E328" s="3116">
        <v>0.67569999999999997</v>
      </c>
      <c r="F328" s="3116">
        <v>0.67569999999999997</v>
      </c>
      <c r="G328" s="3116">
        <v>0.56420000000000003</v>
      </c>
      <c r="H328" s="3116">
        <v>0.56420000000000003</v>
      </c>
      <c r="I328" s="3116">
        <v>0.48380000000000001</v>
      </c>
      <c r="J328" s="3116">
        <v>0.48380000000000001</v>
      </c>
      <c r="K328" s="3116">
        <v>0.48380000000000001</v>
      </c>
      <c r="L328" s="3116">
        <v>0.48380000000000001</v>
      </c>
      <c r="M328" s="3117">
        <v>0.48380000000000001</v>
      </c>
    </row>
    <row r="329" spans="1:13">
      <c r="A329" s="3115">
        <v>6</v>
      </c>
      <c r="B329" s="3116">
        <v>0.72099999999999997</v>
      </c>
      <c r="C329" s="3116">
        <v>0.72099999999999997</v>
      </c>
      <c r="D329" s="3116">
        <v>0.67359999999999998</v>
      </c>
      <c r="E329" s="3116">
        <v>0.67359999999999998</v>
      </c>
      <c r="F329" s="3116">
        <v>0.67359999999999998</v>
      </c>
      <c r="G329" s="3116">
        <v>0.56179999999999997</v>
      </c>
      <c r="H329" s="3116">
        <v>0.56179999999999997</v>
      </c>
      <c r="I329" s="3116">
        <v>0.48159999999999997</v>
      </c>
      <c r="J329" s="3116">
        <v>0.48159999999999997</v>
      </c>
      <c r="K329" s="3116">
        <v>0.48159999999999997</v>
      </c>
      <c r="L329" s="3116">
        <v>0.48159999999999997</v>
      </c>
      <c r="M329" s="3117">
        <v>0.48159999999999997</v>
      </c>
    </row>
    <row r="330" spans="1:13">
      <c r="A330" s="3115">
        <v>6.1</v>
      </c>
      <c r="B330" s="3116">
        <v>0.71930000000000005</v>
      </c>
      <c r="C330" s="3116">
        <v>0.71930000000000005</v>
      </c>
      <c r="D330" s="3116">
        <v>0.67159999999999997</v>
      </c>
      <c r="E330" s="3116">
        <v>0.67159999999999997</v>
      </c>
      <c r="F330" s="3116">
        <v>0.67159999999999997</v>
      </c>
      <c r="G330" s="3116">
        <v>0.55940000000000001</v>
      </c>
      <c r="H330" s="3116">
        <v>0.55940000000000001</v>
      </c>
      <c r="I330" s="3116">
        <v>0.4793</v>
      </c>
      <c r="J330" s="3116">
        <v>0.4793</v>
      </c>
      <c r="K330" s="3116">
        <v>0.4793</v>
      </c>
      <c r="L330" s="3116">
        <v>0.4793</v>
      </c>
      <c r="M330" s="3117">
        <v>0.4793</v>
      </c>
    </row>
    <row r="331" spans="1:13">
      <c r="A331" s="3115">
        <v>6.2</v>
      </c>
      <c r="B331" s="3116">
        <v>0.71760000000000002</v>
      </c>
      <c r="C331" s="3116">
        <v>0.71760000000000002</v>
      </c>
      <c r="D331" s="3116">
        <v>0.66959999999999997</v>
      </c>
      <c r="E331" s="3116">
        <v>0.66959999999999997</v>
      </c>
      <c r="F331" s="3116">
        <v>0.66959999999999997</v>
      </c>
      <c r="G331" s="3116">
        <v>0.55710000000000004</v>
      </c>
      <c r="H331" s="3116">
        <v>0.55710000000000004</v>
      </c>
      <c r="I331" s="3116">
        <v>0.47710000000000002</v>
      </c>
      <c r="J331" s="3116">
        <v>0.47710000000000002</v>
      </c>
      <c r="K331" s="3116">
        <v>0.47710000000000002</v>
      </c>
      <c r="L331" s="3116">
        <v>0.47710000000000002</v>
      </c>
      <c r="M331" s="3117">
        <v>0.47710000000000002</v>
      </c>
    </row>
    <row r="332" spans="1:13">
      <c r="A332" s="3115">
        <v>6.3</v>
      </c>
      <c r="B332" s="3116">
        <v>0.71589999999999998</v>
      </c>
      <c r="C332" s="3116">
        <v>0.71589999999999998</v>
      </c>
      <c r="D332" s="3116">
        <v>0.66759999999999997</v>
      </c>
      <c r="E332" s="3116">
        <v>0.66759999999999997</v>
      </c>
      <c r="F332" s="3116">
        <v>0.66759999999999997</v>
      </c>
      <c r="G332" s="3116">
        <v>0.55479999999999996</v>
      </c>
      <c r="H332" s="3116">
        <v>0.55479999999999996</v>
      </c>
      <c r="I332" s="3116">
        <v>0.47489999999999999</v>
      </c>
      <c r="J332" s="3116">
        <v>0.47489999999999999</v>
      </c>
      <c r="K332" s="3116">
        <v>0.47489999999999999</v>
      </c>
      <c r="L332" s="3116">
        <v>0.47489999999999999</v>
      </c>
      <c r="M332" s="3117">
        <v>0.47489999999999999</v>
      </c>
    </row>
    <row r="333" spans="1:13">
      <c r="A333" s="3115">
        <v>6.4</v>
      </c>
      <c r="B333" s="3116">
        <v>0.71419999999999995</v>
      </c>
      <c r="C333" s="3116">
        <v>0.71419999999999995</v>
      </c>
      <c r="D333" s="3116">
        <v>0.66559999999999997</v>
      </c>
      <c r="E333" s="3116">
        <v>0.66559999999999997</v>
      </c>
      <c r="F333" s="3116">
        <v>0.66559999999999997</v>
      </c>
      <c r="G333" s="3116">
        <v>0.55249999999999999</v>
      </c>
      <c r="H333" s="3116">
        <v>0.55249999999999999</v>
      </c>
      <c r="I333" s="3116">
        <v>0.47270000000000001</v>
      </c>
      <c r="J333" s="3116">
        <v>0.47270000000000001</v>
      </c>
      <c r="K333" s="3116">
        <v>0.47270000000000001</v>
      </c>
      <c r="L333" s="3116">
        <v>0.47270000000000001</v>
      </c>
      <c r="M333" s="3117">
        <v>0.47270000000000001</v>
      </c>
    </row>
    <row r="334" spans="1:13">
      <c r="A334" s="3115">
        <v>6.5</v>
      </c>
      <c r="B334" s="3116">
        <v>0.71250000000000002</v>
      </c>
      <c r="C334" s="3116">
        <v>0.71250000000000002</v>
      </c>
      <c r="D334" s="3116">
        <v>0.66359999999999997</v>
      </c>
      <c r="E334" s="3116">
        <v>0.66359999999999997</v>
      </c>
      <c r="F334" s="3116">
        <v>0.66359999999999997</v>
      </c>
      <c r="G334" s="3116">
        <v>0.55020000000000002</v>
      </c>
      <c r="H334" s="3116">
        <v>0.55020000000000002</v>
      </c>
      <c r="I334" s="3116">
        <v>0.47060000000000002</v>
      </c>
      <c r="J334" s="3116">
        <v>0.47060000000000002</v>
      </c>
      <c r="K334" s="3116">
        <v>0.47060000000000002</v>
      </c>
      <c r="L334" s="3116">
        <v>0.47060000000000002</v>
      </c>
      <c r="M334" s="3117">
        <v>0.47060000000000002</v>
      </c>
    </row>
    <row r="335" spans="1:13">
      <c r="A335" s="3115">
        <v>6.6</v>
      </c>
      <c r="B335" s="3116">
        <v>0.71089999999999998</v>
      </c>
      <c r="C335" s="3116">
        <v>0.71089999999999998</v>
      </c>
      <c r="D335" s="3116">
        <v>0.66159999999999997</v>
      </c>
      <c r="E335" s="3116">
        <v>0.66159999999999997</v>
      </c>
      <c r="F335" s="3116">
        <v>0.66159999999999997</v>
      </c>
      <c r="G335" s="3116">
        <v>0.54800000000000004</v>
      </c>
      <c r="H335" s="3116">
        <v>0.54800000000000004</v>
      </c>
      <c r="I335" s="3116">
        <v>0.46839999999999998</v>
      </c>
      <c r="J335" s="3116">
        <v>0.46839999999999998</v>
      </c>
      <c r="K335" s="3116">
        <v>0.46839999999999998</v>
      </c>
      <c r="L335" s="3116">
        <v>0.46839999999999998</v>
      </c>
      <c r="M335" s="3117">
        <v>0.46839999999999998</v>
      </c>
    </row>
    <row r="336" spans="1:13">
      <c r="A336" s="3115">
        <v>6.7</v>
      </c>
      <c r="B336" s="3116">
        <v>0.70930000000000004</v>
      </c>
      <c r="C336" s="3116">
        <v>0.70930000000000004</v>
      </c>
      <c r="D336" s="3116">
        <v>0.65969999999999995</v>
      </c>
      <c r="E336" s="3116">
        <v>0.65969999999999995</v>
      </c>
      <c r="F336" s="3116">
        <v>0.65969999999999995</v>
      </c>
      <c r="G336" s="3116">
        <v>0.54579999999999995</v>
      </c>
      <c r="H336" s="3116">
        <v>0.54579999999999995</v>
      </c>
      <c r="I336" s="3116">
        <v>0.46629999999999999</v>
      </c>
      <c r="J336" s="3116">
        <v>0.46629999999999999</v>
      </c>
      <c r="K336" s="3116">
        <v>0.46629999999999999</v>
      </c>
      <c r="L336" s="3116">
        <v>0.46629999999999999</v>
      </c>
      <c r="M336" s="3117">
        <v>0.46629999999999999</v>
      </c>
    </row>
    <row r="337" spans="1:13">
      <c r="A337" s="3115">
        <v>6.8</v>
      </c>
      <c r="B337" s="3116">
        <v>0.7077</v>
      </c>
      <c r="C337" s="3116">
        <v>0.7077</v>
      </c>
      <c r="D337" s="3116">
        <v>0.65780000000000005</v>
      </c>
      <c r="E337" s="3116">
        <v>0.65780000000000005</v>
      </c>
      <c r="F337" s="3116">
        <v>0.65780000000000005</v>
      </c>
      <c r="G337" s="3116">
        <v>0.54359999999999997</v>
      </c>
      <c r="H337" s="3116">
        <v>0.54359999999999997</v>
      </c>
      <c r="I337" s="3116">
        <v>0.46410000000000001</v>
      </c>
      <c r="J337" s="3116">
        <v>0.46410000000000001</v>
      </c>
      <c r="K337" s="3116">
        <v>0.46410000000000001</v>
      </c>
      <c r="L337" s="3116">
        <v>0.46410000000000001</v>
      </c>
      <c r="M337" s="3117">
        <v>0.46410000000000001</v>
      </c>
    </row>
    <row r="338" spans="1:13">
      <c r="A338" s="3115">
        <v>6.9</v>
      </c>
      <c r="B338" s="3116">
        <v>0.70609999999999995</v>
      </c>
      <c r="C338" s="3116">
        <v>0.70609999999999995</v>
      </c>
      <c r="D338" s="3116">
        <v>0.65590000000000004</v>
      </c>
      <c r="E338" s="3116">
        <v>0.65590000000000004</v>
      </c>
      <c r="F338" s="3116">
        <v>0.65590000000000004</v>
      </c>
      <c r="G338" s="3116">
        <v>0.54139999999999999</v>
      </c>
      <c r="H338" s="3116">
        <v>0.54139999999999999</v>
      </c>
      <c r="I338" s="3116">
        <v>0.46200000000000002</v>
      </c>
      <c r="J338" s="3116">
        <v>0.46200000000000002</v>
      </c>
      <c r="K338" s="3116">
        <v>0.46200000000000002</v>
      </c>
      <c r="L338" s="3116">
        <v>0.46200000000000002</v>
      </c>
      <c r="M338" s="3117">
        <v>0.46200000000000002</v>
      </c>
    </row>
    <row r="339" spans="1:13">
      <c r="A339" s="3115">
        <v>7</v>
      </c>
      <c r="B339" s="3116">
        <v>0.70450000000000002</v>
      </c>
      <c r="C339" s="3116">
        <v>0.70450000000000002</v>
      </c>
      <c r="D339" s="3116">
        <v>0.65400000000000003</v>
      </c>
      <c r="E339" s="3116">
        <v>0.65400000000000003</v>
      </c>
      <c r="F339" s="3116">
        <v>0.65400000000000003</v>
      </c>
      <c r="G339" s="3116">
        <v>0.53920000000000001</v>
      </c>
      <c r="H339" s="3116">
        <v>0.53920000000000001</v>
      </c>
      <c r="I339" s="3116">
        <v>0.45979999999999999</v>
      </c>
      <c r="J339" s="3116">
        <v>0.45979999999999999</v>
      </c>
      <c r="K339" s="3116">
        <v>0.45979999999999999</v>
      </c>
      <c r="L339" s="3116">
        <v>0.45979999999999999</v>
      </c>
      <c r="M339" s="3117">
        <v>0.45979999999999999</v>
      </c>
    </row>
    <row r="340" spans="1:13">
      <c r="A340" s="3115">
        <v>7.1</v>
      </c>
      <c r="B340" s="3116">
        <v>0.70289999999999997</v>
      </c>
      <c r="C340" s="3116">
        <v>0.70289999999999997</v>
      </c>
      <c r="D340" s="3116">
        <v>0.65210000000000001</v>
      </c>
      <c r="E340" s="3116">
        <v>0.65210000000000001</v>
      </c>
      <c r="F340" s="3116">
        <v>0.65210000000000001</v>
      </c>
      <c r="G340" s="3116">
        <v>0.53710000000000002</v>
      </c>
      <c r="H340" s="3116">
        <v>0.53710000000000002</v>
      </c>
      <c r="I340" s="3116">
        <v>0.45779999999999998</v>
      </c>
      <c r="J340" s="3116">
        <v>0.45779999999999998</v>
      </c>
      <c r="K340" s="3116">
        <v>0.45779999999999998</v>
      </c>
      <c r="L340" s="3116">
        <v>0.45779999999999998</v>
      </c>
      <c r="M340" s="3117">
        <v>0.45779999999999998</v>
      </c>
    </row>
    <row r="341" spans="1:13">
      <c r="A341" s="3115">
        <v>7.2</v>
      </c>
      <c r="B341" s="3116">
        <v>0.70140000000000002</v>
      </c>
      <c r="C341" s="3116">
        <v>0.70140000000000002</v>
      </c>
      <c r="D341" s="3116">
        <v>0.6502</v>
      </c>
      <c r="E341" s="3116">
        <v>0.6502</v>
      </c>
      <c r="F341" s="3116">
        <v>0.6502</v>
      </c>
      <c r="G341" s="3116">
        <v>0.53500000000000003</v>
      </c>
      <c r="H341" s="3116">
        <v>0.53500000000000003</v>
      </c>
      <c r="I341" s="3116">
        <v>0.45569999999999999</v>
      </c>
      <c r="J341" s="3116">
        <v>0.45569999999999999</v>
      </c>
      <c r="K341" s="3116">
        <v>0.45569999999999999</v>
      </c>
      <c r="L341" s="3116">
        <v>0.45569999999999999</v>
      </c>
      <c r="M341" s="3117">
        <v>0.45569999999999999</v>
      </c>
    </row>
    <row r="342" spans="1:13">
      <c r="A342" s="3115">
        <v>7.3</v>
      </c>
      <c r="B342" s="3116">
        <v>0.69989999999999997</v>
      </c>
      <c r="C342" s="3116">
        <v>0.69989999999999997</v>
      </c>
      <c r="D342" s="3116">
        <v>0.64829999999999999</v>
      </c>
      <c r="E342" s="3116">
        <v>0.64829999999999999</v>
      </c>
      <c r="F342" s="3116">
        <v>0.64829999999999999</v>
      </c>
      <c r="G342" s="3116">
        <v>0.53290000000000004</v>
      </c>
      <c r="H342" s="3116">
        <v>0.53290000000000004</v>
      </c>
      <c r="I342" s="3116">
        <v>0.45369999999999999</v>
      </c>
      <c r="J342" s="3116">
        <v>0.45369999999999999</v>
      </c>
      <c r="K342" s="3116">
        <v>0.45369999999999999</v>
      </c>
      <c r="L342" s="3116">
        <v>0.45369999999999999</v>
      </c>
      <c r="M342" s="3117">
        <v>0.45369999999999999</v>
      </c>
    </row>
    <row r="343" spans="1:13">
      <c r="A343" s="3115">
        <v>7.4</v>
      </c>
      <c r="B343" s="3116">
        <v>0.69840000000000002</v>
      </c>
      <c r="C343" s="3116">
        <v>0.69840000000000002</v>
      </c>
      <c r="D343" s="3116">
        <v>0.64649999999999996</v>
      </c>
      <c r="E343" s="3116">
        <v>0.64649999999999996</v>
      </c>
      <c r="F343" s="3116">
        <v>0.64649999999999996</v>
      </c>
      <c r="G343" s="3116">
        <v>0.53080000000000005</v>
      </c>
      <c r="H343" s="3116">
        <v>0.53080000000000005</v>
      </c>
      <c r="I343" s="3116">
        <v>0.4516</v>
      </c>
      <c r="J343" s="3116">
        <v>0.4516</v>
      </c>
      <c r="K343" s="3116">
        <v>0.4516</v>
      </c>
      <c r="L343" s="3116">
        <v>0.4516</v>
      </c>
      <c r="M343" s="3117">
        <v>0.4516</v>
      </c>
    </row>
    <row r="344" spans="1:13">
      <c r="A344" s="3115">
        <v>7.5</v>
      </c>
      <c r="B344" s="3116">
        <v>0.69689999999999996</v>
      </c>
      <c r="C344" s="3116">
        <v>0.69689999999999996</v>
      </c>
      <c r="D344" s="3116">
        <v>0.64470000000000005</v>
      </c>
      <c r="E344" s="3116">
        <v>0.64470000000000005</v>
      </c>
      <c r="F344" s="3116">
        <v>0.64470000000000005</v>
      </c>
      <c r="G344" s="3116">
        <v>0.52869999999999995</v>
      </c>
      <c r="H344" s="3116">
        <v>0.52869999999999995</v>
      </c>
      <c r="I344" s="3116">
        <v>0.44950000000000001</v>
      </c>
      <c r="J344" s="3116">
        <v>0.44950000000000001</v>
      </c>
      <c r="K344" s="3116">
        <v>0.44950000000000001</v>
      </c>
      <c r="L344" s="3116">
        <v>0.44950000000000001</v>
      </c>
      <c r="M344" s="3117">
        <v>0.44950000000000001</v>
      </c>
    </row>
    <row r="345" spans="1:13">
      <c r="A345" s="3115">
        <v>7.6</v>
      </c>
      <c r="B345" s="3116">
        <v>0.69540000000000002</v>
      </c>
      <c r="C345" s="3116">
        <v>0.69540000000000002</v>
      </c>
      <c r="D345" s="3116">
        <v>0.64290000000000003</v>
      </c>
      <c r="E345" s="3116">
        <v>0.64290000000000003</v>
      </c>
      <c r="F345" s="3116">
        <v>0.64290000000000003</v>
      </c>
      <c r="G345" s="3116">
        <v>0.52659999999999996</v>
      </c>
      <c r="H345" s="3116">
        <v>0.52659999999999996</v>
      </c>
      <c r="I345" s="3116">
        <v>0.44750000000000001</v>
      </c>
      <c r="J345" s="3116">
        <v>0.44750000000000001</v>
      </c>
      <c r="K345" s="3116">
        <v>0.44750000000000001</v>
      </c>
      <c r="L345" s="3116">
        <v>0.44750000000000001</v>
      </c>
      <c r="M345" s="3117">
        <v>0.44750000000000001</v>
      </c>
    </row>
    <row r="346" spans="1:13">
      <c r="A346" s="3115">
        <v>7.7</v>
      </c>
      <c r="B346" s="3116">
        <v>0.69389999999999996</v>
      </c>
      <c r="C346" s="3116">
        <v>0.69389999999999996</v>
      </c>
      <c r="D346" s="3116">
        <v>0.6411</v>
      </c>
      <c r="E346" s="3116">
        <v>0.6411</v>
      </c>
      <c r="F346" s="3116">
        <v>0.6411</v>
      </c>
      <c r="G346" s="3116">
        <v>0.52459999999999996</v>
      </c>
      <c r="H346" s="3116">
        <v>0.52459999999999996</v>
      </c>
      <c r="I346" s="3116">
        <v>0.44540000000000002</v>
      </c>
      <c r="J346" s="3116">
        <v>0.44540000000000002</v>
      </c>
      <c r="K346" s="3116">
        <v>0.44540000000000002</v>
      </c>
      <c r="L346" s="3116">
        <v>0.44540000000000002</v>
      </c>
      <c r="M346" s="3117">
        <v>0.44540000000000002</v>
      </c>
    </row>
    <row r="347" spans="1:13">
      <c r="A347" s="3115">
        <v>7.8</v>
      </c>
      <c r="B347" s="3116">
        <v>0.69240000000000002</v>
      </c>
      <c r="C347" s="3116">
        <v>0.69240000000000002</v>
      </c>
      <c r="D347" s="3116">
        <v>0.63929999999999998</v>
      </c>
      <c r="E347" s="3116">
        <v>0.63929999999999998</v>
      </c>
      <c r="F347" s="3116">
        <v>0.63929999999999998</v>
      </c>
      <c r="G347" s="3116">
        <v>0.52259999999999995</v>
      </c>
      <c r="H347" s="3116">
        <v>0.52259999999999995</v>
      </c>
      <c r="I347" s="3116">
        <v>0.44340000000000002</v>
      </c>
      <c r="J347" s="3116">
        <v>0.44340000000000002</v>
      </c>
      <c r="K347" s="3116">
        <v>0.44340000000000002</v>
      </c>
      <c r="L347" s="3116">
        <v>0.44340000000000002</v>
      </c>
      <c r="M347" s="3117">
        <v>0.44340000000000002</v>
      </c>
    </row>
    <row r="348" spans="1:13">
      <c r="A348" s="3115">
        <v>7.9</v>
      </c>
      <c r="B348" s="3116">
        <v>0.69099999999999995</v>
      </c>
      <c r="C348" s="3116">
        <v>0.69099999999999995</v>
      </c>
      <c r="D348" s="3116">
        <v>0.63749999999999996</v>
      </c>
      <c r="E348" s="3116">
        <v>0.63749999999999996</v>
      </c>
      <c r="F348" s="3116">
        <v>0.63749999999999996</v>
      </c>
      <c r="G348" s="3116">
        <v>0.52059999999999995</v>
      </c>
      <c r="H348" s="3116">
        <v>0.52059999999999995</v>
      </c>
      <c r="I348" s="3116">
        <v>0.44130000000000003</v>
      </c>
      <c r="J348" s="3116">
        <v>0.44130000000000003</v>
      </c>
      <c r="K348" s="3116">
        <v>0.44130000000000003</v>
      </c>
      <c r="L348" s="3116">
        <v>0.44130000000000003</v>
      </c>
      <c r="M348" s="3117">
        <v>0.44130000000000003</v>
      </c>
    </row>
    <row r="349" spans="1:13">
      <c r="A349" s="3115">
        <v>8</v>
      </c>
      <c r="B349" s="3116">
        <v>0.68959999999999999</v>
      </c>
      <c r="C349" s="3116">
        <v>0.68959999999999999</v>
      </c>
      <c r="D349" s="3116">
        <v>0.63570000000000004</v>
      </c>
      <c r="E349" s="3116">
        <v>0.63570000000000004</v>
      </c>
      <c r="F349" s="3116">
        <v>0.63570000000000004</v>
      </c>
      <c r="G349" s="3116">
        <v>0.51859999999999995</v>
      </c>
      <c r="H349" s="3116">
        <v>0.51859999999999995</v>
      </c>
      <c r="I349" s="3116">
        <v>0.43919999999999998</v>
      </c>
      <c r="J349" s="3116">
        <v>0.43919999999999998</v>
      </c>
      <c r="K349" s="3116">
        <v>0.43919999999999998</v>
      </c>
      <c r="L349" s="3116">
        <v>0.43919999999999998</v>
      </c>
      <c r="M349" s="3117">
        <v>0.43919999999999998</v>
      </c>
    </row>
    <row r="350" spans="1:13">
      <c r="A350" s="3115">
        <v>8.1</v>
      </c>
      <c r="B350" s="3116">
        <v>0.68820000000000003</v>
      </c>
      <c r="C350" s="3116">
        <v>0.68820000000000003</v>
      </c>
      <c r="D350" s="3116">
        <v>0.63390000000000002</v>
      </c>
      <c r="E350" s="3116">
        <v>0.63390000000000002</v>
      </c>
      <c r="F350" s="3116">
        <v>0.63390000000000002</v>
      </c>
      <c r="G350" s="3116">
        <v>0.51659999999999995</v>
      </c>
      <c r="H350" s="3116">
        <v>0.51659999999999995</v>
      </c>
      <c r="I350" s="3116">
        <v>0.43730000000000002</v>
      </c>
      <c r="J350" s="3116">
        <v>0.43730000000000002</v>
      </c>
      <c r="K350" s="3116">
        <v>0.43730000000000002</v>
      </c>
      <c r="L350" s="3116">
        <v>0.43730000000000002</v>
      </c>
      <c r="M350" s="3117">
        <v>0.43730000000000002</v>
      </c>
    </row>
    <row r="351" spans="1:13">
      <c r="A351" s="3115">
        <v>8.1999999999999993</v>
      </c>
      <c r="B351" s="3116">
        <v>0.68679999999999997</v>
      </c>
      <c r="C351" s="3116">
        <v>0.68679999999999997</v>
      </c>
      <c r="D351" s="3116">
        <v>0.63219999999999998</v>
      </c>
      <c r="E351" s="3116">
        <v>0.63219999999999998</v>
      </c>
      <c r="F351" s="3116">
        <v>0.63219999999999998</v>
      </c>
      <c r="G351" s="3116">
        <v>0.51459999999999995</v>
      </c>
      <c r="H351" s="3116">
        <v>0.51459999999999995</v>
      </c>
      <c r="I351" s="3116">
        <v>0.43530000000000002</v>
      </c>
      <c r="J351" s="3116">
        <v>0.43530000000000002</v>
      </c>
      <c r="K351" s="3116">
        <v>0.43530000000000002</v>
      </c>
      <c r="L351" s="3116">
        <v>0.43530000000000002</v>
      </c>
      <c r="M351" s="3117">
        <v>0.43530000000000002</v>
      </c>
    </row>
    <row r="352" spans="1:13">
      <c r="A352" s="3115">
        <v>8.3000000000000007</v>
      </c>
      <c r="B352" s="3116">
        <v>0.68540000000000001</v>
      </c>
      <c r="C352" s="3116">
        <v>0.68540000000000001</v>
      </c>
      <c r="D352" s="3116">
        <v>0.63049999999999995</v>
      </c>
      <c r="E352" s="3116">
        <v>0.63049999999999995</v>
      </c>
      <c r="F352" s="3116">
        <v>0.63049999999999995</v>
      </c>
      <c r="G352" s="3116">
        <v>0.51259999999999994</v>
      </c>
      <c r="H352" s="3116">
        <v>0.51259999999999994</v>
      </c>
      <c r="I352" s="3116">
        <v>0.43330000000000002</v>
      </c>
      <c r="J352" s="3116">
        <v>0.43330000000000002</v>
      </c>
      <c r="K352" s="3116">
        <v>0.43330000000000002</v>
      </c>
      <c r="L352" s="3116">
        <v>0.43330000000000002</v>
      </c>
      <c r="M352" s="3117">
        <v>0.43330000000000002</v>
      </c>
    </row>
    <row r="353" spans="1:13">
      <c r="A353" s="3115">
        <v>8.4</v>
      </c>
      <c r="B353" s="3116">
        <v>0.68400000000000005</v>
      </c>
      <c r="C353" s="3116">
        <v>0.68400000000000005</v>
      </c>
      <c r="D353" s="3116">
        <v>0.62880000000000003</v>
      </c>
      <c r="E353" s="3116">
        <v>0.62880000000000003</v>
      </c>
      <c r="F353" s="3116">
        <v>0.62880000000000003</v>
      </c>
      <c r="G353" s="3116">
        <v>0.51070000000000004</v>
      </c>
      <c r="H353" s="3116">
        <v>0.51070000000000004</v>
      </c>
      <c r="I353" s="3116">
        <v>0.43130000000000002</v>
      </c>
      <c r="J353" s="3116">
        <v>0.43130000000000002</v>
      </c>
      <c r="K353" s="3116">
        <v>0.43130000000000002</v>
      </c>
      <c r="L353" s="3116">
        <v>0.43130000000000002</v>
      </c>
      <c r="M353" s="3117">
        <v>0.43130000000000002</v>
      </c>
    </row>
    <row r="354" spans="1:13">
      <c r="A354" s="3115">
        <v>8.5</v>
      </c>
      <c r="B354" s="3116">
        <v>0.68259999999999998</v>
      </c>
      <c r="C354" s="3116">
        <v>0.68259999999999998</v>
      </c>
      <c r="D354" s="3116">
        <v>0.62709999999999999</v>
      </c>
      <c r="E354" s="3116">
        <v>0.62709999999999999</v>
      </c>
      <c r="F354" s="3116">
        <v>0.62709999999999999</v>
      </c>
      <c r="G354" s="3116">
        <v>0.50880000000000003</v>
      </c>
      <c r="H354" s="3116">
        <v>0.50880000000000003</v>
      </c>
      <c r="I354" s="3116">
        <v>0.4294</v>
      </c>
      <c r="J354" s="3116">
        <v>0.4294</v>
      </c>
      <c r="K354" s="3116">
        <v>0.4294</v>
      </c>
      <c r="L354" s="3116">
        <v>0.4294</v>
      </c>
      <c r="M354" s="3117">
        <v>0.4294</v>
      </c>
    </row>
    <row r="355" spans="1:13">
      <c r="A355" s="3115">
        <v>8.6</v>
      </c>
      <c r="B355" s="3116">
        <v>0.68120000000000003</v>
      </c>
      <c r="C355" s="3116">
        <v>0.68120000000000003</v>
      </c>
      <c r="D355" s="3116">
        <v>0.62539999999999996</v>
      </c>
      <c r="E355" s="3116">
        <v>0.62539999999999996</v>
      </c>
      <c r="F355" s="3116">
        <v>0.62539999999999996</v>
      </c>
      <c r="G355" s="3116">
        <v>0.50690000000000002</v>
      </c>
      <c r="H355" s="3116">
        <v>0.50690000000000002</v>
      </c>
      <c r="I355" s="3116">
        <v>0.4274</v>
      </c>
      <c r="J355" s="3116">
        <v>0.4274</v>
      </c>
      <c r="K355" s="3116">
        <v>0.4274</v>
      </c>
      <c r="L355" s="3116">
        <v>0.4274</v>
      </c>
      <c r="M355" s="3117">
        <v>0.4274</v>
      </c>
    </row>
    <row r="356" spans="1:13">
      <c r="A356" s="3115">
        <v>8.6999999999999993</v>
      </c>
      <c r="B356" s="3116">
        <v>0.67989999999999995</v>
      </c>
      <c r="C356" s="3116">
        <v>0.67989999999999995</v>
      </c>
      <c r="D356" s="3116">
        <v>0.62370000000000003</v>
      </c>
      <c r="E356" s="3116">
        <v>0.62370000000000003</v>
      </c>
      <c r="F356" s="3116">
        <v>0.62370000000000003</v>
      </c>
      <c r="G356" s="3116">
        <v>0.505</v>
      </c>
      <c r="H356" s="3116">
        <v>0.505</v>
      </c>
      <c r="I356" s="3116">
        <v>0.4254</v>
      </c>
      <c r="J356" s="3116">
        <v>0.4254</v>
      </c>
      <c r="K356" s="3116">
        <v>0.4254</v>
      </c>
      <c r="L356" s="3116">
        <v>0.4254</v>
      </c>
      <c r="M356" s="3117">
        <v>0.4254</v>
      </c>
    </row>
    <row r="357" spans="1:13">
      <c r="A357" s="3115">
        <v>8.8000000000000007</v>
      </c>
      <c r="B357" s="3116">
        <v>0.67859999999999998</v>
      </c>
      <c r="C357" s="3116">
        <v>0.67859999999999998</v>
      </c>
      <c r="D357" s="3116">
        <v>0.622</v>
      </c>
      <c r="E357" s="3116">
        <v>0.622</v>
      </c>
      <c r="F357" s="3116">
        <v>0.622</v>
      </c>
      <c r="G357" s="3116">
        <v>0.50309999999999999</v>
      </c>
      <c r="H357" s="3116">
        <v>0.50309999999999999</v>
      </c>
      <c r="I357" s="3116">
        <v>0.4234</v>
      </c>
      <c r="J357" s="3116">
        <v>0.4234</v>
      </c>
      <c r="K357" s="3116">
        <v>0.4234</v>
      </c>
      <c r="L357" s="3116">
        <v>0.4234</v>
      </c>
      <c r="M357" s="3117">
        <v>0.4234</v>
      </c>
    </row>
    <row r="358" spans="1:13">
      <c r="A358" s="3115">
        <v>8.9</v>
      </c>
      <c r="B358" s="3116">
        <v>0.67730000000000001</v>
      </c>
      <c r="C358" s="3116">
        <v>0.67730000000000001</v>
      </c>
      <c r="D358" s="3116">
        <v>0.62029999999999996</v>
      </c>
      <c r="E358" s="3116">
        <v>0.62029999999999996</v>
      </c>
      <c r="F358" s="3116">
        <v>0.62029999999999996</v>
      </c>
      <c r="G358" s="3116">
        <v>0.50119999999999998</v>
      </c>
      <c r="H358" s="3116">
        <v>0.50119999999999998</v>
      </c>
      <c r="I358" s="3116">
        <v>0.42149999999999999</v>
      </c>
      <c r="J358" s="3116">
        <v>0.42149999999999999</v>
      </c>
      <c r="K358" s="3116">
        <v>0.42149999999999999</v>
      </c>
      <c r="L358" s="3116">
        <v>0.42149999999999999</v>
      </c>
      <c r="M358" s="3117">
        <v>0.42149999999999999</v>
      </c>
    </row>
    <row r="359" spans="1:13">
      <c r="A359" s="3118">
        <v>9</v>
      </c>
      <c r="B359" s="3116">
        <v>0.67600000000000005</v>
      </c>
      <c r="C359" s="3116">
        <v>0.67600000000000005</v>
      </c>
      <c r="D359" s="3116">
        <v>0.61870000000000003</v>
      </c>
      <c r="E359" s="3116">
        <v>0.61870000000000003</v>
      </c>
      <c r="F359" s="3116">
        <v>0.61870000000000003</v>
      </c>
      <c r="G359" s="3116">
        <v>0.49930000000000002</v>
      </c>
      <c r="H359" s="3116">
        <v>0.49930000000000002</v>
      </c>
      <c r="I359" s="3116">
        <v>0.41949999999999998</v>
      </c>
      <c r="J359" s="3116">
        <v>0.41949999999999998</v>
      </c>
      <c r="K359" s="3116">
        <v>0.41949999999999998</v>
      </c>
      <c r="L359" s="3116">
        <v>0.41949999999999998</v>
      </c>
      <c r="M359" s="3117">
        <v>0.41949999999999998</v>
      </c>
    </row>
    <row r="360" spans="1:13">
      <c r="A360" s="3118">
        <v>9.1</v>
      </c>
      <c r="B360" s="3116">
        <v>0.67469999999999997</v>
      </c>
      <c r="C360" s="3116">
        <v>0.67469999999999997</v>
      </c>
      <c r="D360" s="3116">
        <v>0.61709999999999998</v>
      </c>
      <c r="E360" s="3116">
        <v>0.61709999999999998</v>
      </c>
      <c r="F360" s="3116">
        <v>0.61709999999999998</v>
      </c>
      <c r="G360" s="3116">
        <v>0.49740000000000001</v>
      </c>
      <c r="H360" s="3116">
        <v>0.49740000000000001</v>
      </c>
      <c r="I360" s="3116">
        <v>0.41760000000000003</v>
      </c>
      <c r="J360" s="3116">
        <v>0.41760000000000003</v>
      </c>
      <c r="K360" s="3116">
        <v>0.41760000000000003</v>
      </c>
      <c r="L360" s="3116">
        <v>0.41760000000000003</v>
      </c>
      <c r="M360" s="3117">
        <v>0.41760000000000003</v>
      </c>
    </row>
    <row r="361" spans="1:13">
      <c r="A361" s="3118">
        <v>9.1999999999999993</v>
      </c>
      <c r="B361" s="3116">
        <v>0.6734</v>
      </c>
      <c r="C361" s="3116">
        <v>0.6734</v>
      </c>
      <c r="D361" s="3116">
        <v>0.61550000000000005</v>
      </c>
      <c r="E361" s="3116">
        <v>0.61550000000000005</v>
      </c>
      <c r="F361" s="3116">
        <v>0.61550000000000005</v>
      </c>
      <c r="G361" s="3116">
        <v>0.49559999999999998</v>
      </c>
      <c r="H361" s="3116">
        <v>0.49559999999999998</v>
      </c>
      <c r="I361" s="3116">
        <v>0.41570000000000001</v>
      </c>
      <c r="J361" s="3116">
        <v>0.41570000000000001</v>
      </c>
      <c r="K361" s="3116">
        <v>0.41570000000000001</v>
      </c>
      <c r="L361" s="3116">
        <v>0.41570000000000001</v>
      </c>
      <c r="M361" s="3117">
        <v>0.41570000000000001</v>
      </c>
    </row>
    <row r="362" spans="1:13">
      <c r="A362" s="3118">
        <v>9.3000000000000007</v>
      </c>
      <c r="B362" s="3116">
        <v>0.67210000000000003</v>
      </c>
      <c r="C362" s="3116">
        <v>0.67210000000000003</v>
      </c>
      <c r="D362" s="3116">
        <v>0.6139</v>
      </c>
      <c r="E362" s="3116">
        <v>0.6139</v>
      </c>
      <c r="F362" s="3116">
        <v>0.6139</v>
      </c>
      <c r="G362" s="3116">
        <v>0.49380000000000002</v>
      </c>
      <c r="H362" s="3116">
        <v>0.49380000000000002</v>
      </c>
      <c r="I362" s="3116">
        <v>0.4138</v>
      </c>
      <c r="J362" s="3116">
        <v>0.4138</v>
      </c>
      <c r="K362" s="3116">
        <v>0.4138</v>
      </c>
      <c r="L362" s="3116">
        <v>0.4138</v>
      </c>
      <c r="M362" s="3117">
        <v>0.4138</v>
      </c>
    </row>
    <row r="363" spans="1:13">
      <c r="A363" s="3118">
        <v>9.4</v>
      </c>
      <c r="B363" s="3116">
        <v>0.67079999999999995</v>
      </c>
      <c r="C363" s="3116">
        <v>0.67079999999999995</v>
      </c>
      <c r="D363" s="3116">
        <v>0.61229999999999996</v>
      </c>
      <c r="E363" s="3116">
        <v>0.61229999999999996</v>
      </c>
      <c r="F363" s="3116">
        <v>0.61229999999999996</v>
      </c>
      <c r="G363" s="3116">
        <v>0.49199999999999999</v>
      </c>
      <c r="H363" s="3116">
        <v>0.49199999999999999</v>
      </c>
      <c r="I363" s="3116">
        <v>0.41189999999999999</v>
      </c>
      <c r="J363" s="3116">
        <v>0.41189999999999999</v>
      </c>
      <c r="K363" s="3116">
        <v>0.41189999999999999</v>
      </c>
      <c r="L363" s="3116">
        <v>0.41189999999999999</v>
      </c>
      <c r="M363" s="3117">
        <v>0.41189999999999999</v>
      </c>
    </row>
    <row r="364" spans="1:13">
      <c r="A364" s="3118">
        <v>9.5</v>
      </c>
      <c r="B364" s="3116">
        <v>0.66959999999999997</v>
      </c>
      <c r="C364" s="3116">
        <v>0.66959999999999997</v>
      </c>
      <c r="D364" s="3116">
        <v>0.61070000000000002</v>
      </c>
      <c r="E364" s="3116">
        <v>0.61070000000000002</v>
      </c>
      <c r="F364" s="3116">
        <v>0.61070000000000002</v>
      </c>
      <c r="G364" s="3116">
        <v>0.49020000000000002</v>
      </c>
      <c r="H364" s="3116">
        <v>0.49020000000000002</v>
      </c>
      <c r="I364" s="3116">
        <v>0.41</v>
      </c>
      <c r="J364" s="3116">
        <v>0.41</v>
      </c>
      <c r="K364" s="3116">
        <v>0.41</v>
      </c>
      <c r="L364" s="3116">
        <v>0.41</v>
      </c>
      <c r="M364" s="3117">
        <v>0.41</v>
      </c>
    </row>
    <row r="365" spans="1:13">
      <c r="A365" s="3118">
        <v>9.6</v>
      </c>
      <c r="B365" s="3116">
        <v>0.66839999999999999</v>
      </c>
      <c r="C365" s="3116">
        <v>0.66839999999999999</v>
      </c>
      <c r="D365" s="3116">
        <v>0.60909999999999997</v>
      </c>
      <c r="E365" s="3116">
        <v>0.60909999999999997</v>
      </c>
      <c r="F365" s="3116">
        <v>0.60909999999999997</v>
      </c>
      <c r="G365" s="3116">
        <v>0.4884</v>
      </c>
      <c r="H365" s="3116">
        <v>0.4884</v>
      </c>
      <c r="I365" s="3116">
        <v>0.40810000000000002</v>
      </c>
      <c r="J365" s="3116">
        <v>0.40810000000000002</v>
      </c>
      <c r="K365" s="3116">
        <v>0.40810000000000002</v>
      </c>
      <c r="L365" s="3116">
        <v>0.40810000000000002</v>
      </c>
      <c r="M365" s="3117">
        <v>0.40810000000000002</v>
      </c>
    </row>
    <row r="366" spans="1:13">
      <c r="A366" s="3118">
        <v>9.6999999999999993</v>
      </c>
      <c r="B366" s="3116">
        <v>0.66720000000000002</v>
      </c>
      <c r="C366" s="3116">
        <v>0.66720000000000002</v>
      </c>
      <c r="D366" s="3116">
        <v>0.60750000000000004</v>
      </c>
      <c r="E366" s="3116">
        <v>0.60750000000000004</v>
      </c>
      <c r="F366" s="3116">
        <v>0.60750000000000004</v>
      </c>
      <c r="G366" s="3116">
        <v>0.48659999999999998</v>
      </c>
      <c r="H366" s="3116">
        <v>0.48659999999999998</v>
      </c>
      <c r="I366" s="3116">
        <v>0.40620000000000001</v>
      </c>
      <c r="J366" s="3116">
        <v>0.40620000000000001</v>
      </c>
      <c r="K366" s="3116">
        <v>0.40620000000000001</v>
      </c>
      <c r="L366" s="3116">
        <v>0.40620000000000001</v>
      </c>
      <c r="M366" s="3117">
        <v>0.40620000000000001</v>
      </c>
    </row>
    <row r="367" spans="1:13">
      <c r="A367" s="3118">
        <v>9.8000000000000007</v>
      </c>
      <c r="B367" s="3116">
        <v>0.66600000000000004</v>
      </c>
      <c r="C367" s="3116">
        <v>0.66600000000000004</v>
      </c>
      <c r="D367" s="3116">
        <v>0.60599999999999998</v>
      </c>
      <c r="E367" s="3116">
        <v>0.60599999999999998</v>
      </c>
      <c r="F367" s="3116">
        <v>0.60599999999999998</v>
      </c>
      <c r="G367" s="3116">
        <v>0.48480000000000001</v>
      </c>
      <c r="H367" s="3116">
        <v>0.48480000000000001</v>
      </c>
      <c r="I367" s="3116">
        <v>0.40429999999999999</v>
      </c>
      <c r="J367" s="3116">
        <v>0.40429999999999999</v>
      </c>
      <c r="K367" s="3116">
        <v>0.40429999999999999</v>
      </c>
      <c r="L367" s="3116">
        <v>0.40429999999999999</v>
      </c>
      <c r="M367" s="3117">
        <v>0.40429999999999999</v>
      </c>
    </row>
    <row r="368" spans="1:13" ht="14.25" thickBot="1">
      <c r="A368" s="3119">
        <v>9.9</v>
      </c>
      <c r="B368" s="3120">
        <v>0.66479999999999995</v>
      </c>
      <c r="C368" s="3120">
        <v>0.66479999999999995</v>
      </c>
      <c r="D368" s="3120">
        <v>0.60450000000000004</v>
      </c>
      <c r="E368" s="3120">
        <v>0.60450000000000004</v>
      </c>
      <c r="F368" s="3120">
        <v>0.60450000000000004</v>
      </c>
      <c r="G368" s="3120">
        <v>0.48299999999999998</v>
      </c>
      <c r="H368" s="3120">
        <v>0.48299999999999998</v>
      </c>
      <c r="I368" s="3120">
        <v>0.40239999999999998</v>
      </c>
      <c r="J368" s="3120">
        <v>0.40239999999999998</v>
      </c>
      <c r="K368" s="3120">
        <v>0.40239999999999998</v>
      </c>
      <c r="L368" s="3120">
        <v>0.40239999999999998</v>
      </c>
      <c r="M368" s="3121">
        <v>0.40239999999999998</v>
      </c>
    </row>
    <row r="369" spans="1:20" ht="15" thickBot="1">
      <c r="A369" s="3109" t="s">
        <v>2805</v>
      </c>
      <c r="B369" s="3122"/>
      <c r="C369" s="3122"/>
      <c r="D369" s="3122"/>
      <c r="E369" s="3122"/>
      <c r="F369" s="3122"/>
      <c r="G369" s="3122"/>
      <c r="H369" s="3122"/>
      <c r="I369" s="3122"/>
      <c r="J369" s="3122"/>
      <c r="K369" s="3122"/>
      <c r="L369" s="3122"/>
      <c r="M369" s="3122"/>
    </row>
    <row r="370" spans="1:20">
      <c r="A370" s="3110" t="s">
        <v>2801</v>
      </c>
      <c r="B370" s="3111" t="s">
        <v>2597</v>
      </c>
      <c r="C370" s="3111" t="s">
        <v>2598</v>
      </c>
      <c r="D370" s="3111" t="s">
        <v>2599</v>
      </c>
      <c r="E370" s="3111" t="s">
        <v>2600</v>
      </c>
      <c r="F370" s="3111" t="s">
        <v>2601</v>
      </c>
      <c r="G370" s="3111" t="s">
        <v>2602</v>
      </c>
      <c r="H370" s="3112" t="s">
        <v>2603</v>
      </c>
      <c r="I370" s="3112" t="s">
        <v>2604</v>
      </c>
      <c r="J370" s="3113" t="s">
        <v>2605</v>
      </c>
      <c r="K370" s="3113" t="s">
        <v>2606</v>
      </c>
      <c r="L370" s="3113" t="s">
        <v>2607</v>
      </c>
      <c r="M370" s="3114" t="s">
        <v>2608</v>
      </c>
      <c r="N370" s="750">
        <f>SUMPRODUCT((A371:A460=ROUNDDOWN(基准地价修正!G3,1))*(B370:M370=基准地价修正!G2)*(B371:M460))</f>
        <v>1.0076000000000001</v>
      </c>
      <c r="Q370" s="3124" t="s">
        <v>2806</v>
      </c>
      <c r="R370" s="3124" t="s">
        <v>2807</v>
      </c>
      <c r="S370" s="3124" t="s">
        <v>2808</v>
      </c>
      <c r="T370" s="3124" t="s">
        <v>2809</v>
      </c>
    </row>
    <row r="371" spans="1:20">
      <c r="A371" s="3115">
        <v>1</v>
      </c>
      <c r="B371" s="3116">
        <v>1.1839999999999999</v>
      </c>
      <c r="C371" s="3116">
        <v>1.1839999999999999</v>
      </c>
      <c r="D371" s="3116">
        <v>1.1565000000000001</v>
      </c>
      <c r="E371" s="3116">
        <v>1.1565000000000001</v>
      </c>
      <c r="F371" s="3116">
        <v>1.1565000000000001</v>
      </c>
      <c r="G371" s="3116">
        <v>1.1565000000000001</v>
      </c>
      <c r="H371" s="3116">
        <v>1.1565000000000001</v>
      </c>
      <c r="I371" s="3116">
        <v>1.1198999999999999</v>
      </c>
      <c r="J371" s="3116">
        <v>1.1198999999999999</v>
      </c>
      <c r="K371" s="3116">
        <v>1.1198999999999999</v>
      </c>
      <c r="L371" s="3116">
        <v>1.1198999999999999</v>
      </c>
      <c r="M371" s="3117">
        <v>1.1198999999999999</v>
      </c>
      <c r="Q371" s="3124">
        <v>10</v>
      </c>
      <c r="R371" s="3124">
        <f>ROUND(0.9404-0.0106*Q371,4)</f>
        <v>0.83440000000000003</v>
      </c>
      <c r="S371" s="3124">
        <f>ROUND(0.8955-0.0135*Q371,4)</f>
        <v>0.76049999999999995</v>
      </c>
      <c r="T371" s="3124">
        <f>ROUND(0.7632-0.0166*Q371,4)</f>
        <v>0.59719999999999995</v>
      </c>
    </row>
    <row r="372" spans="1:20">
      <c r="A372" s="3115">
        <v>1.1000000000000001</v>
      </c>
      <c r="B372" s="3116">
        <v>1.1658999999999999</v>
      </c>
      <c r="C372" s="3116">
        <v>1.1658999999999999</v>
      </c>
      <c r="D372" s="3116">
        <v>1.1364000000000001</v>
      </c>
      <c r="E372" s="3116">
        <v>1.1364000000000001</v>
      </c>
      <c r="F372" s="3116">
        <v>1.1364000000000001</v>
      </c>
      <c r="G372" s="3116">
        <v>1.1364000000000001</v>
      </c>
      <c r="H372" s="3116">
        <v>1.1364000000000001</v>
      </c>
      <c r="I372" s="3116">
        <v>1.0931</v>
      </c>
      <c r="J372" s="3116">
        <v>1.0931</v>
      </c>
      <c r="K372" s="3116">
        <v>1.0931</v>
      </c>
      <c r="L372" s="3116">
        <v>1.0931</v>
      </c>
      <c r="M372" s="3117">
        <v>1.0931</v>
      </c>
    </row>
    <row r="373" spans="1:20">
      <c r="A373" s="3115">
        <v>1.2</v>
      </c>
      <c r="B373" s="3116">
        <v>1.1489</v>
      </c>
      <c r="C373" s="3116">
        <v>1.1489</v>
      </c>
      <c r="D373" s="3116">
        <v>1.1174999999999999</v>
      </c>
      <c r="E373" s="3116">
        <v>1.1174999999999999</v>
      </c>
      <c r="F373" s="3116">
        <v>1.1174999999999999</v>
      </c>
      <c r="G373" s="3116">
        <v>1.1174999999999999</v>
      </c>
      <c r="H373" s="3116">
        <v>1.1174999999999999</v>
      </c>
      <c r="I373" s="3116">
        <v>1.0678000000000001</v>
      </c>
      <c r="J373" s="3116">
        <v>1.0678000000000001</v>
      </c>
      <c r="K373" s="3116">
        <v>1.0678000000000001</v>
      </c>
      <c r="L373" s="3116">
        <v>1.0678000000000001</v>
      </c>
      <c r="M373" s="3117">
        <v>1.0678000000000001</v>
      </c>
    </row>
    <row r="374" spans="1:20">
      <c r="A374" s="3115">
        <v>1.3</v>
      </c>
      <c r="B374" s="3116">
        <v>1.1328</v>
      </c>
      <c r="C374" s="3116">
        <v>1.1328</v>
      </c>
      <c r="D374" s="3116">
        <v>1.0995999999999999</v>
      </c>
      <c r="E374" s="3116">
        <v>1.0995999999999999</v>
      </c>
      <c r="F374" s="3116">
        <v>1.0995999999999999</v>
      </c>
      <c r="G374" s="3116">
        <v>1.0995999999999999</v>
      </c>
      <c r="H374" s="3116">
        <v>1.0995999999999999</v>
      </c>
      <c r="I374" s="3116">
        <v>1.044</v>
      </c>
      <c r="J374" s="3116">
        <v>1.044</v>
      </c>
      <c r="K374" s="3116">
        <v>1.044</v>
      </c>
      <c r="L374" s="3116">
        <v>1.044</v>
      </c>
      <c r="M374" s="3117">
        <v>1.044</v>
      </c>
    </row>
    <row r="375" spans="1:20">
      <c r="A375" s="3115">
        <v>1.4</v>
      </c>
      <c r="B375" s="3116">
        <v>1.1175999999999999</v>
      </c>
      <c r="C375" s="3116">
        <v>1.1175999999999999</v>
      </c>
      <c r="D375" s="3116">
        <v>1.0827</v>
      </c>
      <c r="E375" s="3116">
        <v>1.0827</v>
      </c>
      <c r="F375" s="3116">
        <v>1.0827</v>
      </c>
      <c r="G375" s="3116">
        <v>1.0827</v>
      </c>
      <c r="H375" s="3116">
        <v>1.0827</v>
      </c>
      <c r="I375" s="3116">
        <v>1.0214000000000001</v>
      </c>
      <c r="J375" s="3116">
        <v>1.0214000000000001</v>
      </c>
      <c r="K375" s="3116">
        <v>1.0214000000000001</v>
      </c>
      <c r="L375" s="3116">
        <v>1.0214000000000001</v>
      </c>
      <c r="M375" s="3117">
        <v>1.0214000000000001</v>
      </c>
    </row>
    <row r="376" spans="1:20">
      <c r="A376" s="3115">
        <v>1.5</v>
      </c>
      <c r="B376" s="3116">
        <v>1.1032999999999999</v>
      </c>
      <c r="C376" s="3116">
        <v>1.1032999999999999</v>
      </c>
      <c r="D376" s="3116">
        <v>1.0668</v>
      </c>
      <c r="E376" s="3116">
        <v>1.0668</v>
      </c>
      <c r="F376" s="3116">
        <v>1.0668</v>
      </c>
      <c r="G376" s="3116">
        <v>1.0668</v>
      </c>
      <c r="H376" s="3116">
        <v>1.0668</v>
      </c>
      <c r="I376" s="3116">
        <v>1</v>
      </c>
      <c r="J376" s="3116">
        <v>1</v>
      </c>
      <c r="K376" s="3116">
        <v>1</v>
      </c>
      <c r="L376" s="3116">
        <v>1</v>
      </c>
      <c r="M376" s="3117">
        <v>1</v>
      </c>
    </row>
    <row r="377" spans="1:20">
      <c r="A377" s="3115">
        <v>1.6</v>
      </c>
      <c r="B377" s="3116">
        <v>1.0899000000000001</v>
      </c>
      <c r="C377" s="3116">
        <v>1.0899000000000001</v>
      </c>
      <c r="D377" s="3116">
        <v>1.0517000000000001</v>
      </c>
      <c r="E377" s="3116">
        <v>1.0517000000000001</v>
      </c>
      <c r="F377" s="3116">
        <v>1.0517000000000001</v>
      </c>
      <c r="G377" s="3116">
        <v>1.0517000000000001</v>
      </c>
      <c r="H377" s="3116">
        <v>1.0517000000000001</v>
      </c>
      <c r="I377" s="3116">
        <v>0.97989999999999999</v>
      </c>
      <c r="J377" s="3116">
        <v>0.97989999999999999</v>
      </c>
      <c r="K377" s="3116">
        <v>0.97989999999999999</v>
      </c>
      <c r="L377" s="3116">
        <v>0.97989999999999999</v>
      </c>
      <c r="M377" s="3117">
        <v>0.97989999999999999</v>
      </c>
    </row>
    <row r="378" spans="1:20">
      <c r="A378" s="3115">
        <v>1.7</v>
      </c>
      <c r="B378" s="3116">
        <v>1.0771999999999999</v>
      </c>
      <c r="C378" s="3116">
        <v>1.0771999999999999</v>
      </c>
      <c r="D378" s="3116">
        <v>1.0376000000000001</v>
      </c>
      <c r="E378" s="3116">
        <v>1.0376000000000001</v>
      </c>
      <c r="F378" s="3116">
        <v>1.0376000000000001</v>
      </c>
      <c r="G378" s="3116">
        <v>1.0376000000000001</v>
      </c>
      <c r="H378" s="3116">
        <v>1.0376000000000001</v>
      </c>
      <c r="I378" s="3116">
        <v>0.96089999999999998</v>
      </c>
      <c r="J378" s="3116">
        <v>0.96089999999999998</v>
      </c>
      <c r="K378" s="3116">
        <v>0.96089999999999998</v>
      </c>
      <c r="L378" s="3116">
        <v>0.96089999999999998</v>
      </c>
      <c r="M378" s="3117">
        <v>0.96089999999999998</v>
      </c>
    </row>
    <row r="379" spans="1:20">
      <c r="A379" s="3115">
        <v>1.8</v>
      </c>
      <c r="B379" s="3116">
        <v>1.0652999999999999</v>
      </c>
      <c r="C379" s="3116">
        <v>1.0652999999999999</v>
      </c>
      <c r="D379" s="3116">
        <v>1.0243</v>
      </c>
      <c r="E379" s="3116">
        <v>1.0243</v>
      </c>
      <c r="F379" s="3116">
        <v>1.0243</v>
      </c>
      <c r="G379" s="3116">
        <v>1.0243</v>
      </c>
      <c r="H379" s="3116">
        <v>1.0243</v>
      </c>
      <c r="I379" s="3116">
        <v>0.94299999999999995</v>
      </c>
      <c r="J379" s="3116">
        <v>0.94299999999999995</v>
      </c>
      <c r="K379" s="3116">
        <v>0.94299999999999995</v>
      </c>
      <c r="L379" s="3116">
        <v>0.94299999999999995</v>
      </c>
      <c r="M379" s="3117">
        <v>0.94299999999999995</v>
      </c>
    </row>
    <row r="380" spans="1:20">
      <c r="A380" s="3115">
        <v>1.9</v>
      </c>
      <c r="B380" s="3116">
        <v>1.054</v>
      </c>
      <c r="C380" s="3116">
        <v>1.054</v>
      </c>
      <c r="D380" s="3116">
        <v>1.0118</v>
      </c>
      <c r="E380" s="3116">
        <v>1.0118</v>
      </c>
      <c r="F380" s="3116">
        <v>1.0118</v>
      </c>
      <c r="G380" s="3116">
        <v>1.0118</v>
      </c>
      <c r="H380" s="3116">
        <v>1.0118</v>
      </c>
      <c r="I380" s="3116">
        <v>0.92620000000000002</v>
      </c>
      <c r="J380" s="3116">
        <v>0.92620000000000002</v>
      </c>
      <c r="K380" s="3116">
        <v>0.92620000000000002</v>
      </c>
      <c r="L380" s="3116">
        <v>0.92620000000000002</v>
      </c>
      <c r="M380" s="3117">
        <v>0.92620000000000002</v>
      </c>
    </row>
    <row r="381" spans="1:20">
      <c r="A381" s="3115">
        <v>2</v>
      </c>
      <c r="B381" s="3116">
        <v>1.0435000000000001</v>
      </c>
      <c r="C381" s="3116">
        <v>1.0435000000000001</v>
      </c>
      <c r="D381" s="3116">
        <v>1</v>
      </c>
      <c r="E381" s="3116">
        <v>1</v>
      </c>
      <c r="F381" s="3116">
        <v>1</v>
      </c>
      <c r="G381" s="3116">
        <v>1</v>
      </c>
      <c r="H381" s="3116">
        <v>1</v>
      </c>
      <c r="I381" s="3116">
        <v>0.9103</v>
      </c>
      <c r="J381" s="3116">
        <v>0.9103</v>
      </c>
      <c r="K381" s="3116">
        <v>0.9103</v>
      </c>
      <c r="L381" s="3116">
        <v>0.9103</v>
      </c>
      <c r="M381" s="3117">
        <v>0.9103</v>
      </c>
    </row>
    <row r="382" spans="1:20">
      <c r="A382" s="3118">
        <v>2.1</v>
      </c>
      <c r="B382" s="3116">
        <v>1.0336000000000001</v>
      </c>
      <c r="C382" s="3116">
        <v>1.0336000000000001</v>
      </c>
      <c r="D382" s="3116">
        <v>0.98899999999999999</v>
      </c>
      <c r="E382" s="3116">
        <v>0.98899999999999999</v>
      </c>
      <c r="F382" s="3116">
        <v>0.98899999999999999</v>
      </c>
      <c r="G382" s="3116">
        <v>0.98899999999999999</v>
      </c>
      <c r="H382" s="3116">
        <v>0.98899999999999999</v>
      </c>
      <c r="I382" s="3116">
        <v>0.89539999999999997</v>
      </c>
      <c r="J382" s="3116">
        <v>0.89539999999999997</v>
      </c>
      <c r="K382" s="3116">
        <v>0.89539999999999997</v>
      </c>
      <c r="L382" s="3116">
        <v>0.89539999999999997</v>
      </c>
      <c r="M382" s="3117">
        <v>0.89539999999999997</v>
      </c>
    </row>
    <row r="383" spans="1:20">
      <c r="A383" s="3118">
        <v>2.2000000000000002</v>
      </c>
      <c r="B383" s="3116">
        <v>1.0243</v>
      </c>
      <c r="C383" s="3116">
        <v>1.0243</v>
      </c>
      <c r="D383" s="3116">
        <v>0.97860000000000003</v>
      </c>
      <c r="E383" s="3116">
        <v>0.97860000000000003</v>
      </c>
      <c r="F383" s="3116">
        <v>0.97860000000000003</v>
      </c>
      <c r="G383" s="3116">
        <v>0.97860000000000003</v>
      </c>
      <c r="H383" s="3116">
        <v>0.97860000000000003</v>
      </c>
      <c r="I383" s="3116">
        <v>0.88139999999999996</v>
      </c>
      <c r="J383" s="3116">
        <v>0.88139999999999996</v>
      </c>
      <c r="K383" s="3116">
        <v>0.88139999999999996</v>
      </c>
      <c r="L383" s="3116">
        <v>0.88139999999999996</v>
      </c>
      <c r="M383" s="3117">
        <v>0.88139999999999996</v>
      </c>
    </row>
    <row r="384" spans="1:20">
      <c r="A384" s="3118">
        <v>2.2999999999999998</v>
      </c>
      <c r="B384" s="3116">
        <v>1.0157</v>
      </c>
      <c r="C384" s="3116">
        <v>1.0157</v>
      </c>
      <c r="D384" s="3116">
        <v>0.96889999999999998</v>
      </c>
      <c r="E384" s="3116">
        <v>0.96889999999999998</v>
      </c>
      <c r="F384" s="3116">
        <v>0.96889999999999998</v>
      </c>
      <c r="G384" s="3116">
        <v>0.96889999999999998</v>
      </c>
      <c r="H384" s="3116">
        <v>0.96889999999999998</v>
      </c>
      <c r="I384" s="3116">
        <v>0.86819999999999997</v>
      </c>
      <c r="J384" s="3116">
        <v>0.86819999999999997</v>
      </c>
      <c r="K384" s="3116">
        <v>0.86819999999999997</v>
      </c>
      <c r="L384" s="3116">
        <v>0.86819999999999997</v>
      </c>
      <c r="M384" s="3117">
        <v>0.86819999999999997</v>
      </c>
    </row>
    <row r="385" spans="1:13">
      <c r="A385" s="3118">
        <v>2.4</v>
      </c>
      <c r="B385" s="3116">
        <v>1.0076000000000001</v>
      </c>
      <c r="C385" s="3116">
        <v>1.0076000000000001</v>
      </c>
      <c r="D385" s="3116">
        <v>0.95979999999999999</v>
      </c>
      <c r="E385" s="3116">
        <v>0.95979999999999999</v>
      </c>
      <c r="F385" s="3116">
        <v>0.95979999999999999</v>
      </c>
      <c r="G385" s="3116">
        <v>0.95979999999999999</v>
      </c>
      <c r="H385" s="3116">
        <v>0.95979999999999999</v>
      </c>
      <c r="I385" s="3116">
        <v>0.85580000000000001</v>
      </c>
      <c r="J385" s="3116">
        <v>0.85580000000000001</v>
      </c>
      <c r="K385" s="3116">
        <v>0.85580000000000001</v>
      </c>
      <c r="L385" s="3116">
        <v>0.85580000000000001</v>
      </c>
      <c r="M385" s="3117">
        <v>0.85580000000000001</v>
      </c>
    </row>
    <row r="386" spans="1:13">
      <c r="A386" s="3118">
        <v>2.5</v>
      </c>
      <c r="B386" s="3116">
        <v>1</v>
      </c>
      <c r="C386" s="3116">
        <v>1</v>
      </c>
      <c r="D386" s="3116">
        <v>0.95120000000000005</v>
      </c>
      <c r="E386" s="3116">
        <v>0.95120000000000005</v>
      </c>
      <c r="F386" s="3116">
        <v>0.95120000000000005</v>
      </c>
      <c r="G386" s="3116">
        <v>0.95120000000000005</v>
      </c>
      <c r="H386" s="3116">
        <v>0.95120000000000005</v>
      </c>
      <c r="I386" s="3116">
        <v>0.84419999999999995</v>
      </c>
      <c r="J386" s="3116">
        <v>0.84419999999999995</v>
      </c>
      <c r="K386" s="3116">
        <v>0.84419999999999995</v>
      </c>
      <c r="L386" s="3116">
        <v>0.84419999999999995</v>
      </c>
      <c r="M386" s="3117">
        <v>0.84419999999999995</v>
      </c>
    </row>
    <row r="387" spans="1:13">
      <c r="A387" s="3118">
        <v>2.6</v>
      </c>
      <c r="B387" s="3116">
        <v>0.9929</v>
      </c>
      <c r="C387" s="3116">
        <v>0.9929</v>
      </c>
      <c r="D387" s="3116">
        <v>0.94320000000000004</v>
      </c>
      <c r="E387" s="3116">
        <v>0.94320000000000004</v>
      </c>
      <c r="F387" s="3116">
        <v>0.94320000000000004</v>
      </c>
      <c r="G387" s="3116">
        <v>0.94320000000000004</v>
      </c>
      <c r="H387" s="3116">
        <v>0.94320000000000004</v>
      </c>
      <c r="I387" s="3116">
        <v>0.83330000000000004</v>
      </c>
      <c r="J387" s="3116">
        <v>0.83330000000000004</v>
      </c>
      <c r="K387" s="3116">
        <v>0.83330000000000004</v>
      </c>
      <c r="L387" s="3116">
        <v>0.83330000000000004</v>
      </c>
      <c r="M387" s="3117">
        <v>0.83330000000000004</v>
      </c>
    </row>
    <row r="388" spans="1:13">
      <c r="A388" s="3118">
        <v>2.7</v>
      </c>
      <c r="B388" s="3116">
        <v>0.98629999999999995</v>
      </c>
      <c r="C388" s="3116">
        <v>0.98629999999999995</v>
      </c>
      <c r="D388" s="3116">
        <v>0.93569999999999998</v>
      </c>
      <c r="E388" s="3116">
        <v>0.93569999999999998</v>
      </c>
      <c r="F388" s="3116">
        <v>0.93569999999999998</v>
      </c>
      <c r="G388" s="3116">
        <v>0.93569999999999998</v>
      </c>
      <c r="H388" s="3116">
        <v>0.93569999999999998</v>
      </c>
      <c r="I388" s="3116">
        <v>0.82320000000000004</v>
      </c>
      <c r="J388" s="3116">
        <v>0.82320000000000004</v>
      </c>
      <c r="K388" s="3116">
        <v>0.82320000000000004</v>
      </c>
      <c r="L388" s="3116">
        <v>0.82320000000000004</v>
      </c>
      <c r="M388" s="3117">
        <v>0.82320000000000004</v>
      </c>
    </row>
    <row r="389" spans="1:13">
      <c r="A389" s="3118">
        <v>2.8</v>
      </c>
      <c r="B389" s="3116">
        <v>0.98009999999999997</v>
      </c>
      <c r="C389" s="3116">
        <v>0.98009999999999997</v>
      </c>
      <c r="D389" s="3116">
        <v>0.92879999999999996</v>
      </c>
      <c r="E389" s="3116">
        <v>0.92879999999999996</v>
      </c>
      <c r="F389" s="3116">
        <v>0.92879999999999996</v>
      </c>
      <c r="G389" s="3116">
        <v>0.92879999999999996</v>
      </c>
      <c r="H389" s="3116">
        <v>0.92879999999999996</v>
      </c>
      <c r="I389" s="3116">
        <v>0.81359999999999999</v>
      </c>
      <c r="J389" s="3116">
        <v>0.81359999999999999</v>
      </c>
      <c r="K389" s="3116">
        <v>0.81359999999999999</v>
      </c>
      <c r="L389" s="3116">
        <v>0.81359999999999999</v>
      </c>
      <c r="M389" s="3117">
        <v>0.81359999999999999</v>
      </c>
    </row>
    <row r="390" spans="1:13">
      <c r="A390" s="3118">
        <v>2.9</v>
      </c>
      <c r="B390" s="3116">
        <v>0.97430000000000005</v>
      </c>
      <c r="C390" s="3116">
        <v>0.97430000000000005</v>
      </c>
      <c r="D390" s="3116">
        <v>0.92220000000000002</v>
      </c>
      <c r="E390" s="3116">
        <v>0.92220000000000002</v>
      </c>
      <c r="F390" s="3116">
        <v>0.92220000000000002</v>
      </c>
      <c r="G390" s="3116">
        <v>0.92220000000000002</v>
      </c>
      <c r="H390" s="3116">
        <v>0.92220000000000002</v>
      </c>
      <c r="I390" s="3116">
        <v>0.80459999999999998</v>
      </c>
      <c r="J390" s="3116">
        <v>0.80459999999999998</v>
      </c>
      <c r="K390" s="3116">
        <v>0.80459999999999998</v>
      </c>
      <c r="L390" s="3116">
        <v>0.80459999999999998</v>
      </c>
      <c r="M390" s="3117">
        <v>0.80459999999999998</v>
      </c>
    </row>
    <row r="391" spans="1:13">
      <c r="A391" s="3118">
        <v>3</v>
      </c>
      <c r="B391" s="3116">
        <v>0.96889999999999998</v>
      </c>
      <c r="C391" s="3116">
        <v>0.96889999999999998</v>
      </c>
      <c r="D391" s="3116">
        <v>0.91610000000000003</v>
      </c>
      <c r="E391" s="3116">
        <v>0.91610000000000003</v>
      </c>
      <c r="F391" s="3116">
        <v>0.91610000000000003</v>
      </c>
      <c r="G391" s="3116">
        <v>0.91610000000000003</v>
      </c>
      <c r="H391" s="3116">
        <v>0.91610000000000003</v>
      </c>
      <c r="I391" s="3116">
        <v>0.79620000000000002</v>
      </c>
      <c r="J391" s="3116">
        <v>0.79620000000000002</v>
      </c>
      <c r="K391" s="3116">
        <v>0.79620000000000002</v>
      </c>
      <c r="L391" s="3116">
        <v>0.79620000000000002</v>
      </c>
      <c r="M391" s="3117">
        <v>0.79620000000000002</v>
      </c>
    </row>
    <row r="392" spans="1:13">
      <c r="A392" s="3118">
        <v>3.1</v>
      </c>
      <c r="B392" s="3116">
        <v>0.96389999999999998</v>
      </c>
      <c r="C392" s="3116">
        <v>0.96389999999999998</v>
      </c>
      <c r="D392" s="3116">
        <v>0.91039999999999999</v>
      </c>
      <c r="E392" s="3116">
        <v>0.91039999999999999</v>
      </c>
      <c r="F392" s="3116">
        <v>0.91039999999999999</v>
      </c>
      <c r="G392" s="3116">
        <v>0.91039999999999999</v>
      </c>
      <c r="H392" s="3116">
        <v>0.91039999999999999</v>
      </c>
      <c r="I392" s="3116">
        <v>0.7883</v>
      </c>
      <c r="J392" s="3116">
        <v>0.7883</v>
      </c>
      <c r="K392" s="3116">
        <v>0.7883</v>
      </c>
      <c r="L392" s="3116">
        <v>0.7883</v>
      </c>
      <c r="M392" s="3117">
        <v>0.7883</v>
      </c>
    </row>
    <row r="393" spans="1:13">
      <c r="A393" s="3118">
        <v>3.2</v>
      </c>
      <c r="B393" s="3116">
        <v>0.95930000000000004</v>
      </c>
      <c r="C393" s="3116">
        <v>0.95930000000000004</v>
      </c>
      <c r="D393" s="3116">
        <v>0.9052</v>
      </c>
      <c r="E393" s="3116">
        <v>0.9052</v>
      </c>
      <c r="F393" s="3116">
        <v>0.9052</v>
      </c>
      <c r="G393" s="3116">
        <v>0.9052</v>
      </c>
      <c r="H393" s="3116">
        <v>0.9052</v>
      </c>
      <c r="I393" s="3116">
        <v>0.78090000000000004</v>
      </c>
      <c r="J393" s="3116">
        <v>0.78090000000000004</v>
      </c>
      <c r="K393" s="3116">
        <v>0.78090000000000004</v>
      </c>
      <c r="L393" s="3116">
        <v>0.78090000000000004</v>
      </c>
      <c r="M393" s="3117">
        <v>0.78090000000000004</v>
      </c>
    </row>
    <row r="394" spans="1:13">
      <c r="A394" s="3118">
        <v>3.3</v>
      </c>
      <c r="B394" s="3116">
        <v>0.95489999999999997</v>
      </c>
      <c r="C394" s="3116">
        <v>0.95489999999999997</v>
      </c>
      <c r="D394" s="3116">
        <v>0.9002</v>
      </c>
      <c r="E394" s="3116">
        <v>0.9002</v>
      </c>
      <c r="F394" s="3116">
        <v>0.9002</v>
      </c>
      <c r="G394" s="3116">
        <v>0.9002</v>
      </c>
      <c r="H394" s="3116">
        <v>0.9002</v>
      </c>
      <c r="I394" s="3116">
        <v>0.77410000000000001</v>
      </c>
      <c r="J394" s="3116">
        <v>0.77410000000000001</v>
      </c>
      <c r="K394" s="3116">
        <v>0.77410000000000001</v>
      </c>
      <c r="L394" s="3116">
        <v>0.77410000000000001</v>
      </c>
      <c r="M394" s="3117">
        <v>0.77410000000000001</v>
      </c>
    </row>
    <row r="395" spans="1:13">
      <c r="A395" s="3118">
        <v>3.4</v>
      </c>
      <c r="B395" s="3116">
        <v>0.95089999999999997</v>
      </c>
      <c r="C395" s="3116">
        <v>0.95089999999999997</v>
      </c>
      <c r="D395" s="3116">
        <v>0.89559999999999995</v>
      </c>
      <c r="E395" s="3116">
        <v>0.89559999999999995</v>
      </c>
      <c r="F395" s="3116">
        <v>0.89559999999999995</v>
      </c>
      <c r="G395" s="3116">
        <v>0.89559999999999995</v>
      </c>
      <c r="H395" s="3116">
        <v>0.89559999999999995</v>
      </c>
      <c r="I395" s="3116">
        <v>0.76759999999999995</v>
      </c>
      <c r="J395" s="3116">
        <v>0.76759999999999995</v>
      </c>
      <c r="K395" s="3116">
        <v>0.76759999999999995</v>
      </c>
      <c r="L395" s="3116">
        <v>0.76759999999999995</v>
      </c>
      <c r="M395" s="3117">
        <v>0.76759999999999995</v>
      </c>
    </row>
    <row r="396" spans="1:13">
      <c r="A396" s="3118">
        <v>3.5</v>
      </c>
      <c r="B396" s="3116">
        <v>0.94710000000000005</v>
      </c>
      <c r="C396" s="3116">
        <v>0.94710000000000005</v>
      </c>
      <c r="D396" s="3116">
        <v>0.89129999999999998</v>
      </c>
      <c r="E396" s="3116">
        <v>0.89129999999999998</v>
      </c>
      <c r="F396" s="3116">
        <v>0.89129999999999998</v>
      </c>
      <c r="G396" s="3116">
        <v>0.89129999999999998</v>
      </c>
      <c r="H396" s="3116">
        <v>0.89129999999999998</v>
      </c>
      <c r="I396" s="3116">
        <v>0.76160000000000005</v>
      </c>
      <c r="J396" s="3116">
        <v>0.76160000000000005</v>
      </c>
      <c r="K396" s="3116">
        <v>0.76160000000000005</v>
      </c>
      <c r="L396" s="3116">
        <v>0.76160000000000005</v>
      </c>
      <c r="M396" s="3117">
        <v>0.76160000000000005</v>
      </c>
    </row>
    <row r="397" spans="1:13">
      <c r="A397" s="3118">
        <v>3.6</v>
      </c>
      <c r="B397" s="3116">
        <v>0.94359999999999999</v>
      </c>
      <c r="C397" s="3116">
        <v>0.94359999999999999</v>
      </c>
      <c r="D397" s="3116">
        <v>0.88729999999999998</v>
      </c>
      <c r="E397" s="3116">
        <v>0.88729999999999998</v>
      </c>
      <c r="F397" s="3116">
        <v>0.88729999999999998</v>
      </c>
      <c r="G397" s="3116">
        <v>0.88729999999999998</v>
      </c>
      <c r="H397" s="3116">
        <v>0.88729999999999998</v>
      </c>
      <c r="I397" s="3116">
        <v>0.75590000000000002</v>
      </c>
      <c r="J397" s="3116">
        <v>0.75590000000000002</v>
      </c>
      <c r="K397" s="3116">
        <v>0.75590000000000002</v>
      </c>
      <c r="L397" s="3116">
        <v>0.75590000000000002</v>
      </c>
      <c r="M397" s="3117">
        <v>0.75590000000000002</v>
      </c>
    </row>
    <row r="398" spans="1:13">
      <c r="A398" s="3118">
        <v>3.7</v>
      </c>
      <c r="B398" s="3116">
        <v>0.94040000000000001</v>
      </c>
      <c r="C398" s="3116">
        <v>0.94040000000000001</v>
      </c>
      <c r="D398" s="3116">
        <v>0.88349999999999995</v>
      </c>
      <c r="E398" s="3116">
        <v>0.88349999999999995</v>
      </c>
      <c r="F398" s="3116">
        <v>0.88349999999999995</v>
      </c>
      <c r="G398" s="3116">
        <v>0.88349999999999995</v>
      </c>
      <c r="H398" s="3116">
        <v>0.88349999999999995</v>
      </c>
      <c r="I398" s="3116">
        <v>0.75070000000000003</v>
      </c>
      <c r="J398" s="3116">
        <v>0.75070000000000003</v>
      </c>
      <c r="K398" s="3116">
        <v>0.75070000000000003</v>
      </c>
      <c r="L398" s="3116">
        <v>0.75070000000000003</v>
      </c>
      <c r="M398" s="3117">
        <v>0.75070000000000003</v>
      </c>
    </row>
    <row r="399" spans="1:13">
      <c r="A399" s="3118">
        <v>3.8</v>
      </c>
      <c r="B399" s="3116">
        <v>0.93740000000000001</v>
      </c>
      <c r="C399" s="3116">
        <v>0.93740000000000001</v>
      </c>
      <c r="D399" s="3116">
        <v>0.88009999999999999</v>
      </c>
      <c r="E399" s="3116">
        <v>0.88009999999999999</v>
      </c>
      <c r="F399" s="3116">
        <v>0.88009999999999999</v>
      </c>
      <c r="G399" s="3116">
        <v>0.88009999999999999</v>
      </c>
      <c r="H399" s="3116">
        <v>0.88009999999999999</v>
      </c>
      <c r="I399" s="3116">
        <v>0.74570000000000003</v>
      </c>
      <c r="J399" s="3116">
        <v>0.74570000000000003</v>
      </c>
      <c r="K399" s="3116">
        <v>0.74570000000000003</v>
      </c>
      <c r="L399" s="3116">
        <v>0.74570000000000003</v>
      </c>
      <c r="M399" s="3117">
        <v>0.74570000000000003</v>
      </c>
    </row>
    <row r="400" spans="1:13">
      <c r="A400" s="3118">
        <v>3.9</v>
      </c>
      <c r="B400" s="3116">
        <v>0.93459999999999999</v>
      </c>
      <c r="C400" s="3116">
        <v>0.93459999999999999</v>
      </c>
      <c r="D400" s="3116">
        <v>0.87680000000000002</v>
      </c>
      <c r="E400" s="3116">
        <v>0.87680000000000002</v>
      </c>
      <c r="F400" s="3116">
        <v>0.87680000000000002</v>
      </c>
      <c r="G400" s="3116">
        <v>0.87680000000000002</v>
      </c>
      <c r="H400" s="3116">
        <v>0.87680000000000002</v>
      </c>
      <c r="I400" s="3116">
        <v>0.74109999999999998</v>
      </c>
      <c r="J400" s="3116">
        <v>0.74109999999999998</v>
      </c>
      <c r="K400" s="3116">
        <v>0.74109999999999998</v>
      </c>
      <c r="L400" s="3116">
        <v>0.74109999999999998</v>
      </c>
      <c r="M400" s="3117">
        <v>0.74109999999999998</v>
      </c>
    </row>
    <row r="401" spans="1:13">
      <c r="A401" s="3118">
        <v>4</v>
      </c>
      <c r="B401" s="3116">
        <v>0.93179999999999996</v>
      </c>
      <c r="C401" s="3116">
        <v>0.93179999999999996</v>
      </c>
      <c r="D401" s="3116">
        <v>0.87380000000000002</v>
      </c>
      <c r="E401" s="3116">
        <v>0.87380000000000002</v>
      </c>
      <c r="F401" s="3116">
        <v>0.87380000000000002</v>
      </c>
      <c r="G401" s="3116">
        <v>0.87380000000000002</v>
      </c>
      <c r="H401" s="3116">
        <v>0.87380000000000002</v>
      </c>
      <c r="I401" s="3116">
        <v>0.73680000000000001</v>
      </c>
      <c r="J401" s="3116">
        <v>0.73680000000000001</v>
      </c>
      <c r="K401" s="3116">
        <v>0.73680000000000001</v>
      </c>
      <c r="L401" s="3116">
        <v>0.73680000000000001</v>
      </c>
      <c r="M401" s="3117">
        <v>0.73680000000000001</v>
      </c>
    </row>
    <row r="402" spans="1:13">
      <c r="A402" s="3118">
        <v>4.0999999999999996</v>
      </c>
      <c r="B402" s="3116">
        <v>0.92920000000000003</v>
      </c>
      <c r="C402" s="3116">
        <v>0.92920000000000003</v>
      </c>
      <c r="D402" s="3116">
        <v>0.87090000000000001</v>
      </c>
      <c r="E402" s="3116">
        <v>0.87090000000000001</v>
      </c>
      <c r="F402" s="3116">
        <v>0.87090000000000001</v>
      </c>
      <c r="G402" s="3116">
        <v>0.87090000000000001</v>
      </c>
      <c r="H402" s="3116">
        <v>0.87090000000000001</v>
      </c>
      <c r="I402" s="3116">
        <v>0.73270000000000002</v>
      </c>
      <c r="J402" s="3116">
        <v>0.73270000000000002</v>
      </c>
      <c r="K402" s="3116">
        <v>0.73270000000000002</v>
      </c>
      <c r="L402" s="3116">
        <v>0.73270000000000002</v>
      </c>
      <c r="M402" s="3117">
        <v>0.73270000000000002</v>
      </c>
    </row>
    <row r="403" spans="1:13">
      <c r="A403" s="3118">
        <v>4.2</v>
      </c>
      <c r="B403" s="3116">
        <v>0.92659999999999998</v>
      </c>
      <c r="C403" s="3116">
        <v>0.92659999999999998</v>
      </c>
      <c r="D403" s="3116">
        <v>0.86819999999999997</v>
      </c>
      <c r="E403" s="3116">
        <v>0.86819999999999997</v>
      </c>
      <c r="F403" s="3116">
        <v>0.86819999999999997</v>
      </c>
      <c r="G403" s="3116">
        <v>0.86819999999999997</v>
      </c>
      <c r="H403" s="3116">
        <v>0.86819999999999997</v>
      </c>
      <c r="I403" s="3116">
        <v>0.7288</v>
      </c>
      <c r="J403" s="3116">
        <v>0.7288</v>
      </c>
      <c r="K403" s="3116">
        <v>0.7288</v>
      </c>
      <c r="L403" s="3116">
        <v>0.7288</v>
      </c>
      <c r="M403" s="3117">
        <v>0.7288</v>
      </c>
    </row>
    <row r="404" spans="1:13">
      <c r="A404" s="3118">
        <v>4.3</v>
      </c>
      <c r="B404" s="3116">
        <v>0.92410000000000003</v>
      </c>
      <c r="C404" s="3116">
        <v>0.92410000000000003</v>
      </c>
      <c r="D404" s="3116">
        <v>0.86550000000000005</v>
      </c>
      <c r="E404" s="3116">
        <v>0.86550000000000005</v>
      </c>
      <c r="F404" s="3116">
        <v>0.86550000000000005</v>
      </c>
      <c r="G404" s="3116">
        <v>0.86550000000000005</v>
      </c>
      <c r="H404" s="3116">
        <v>0.86550000000000005</v>
      </c>
      <c r="I404" s="3116">
        <v>0.72509999999999997</v>
      </c>
      <c r="J404" s="3116">
        <v>0.72509999999999997</v>
      </c>
      <c r="K404" s="3116">
        <v>0.72509999999999997</v>
      </c>
      <c r="L404" s="3116">
        <v>0.72509999999999997</v>
      </c>
      <c r="M404" s="3117">
        <v>0.72509999999999997</v>
      </c>
    </row>
    <row r="405" spans="1:13">
      <c r="A405" s="3118">
        <v>4.4000000000000004</v>
      </c>
      <c r="B405" s="3116">
        <v>0.92179999999999995</v>
      </c>
      <c r="C405" s="3116">
        <v>0.92179999999999995</v>
      </c>
      <c r="D405" s="3116">
        <v>0.8629</v>
      </c>
      <c r="E405" s="3116">
        <v>0.8629</v>
      </c>
      <c r="F405" s="3116">
        <v>0.8629</v>
      </c>
      <c r="G405" s="3116">
        <v>0.8629</v>
      </c>
      <c r="H405" s="3116">
        <v>0.8629</v>
      </c>
      <c r="I405" s="3116">
        <v>0.72150000000000003</v>
      </c>
      <c r="J405" s="3116">
        <v>0.72150000000000003</v>
      </c>
      <c r="K405" s="3116">
        <v>0.72150000000000003</v>
      </c>
      <c r="L405" s="3116">
        <v>0.72150000000000003</v>
      </c>
      <c r="M405" s="3117">
        <v>0.72150000000000003</v>
      </c>
    </row>
    <row r="406" spans="1:13">
      <c r="A406" s="3118">
        <v>4.5</v>
      </c>
      <c r="B406" s="3116">
        <v>0.91949999999999998</v>
      </c>
      <c r="C406" s="3116">
        <v>0.91949999999999998</v>
      </c>
      <c r="D406" s="3116">
        <v>0.86050000000000004</v>
      </c>
      <c r="E406" s="3116">
        <v>0.86050000000000004</v>
      </c>
      <c r="F406" s="3116">
        <v>0.86050000000000004</v>
      </c>
      <c r="G406" s="3116">
        <v>0.86050000000000004</v>
      </c>
      <c r="H406" s="3116">
        <v>0.86050000000000004</v>
      </c>
      <c r="I406" s="3116">
        <v>0.71819999999999995</v>
      </c>
      <c r="J406" s="3116">
        <v>0.71819999999999995</v>
      </c>
      <c r="K406" s="3116">
        <v>0.71819999999999995</v>
      </c>
      <c r="L406" s="3116">
        <v>0.71819999999999995</v>
      </c>
      <c r="M406" s="3117">
        <v>0.71819999999999995</v>
      </c>
    </row>
    <row r="407" spans="1:13">
      <c r="A407" s="3118">
        <v>4.5999999999999996</v>
      </c>
      <c r="B407" s="3116">
        <v>0.9173</v>
      </c>
      <c r="C407" s="3116">
        <v>0.9173</v>
      </c>
      <c r="D407" s="3116">
        <v>0.85809999999999997</v>
      </c>
      <c r="E407" s="3116">
        <v>0.85809999999999997</v>
      </c>
      <c r="F407" s="3116">
        <v>0.85809999999999997</v>
      </c>
      <c r="G407" s="3116">
        <v>0.85809999999999997</v>
      </c>
      <c r="H407" s="3116">
        <v>0.85809999999999997</v>
      </c>
      <c r="I407" s="3116">
        <v>0.71499999999999997</v>
      </c>
      <c r="J407" s="3116">
        <v>0.71499999999999997</v>
      </c>
      <c r="K407" s="3116">
        <v>0.71499999999999997</v>
      </c>
      <c r="L407" s="3116">
        <v>0.71499999999999997</v>
      </c>
      <c r="M407" s="3117">
        <v>0.71499999999999997</v>
      </c>
    </row>
    <row r="408" spans="1:13">
      <c r="A408" s="3118">
        <v>4.7</v>
      </c>
      <c r="B408" s="3116">
        <v>0.91520000000000001</v>
      </c>
      <c r="C408" s="3116">
        <v>0.91520000000000001</v>
      </c>
      <c r="D408" s="3116">
        <v>0.85570000000000002</v>
      </c>
      <c r="E408" s="3116">
        <v>0.85570000000000002</v>
      </c>
      <c r="F408" s="3116">
        <v>0.85570000000000002</v>
      </c>
      <c r="G408" s="3116">
        <v>0.85570000000000002</v>
      </c>
      <c r="H408" s="3116">
        <v>0.85570000000000002</v>
      </c>
      <c r="I408" s="3116">
        <v>0.71199999999999997</v>
      </c>
      <c r="J408" s="3116">
        <v>0.71199999999999997</v>
      </c>
      <c r="K408" s="3116">
        <v>0.71199999999999997</v>
      </c>
      <c r="L408" s="3116">
        <v>0.71199999999999997</v>
      </c>
      <c r="M408" s="3117">
        <v>0.71199999999999997</v>
      </c>
    </row>
    <row r="409" spans="1:13">
      <c r="A409" s="3118">
        <v>4.8</v>
      </c>
      <c r="B409" s="3116">
        <v>0.91310000000000002</v>
      </c>
      <c r="C409" s="3116">
        <v>0.91310000000000002</v>
      </c>
      <c r="D409" s="3116">
        <v>0.85340000000000005</v>
      </c>
      <c r="E409" s="3116">
        <v>0.85340000000000005</v>
      </c>
      <c r="F409" s="3116">
        <v>0.85340000000000005</v>
      </c>
      <c r="G409" s="3116">
        <v>0.85340000000000005</v>
      </c>
      <c r="H409" s="3116">
        <v>0.85340000000000005</v>
      </c>
      <c r="I409" s="3116">
        <v>0.70909999999999995</v>
      </c>
      <c r="J409" s="3116">
        <v>0.70909999999999995</v>
      </c>
      <c r="K409" s="3116">
        <v>0.70909999999999995</v>
      </c>
      <c r="L409" s="3116">
        <v>0.70909999999999995</v>
      </c>
      <c r="M409" s="3117">
        <v>0.70909999999999995</v>
      </c>
    </row>
    <row r="410" spans="1:13">
      <c r="A410" s="3118">
        <v>4.9000000000000004</v>
      </c>
      <c r="B410" s="3116">
        <v>0.91120000000000001</v>
      </c>
      <c r="C410" s="3116">
        <v>0.91120000000000001</v>
      </c>
      <c r="D410" s="3116">
        <v>0.85109999999999997</v>
      </c>
      <c r="E410" s="3116">
        <v>0.85109999999999997</v>
      </c>
      <c r="F410" s="3116">
        <v>0.85109999999999997</v>
      </c>
      <c r="G410" s="3116">
        <v>0.85109999999999997</v>
      </c>
      <c r="H410" s="3116">
        <v>0.85109999999999997</v>
      </c>
      <c r="I410" s="3116">
        <v>0.70620000000000005</v>
      </c>
      <c r="J410" s="3116">
        <v>0.70620000000000005</v>
      </c>
      <c r="K410" s="3116">
        <v>0.70620000000000005</v>
      </c>
      <c r="L410" s="3116">
        <v>0.70620000000000005</v>
      </c>
      <c r="M410" s="3117">
        <v>0.70620000000000005</v>
      </c>
    </row>
    <row r="411" spans="1:13">
      <c r="A411" s="3118">
        <v>5</v>
      </c>
      <c r="B411" s="3116">
        <v>0.90920000000000001</v>
      </c>
      <c r="C411" s="3116">
        <v>0.90920000000000001</v>
      </c>
      <c r="D411" s="3116">
        <v>0.84889999999999999</v>
      </c>
      <c r="E411" s="3116">
        <v>0.84889999999999999</v>
      </c>
      <c r="F411" s="3116">
        <v>0.84889999999999999</v>
      </c>
      <c r="G411" s="3116">
        <v>0.84889999999999999</v>
      </c>
      <c r="H411" s="3116">
        <v>0.84889999999999999</v>
      </c>
      <c r="I411" s="3116">
        <v>0.70350000000000001</v>
      </c>
      <c r="J411" s="3116">
        <v>0.70350000000000001</v>
      </c>
      <c r="K411" s="3116">
        <v>0.70350000000000001</v>
      </c>
      <c r="L411" s="3116">
        <v>0.70350000000000001</v>
      </c>
      <c r="M411" s="3117">
        <v>0.70350000000000001</v>
      </c>
    </row>
    <row r="412" spans="1:13">
      <c r="A412" s="3115">
        <v>5.0999999999999996</v>
      </c>
      <c r="B412" s="3116">
        <v>0.90720000000000001</v>
      </c>
      <c r="C412" s="3116">
        <v>0.90720000000000001</v>
      </c>
      <c r="D412" s="3116">
        <v>0.84670000000000001</v>
      </c>
      <c r="E412" s="3116">
        <v>0.84670000000000001</v>
      </c>
      <c r="F412" s="3116">
        <v>0.84670000000000001</v>
      </c>
      <c r="G412" s="3116">
        <v>0.84670000000000001</v>
      </c>
      <c r="H412" s="3116">
        <v>0.84670000000000001</v>
      </c>
      <c r="I412" s="3116">
        <v>0.70089999999999997</v>
      </c>
      <c r="J412" s="3116">
        <v>0.70089999999999997</v>
      </c>
      <c r="K412" s="3116">
        <v>0.70089999999999997</v>
      </c>
      <c r="L412" s="3116">
        <v>0.70089999999999997</v>
      </c>
      <c r="M412" s="3117">
        <v>0.70089999999999997</v>
      </c>
    </row>
    <row r="413" spans="1:13">
      <c r="A413" s="3115">
        <v>5.2</v>
      </c>
      <c r="B413" s="3116">
        <v>0.90529999999999999</v>
      </c>
      <c r="C413" s="3116">
        <v>0.90529999999999999</v>
      </c>
      <c r="D413" s="3116">
        <v>0.84450000000000003</v>
      </c>
      <c r="E413" s="3116">
        <v>0.84450000000000003</v>
      </c>
      <c r="F413" s="3116">
        <v>0.84450000000000003</v>
      </c>
      <c r="G413" s="3116">
        <v>0.84450000000000003</v>
      </c>
      <c r="H413" s="3116">
        <v>0.84450000000000003</v>
      </c>
      <c r="I413" s="3116">
        <v>0.69820000000000004</v>
      </c>
      <c r="J413" s="3116">
        <v>0.69820000000000004</v>
      </c>
      <c r="K413" s="3116">
        <v>0.69820000000000004</v>
      </c>
      <c r="L413" s="3116">
        <v>0.69820000000000004</v>
      </c>
      <c r="M413" s="3117">
        <v>0.69820000000000004</v>
      </c>
    </row>
    <row r="414" spans="1:13">
      <c r="A414" s="3115">
        <v>5.3</v>
      </c>
      <c r="B414" s="3116">
        <v>0.90339999999999998</v>
      </c>
      <c r="C414" s="3116">
        <v>0.90339999999999998</v>
      </c>
      <c r="D414" s="3116">
        <v>0.84230000000000005</v>
      </c>
      <c r="E414" s="3116">
        <v>0.84230000000000005</v>
      </c>
      <c r="F414" s="3116">
        <v>0.84230000000000005</v>
      </c>
      <c r="G414" s="3116">
        <v>0.84230000000000005</v>
      </c>
      <c r="H414" s="3116">
        <v>0.84230000000000005</v>
      </c>
      <c r="I414" s="3116">
        <v>0.69569999999999999</v>
      </c>
      <c r="J414" s="3116">
        <v>0.69569999999999999</v>
      </c>
      <c r="K414" s="3116">
        <v>0.69569999999999999</v>
      </c>
      <c r="L414" s="3116">
        <v>0.69569999999999999</v>
      </c>
      <c r="M414" s="3117">
        <v>0.69569999999999999</v>
      </c>
    </row>
    <row r="415" spans="1:13">
      <c r="A415" s="3115">
        <v>5.4</v>
      </c>
      <c r="B415" s="3116">
        <v>0.90149999999999997</v>
      </c>
      <c r="C415" s="3116">
        <v>0.90149999999999997</v>
      </c>
      <c r="D415" s="3116">
        <v>0.84019999999999995</v>
      </c>
      <c r="E415" s="3116">
        <v>0.84019999999999995</v>
      </c>
      <c r="F415" s="3116">
        <v>0.84019999999999995</v>
      </c>
      <c r="G415" s="3116">
        <v>0.84019999999999995</v>
      </c>
      <c r="H415" s="3116">
        <v>0.84019999999999995</v>
      </c>
      <c r="I415" s="3116">
        <v>0.69310000000000005</v>
      </c>
      <c r="J415" s="3116">
        <v>0.69310000000000005</v>
      </c>
      <c r="K415" s="3116">
        <v>0.69310000000000005</v>
      </c>
      <c r="L415" s="3116">
        <v>0.69310000000000005</v>
      </c>
      <c r="M415" s="3117">
        <v>0.69310000000000005</v>
      </c>
    </row>
    <row r="416" spans="1:13">
      <c r="A416" s="3115">
        <v>5.5</v>
      </c>
      <c r="B416" s="3116">
        <v>0.89959999999999996</v>
      </c>
      <c r="C416" s="3116">
        <v>0.89959999999999996</v>
      </c>
      <c r="D416" s="3116">
        <v>0.83809999999999996</v>
      </c>
      <c r="E416" s="3116">
        <v>0.83809999999999996</v>
      </c>
      <c r="F416" s="3116">
        <v>0.83809999999999996</v>
      </c>
      <c r="G416" s="3116">
        <v>0.83809999999999996</v>
      </c>
      <c r="H416" s="3116">
        <v>0.83809999999999996</v>
      </c>
      <c r="I416" s="3116">
        <v>0.69059999999999999</v>
      </c>
      <c r="J416" s="3116">
        <v>0.69059999999999999</v>
      </c>
      <c r="K416" s="3116">
        <v>0.69059999999999999</v>
      </c>
      <c r="L416" s="3116">
        <v>0.69059999999999999</v>
      </c>
      <c r="M416" s="3117">
        <v>0.69059999999999999</v>
      </c>
    </row>
    <row r="417" spans="1:13">
      <c r="A417" s="3115">
        <v>5.6</v>
      </c>
      <c r="B417" s="3116">
        <v>0.89780000000000004</v>
      </c>
      <c r="C417" s="3116">
        <v>0.89780000000000004</v>
      </c>
      <c r="D417" s="3116">
        <v>0.83599999999999997</v>
      </c>
      <c r="E417" s="3116">
        <v>0.83599999999999997</v>
      </c>
      <c r="F417" s="3116">
        <v>0.83599999999999997</v>
      </c>
      <c r="G417" s="3116">
        <v>0.83599999999999997</v>
      </c>
      <c r="H417" s="3116">
        <v>0.83599999999999997</v>
      </c>
      <c r="I417" s="3116">
        <v>0.68810000000000004</v>
      </c>
      <c r="J417" s="3116">
        <v>0.68810000000000004</v>
      </c>
      <c r="K417" s="3116">
        <v>0.68810000000000004</v>
      </c>
      <c r="L417" s="3116">
        <v>0.68810000000000004</v>
      </c>
      <c r="M417" s="3117">
        <v>0.68810000000000004</v>
      </c>
    </row>
    <row r="418" spans="1:13">
      <c r="A418" s="3118">
        <v>5.7</v>
      </c>
      <c r="B418" s="3116">
        <v>0.89600000000000002</v>
      </c>
      <c r="C418" s="3116">
        <v>0.89600000000000002</v>
      </c>
      <c r="D418" s="3116">
        <v>0.83389999999999997</v>
      </c>
      <c r="E418" s="3116">
        <v>0.83389999999999997</v>
      </c>
      <c r="F418" s="3116">
        <v>0.83389999999999997</v>
      </c>
      <c r="G418" s="3116">
        <v>0.83389999999999997</v>
      </c>
      <c r="H418" s="3116">
        <v>0.83389999999999997</v>
      </c>
      <c r="I418" s="3116">
        <v>0.68569999999999998</v>
      </c>
      <c r="J418" s="3116">
        <v>0.68569999999999998</v>
      </c>
      <c r="K418" s="3116">
        <v>0.68569999999999998</v>
      </c>
      <c r="L418" s="3116">
        <v>0.68569999999999998</v>
      </c>
      <c r="M418" s="3117">
        <v>0.68569999999999998</v>
      </c>
    </row>
    <row r="419" spans="1:13">
      <c r="A419" s="3115">
        <v>5.8</v>
      </c>
      <c r="B419" s="3116">
        <v>0.89419999999999999</v>
      </c>
      <c r="C419" s="3116">
        <v>0.89419999999999999</v>
      </c>
      <c r="D419" s="3116">
        <v>0.83189999999999997</v>
      </c>
      <c r="E419" s="3116">
        <v>0.83189999999999997</v>
      </c>
      <c r="F419" s="3116">
        <v>0.83189999999999997</v>
      </c>
      <c r="G419" s="3116">
        <v>0.83189999999999997</v>
      </c>
      <c r="H419" s="3116">
        <v>0.83189999999999997</v>
      </c>
      <c r="I419" s="3116">
        <v>0.68320000000000003</v>
      </c>
      <c r="J419" s="3116">
        <v>0.68320000000000003</v>
      </c>
      <c r="K419" s="3116">
        <v>0.68320000000000003</v>
      </c>
      <c r="L419" s="3116">
        <v>0.68320000000000003</v>
      </c>
      <c r="M419" s="3117">
        <v>0.68320000000000003</v>
      </c>
    </row>
    <row r="420" spans="1:13">
      <c r="A420" s="3115">
        <v>5.9</v>
      </c>
      <c r="B420" s="3116">
        <v>0.89239999999999997</v>
      </c>
      <c r="C420" s="3116">
        <v>0.89239999999999997</v>
      </c>
      <c r="D420" s="3116">
        <v>0.82989999999999997</v>
      </c>
      <c r="E420" s="3116">
        <v>0.82989999999999997</v>
      </c>
      <c r="F420" s="3116">
        <v>0.82989999999999997</v>
      </c>
      <c r="G420" s="3116">
        <v>0.82989999999999997</v>
      </c>
      <c r="H420" s="3116">
        <v>0.82989999999999997</v>
      </c>
      <c r="I420" s="3116">
        <v>0.68069999999999997</v>
      </c>
      <c r="J420" s="3116">
        <v>0.68069999999999997</v>
      </c>
      <c r="K420" s="3116">
        <v>0.68069999999999997</v>
      </c>
      <c r="L420" s="3116">
        <v>0.68069999999999997</v>
      </c>
      <c r="M420" s="3117">
        <v>0.68069999999999997</v>
      </c>
    </row>
    <row r="421" spans="1:13">
      <c r="A421" s="3115">
        <v>6</v>
      </c>
      <c r="B421" s="3116">
        <v>0.89070000000000005</v>
      </c>
      <c r="C421" s="3116">
        <v>0.89070000000000005</v>
      </c>
      <c r="D421" s="3116">
        <v>0.82789999999999997</v>
      </c>
      <c r="E421" s="3116">
        <v>0.82789999999999997</v>
      </c>
      <c r="F421" s="3116">
        <v>0.82789999999999997</v>
      </c>
      <c r="G421" s="3116">
        <v>0.82789999999999997</v>
      </c>
      <c r="H421" s="3116">
        <v>0.82789999999999997</v>
      </c>
      <c r="I421" s="3116">
        <v>0.6784</v>
      </c>
      <c r="J421" s="3116">
        <v>0.6784</v>
      </c>
      <c r="K421" s="3116">
        <v>0.6784</v>
      </c>
      <c r="L421" s="3116">
        <v>0.6784</v>
      </c>
      <c r="M421" s="3117">
        <v>0.6784</v>
      </c>
    </row>
    <row r="422" spans="1:13">
      <c r="A422" s="3115">
        <v>6.1</v>
      </c>
      <c r="B422" s="3116">
        <v>0.88900000000000001</v>
      </c>
      <c r="C422" s="3116">
        <v>0.88900000000000001</v>
      </c>
      <c r="D422" s="3116">
        <v>0.82589999999999997</v>
      </c>
      <c r="E422" s="3116">
        <v>0.82589999999999997</v>
      </c>
      <c r="F422" s="3116">
        <v>0.82589999999999997</v>
      </c>
      <c r="G422" s="3116">
        <v>0.82589999999999997</v>
      </c>
      <c r="H422" s="3116">
        <v>0.82589999999999997</v>
      </c>
      <c r="I422" s="3116">
        <v>0.67600000000000005</v>
      </c>
      <c r="J422" s="3116">
        <v>0.67600000000000005</v>
      </c>
      <c r="K422" s="3116">
        <v>0.67600000000000005</v>
      </c>
      <c r="L422" s="3116">
        <v>0.67600000000000005</v>
      </c>
      <c r="M422" s="3117">
        <v>0.67600000000000005</v>
      </c>
    </row>
    <row r="423" spans="1:13">
      <c r="A423" s="3115">
        <v>6.2</v>
      </c>
      <c r="B423" s="3116">
        <v>0.88729999999999998</v>
      </c>
      <c r="C423" s="3116">
        <v>0.88729999999999998</v>
      </c>
      <c r="D423" s="3116">
        <v>0.82389999999999997</v>
      </c>
      <c r="E423" s="3116">
        <v>0.82389999999999997</v>
      </c>
      <c r="F423" s="3116">
        <v>0.82389999999999997</v>
      </c>
      <c r="G423" s="3116">
        <v>0.82389999999999997</v>
      </c>
      <c r="H423" s="3116">
        <v>0.82389999999999997</v>
      </c>
      <c r="I423" s="3116">
        <v>0.67359999999999998</v>
      </c>
      <c r="J423" s="3116">
        <v>0.67359999999999998</v>
      </c>
      <c r="K423" s="3116">
        <v>0.67359999999999998</v>
      </c>
      <c r="L423" s="3116">
        <v>0.67359999999999998</v>
      </c>
      <c r="M423" s="3117">
        <v>0.67359999999999998</v>
      </c>
    </row>
    <row r="424" spans="1:13">
      <c r="A424" s="3115">
        <v>6.3</v>
      </c>
      <c r="B424" s="3116">
        <v>0.88560000000000005</v>
      </c>
      <c r="C424" s="3116">
        <v>0.88560000000000005</v>
      </c>
      <c r="D424" s="3116">
        <v>0.82189999999999996</v>
      </c>
      <c r="E424" s="3116">
        <v>0.82189999999999996</v>
      </c>
      <c r="F424" s="3116">
        <v>0.82189999999999996</v>
      </c>
      <c r="G424" s="3116">
        <v>0.82189999999999996</v>
      </c>
      <c r="H424" s="3116">
        <v>0.82189999999999996</v>
      </c>
      <c r="I424" s="3116">
        <v>0.67130000000000001</v>
      </c>
      <c r="J424" s="3116">
        <v>0.67130000000000001</v>
      </c>
      <c r="K424" s="3116">
        <v>0.67130000000000001</v>
      </c>
      <c r="L424" s="3116">
        <v>0.67130000000000001</v>
      </c>
      <c r="M424" s="3117">
        <v>0.67130000000000001</v>
      </c>
    </row>
    <row r="425" spans="1:13">
      <c r="A425" s="3115">
        <v>6.4</v>
      </c>
      <c r="B425" s="3116">
        <v>0.88390000000000002</v>
      </c>
      <c r="C425" s="3116">
        <v>0.88390000000000002</v>
      </c>
      <c r="D425" s="3116">
        <v>0.82</v>
      </c>
      <c r="E425" s="3116">
        <v>0.82</v>
      </c>
      <c r="F425" s="3116">
        <v>0.82</v>
      </c>
      <c r="G425" s="3116">
        <v>0.82</v>
      </c>
      <c r="H425" s="3116">
        <v>0.82</v>
      </c>
      <c r="I425" s="3116">
        <v>0.66890000000000005</v>
      </c>
      <c r="J425" s="3116">
        <v>0.66890000000000005</v>
      </c>
      <c r="K425" s="3116">
        <v>0.66890000000000005</v>
      </c>
      <c r="L425" s="3116">
        <v>0.66890000000000005</v>
      </c>
      <c r="M425" s="3117">
        <v>0.66890000000000005</v>
      </c>
    </row>
    <row r="426" spans="1:13">
      <c r="A426" s="3115">
        <v>6.5</v>
      </c>
      <c r="B426" s="3116">
        <v>0.88229999999999997</v>
      </c>
      <c r="C426" s="3116">
        <v>0.88229999999999997</v>
      </c>
      <c r="D426" s="3116">
        <v>0.81810000000000005</v>
      </c>
      <c r="E426" s="3116">
        <v>0.81810000000000005</v>
      </c>
      <c r="F426" s="3116">
        <v>0.81810000000000005</v>
      </c>
      <c r="G426" s="3116">
        <v>0.81810000000000005</v>
      </c>
      <c r="H426" s="3116">
        <v>0.81810000000000005</v>
      </c>
      <c r="I426" s="3116">
        <v>0.66659999999999997</v>
      </c>
      <c r="J426" s="3116">
        <v>0.66659999999999997</v>
      </c>
      <c r="K426" s="3116">
        <v>0.66659999999999997</v>
      </c>
      <c r="L426" s="3116">
        <v>0.66659999999999997</v>
      </c>
      <c r="M426" s="3117">
        <v>0.66659999999999997</v>
      </c>
    </row>
    <row r="427" spans="1:13">
      <c r="A427" s="3115">
        <v>6.6</v>
      </c>
      <c r="B427" s="3116">
        <v>0.88070000000000004</v>
      </c>
      <c r="C427" s="3116">
        <v>0.88070000000000004</v>
      </c>
      <c r="D427" s="3116">
        <v>0.81620000000000004</v>
      </c>
      <c r="E427" s="3116">
        <v>0.81620000000000004</v>
      </c>
      <c r="F427" s="3116">
        <v>0.81620000000000004</v>
      </c>
      <c r="G427" s="3116">
        <v>0.81620000000000004</v>
      </c>
      <c r="H427" s="3116">
        <v>0.81620000000000004</v>
      </c>
      <c r="I427" s="3116">
        <v>0.66439999999999999</v>
      </c>
      <c r="J427" s="3116">
        <v>0.66439999999999999</v>
      </c>
      <c r="K427" s="3116">
        <v>0.66439999999999999</v>
      </c>
      <c r="L427" s="3116">
        <v>0.66439999999999999</v>
      </c>
      <c r="M427" s="3117">
        <v>0.66439999999999999</v>
      </c>
    </row>
    <row r="428" spans="1:13">
      <c r="A428" s="3115">
        <v>6.7</v>
      </c>
      <c r="B428" s="3116">
        <v>0.879</v>
      </c>
      <c r="C428" s="3116">
        <v>0.879</v>
      </c>
      <c r="D428" s="3116">
        <v>0.81430000000000002</v>
      </c>
      <c r="E428" s="3116">
        <v>0.81430000000000002</v>
      </c>
      <c r="F428" s="3116">
        <v>0.81430000000000002</v>
      </c>
      <c r="G428" s="3116">
        <v>0.81430000000000002</v>
      </c>
      <c r="H428" s="3116">
        <v>0.81430000000000002</v>
      </c>
      <c r="I428" s="3116">
        <v>0.66210000000000002</v>
      </c>
      <c r="J428" s="3116">
        <v>0.66210000000000002</v>
      </c>
      <c r="K428" s="3116">
        <v>0.66210000000000002</v>
      </c>
      <c r="L428" s="3116">
        <v>0.66210000000000002</v>
      </c>
      <c r="M428" s="3117">
        <v>0.66210000000000002</v>
      </c>
    </row>
    <row r="429" spans="1:13">
      <c r="A429" s="3115">
        <v>6.8</v>
      </c>
      <c r="B429" s="3116">
        <v>0.87739999999999996</v>
      </c>
      <c r="C429" s="3116">
        <v>0.87739999999999996</v>
      </c>
      <c r="D429" s="3116">
        <v>0.81240000000000001</v>
      </c>
      <c r="E429" s="3116">
        <v>0.81240000000000001</v>
      </c>
      <c r="F429" s="3116">
        <v>0.81240000000000001</v>
      </c>
      <c r="G429" s="3116">
        <v>0.81240000000000001</v>
      </c>
      <c r="H429" s="3116">
        <v>0.81240000000000001</v>
      </c>
      <c r="I429" s="3116">
        <v>0.65980000000000005</v>
      </c>
      <c r="J429" s="3116">
        <v>0.65980000000000005</v>
      </c>
      <c r="K429" s="3116">
        <v>0.65980000000000005</v>
      </c>
      <c r="L429" s="3116">
        <v>0.65980000000000005</v>
      </c>
      <c r="M429" s="3117">
        <v>0.65980000000000005</v>
      </c>
    </row>
    <row r="430" spans="1:13">
      <c r="A430" s="3115">
        <v>6.9</v>
      </c>
      <c r="B430" s="3116">
        <v>0.87580000000000002</v>
      </c>
      <c r="C430" s="3116">
        <v>0.87580000000000002</v>
      </c>
      <c r="D430" s="3116">
        <v>0.8105</v>
      </c>
      <c r="E430" s="3116">
        <v>0.8105</v>
      </c>
      <c r="F430" s="3116">
        <v>0.8105</v>
      </c>
      <c r="G430" s="3116">
        <v>0.8105</v>
      </c>
      <c r="H430" s="3116">
        <v>0.8105</v>
      </c>
      <c r="I430" s="3116">
        <v>0.65749999999999997</v>
      </c>
      <c r="J430" s="3116">
        <v>0.65749999999999997</v>
      </c>
      <c r="K430" s="3116">
        <v>0.65749999999999997</v>
      </c>
      <c r="L430" s="3116">
        <v>0.65749999999999997</v>
      </c>
      <c r="M430" s="3117">
        <v>0.65749999999999997</v>
      </c>
    </row>
    <row r="431" spans="1:13">
      <c r="A431" s="3115">
        <v>7</v>
      </c>
      <c r="B431" s="3116">
        <v>0.87419999999999998</v>
      </c>
      <c r="C431" s="3116">
        <v>0.87419999999999998</v>
      </c>
      <c r="D431" s="3116">
        <v>0.80869999999999997</v>
      </c>
      <c r="E431" s="3116">
        <v>0.80869999999999997</v>
      </c>
      <c r="F431" s="3116">
        <v>0.80869999999999997</v>
      </c>
      <c r="G431" s="3116">
        <v>0.80869999999999997</v>
      </c>
      <c r="H431" s="3116">
        <v>0.80869999999999997</v>
      </c>
      <c r="I431" s="3116">
        <v>0.65529999999999999</v>
      </c>
      <c r="J431" s="3116">
        <v>0.65529999999999999</v>
      </c>
      <c r="K431" s="3116">
        <v>0.65529999999999999</v>
      </c>
      <c r="L431" s="3116">
        <v>0.65529999999999999</v>
      </c>
      <c r="M431" s="3117">
        <v>0.65529999999999999</v>
      </c>
    </row>
    <row r="432" spans="1:13">
      <c r="A432" s="3115">
        <v>7.1</v>
      </c>
      <c r="B432" s="3116">
        <v>0.87270000000000003</v>
      </c>
      <c r="C432" s="3116">
        <v>0.87270000000000003</v>
      </c>
      <c r="D432" s="3116">
        <v>0.80689999999999995</v>
      </c>
      <c r="E432" s="3116">
        <v>0.80689999999999995</v>
      </c>
      <c r="F432" s="3116">
        <v>0.80689999999999995</v>
      </c>
      <c r="G432" s="3116">
        <v>0.80689999999999995</v>
      </c>
      <c r="H432" s="3116">
        <v>0.80689999999999995</v>
      </c>
      <c r="I432" s="3116">
        <v>0.6532</v>
      </c>
      <c r="J432" s="3116">
        <v>0.6532</v>
      </c>
      <c r="K432" s="3116">
        <v>0.6532</v>
      </c>
      <c r="L432" s="3116">
        <v>0.6532</v>
      </c>
      <c r="M432" s="3117">
        <v>0.6532</v>
      </c>
    </row>
    <row r="433" spans="1:13">
      <c r="A433" s="3115">
        <v>7.2</v>
      </c>
      <c r="B433" s="3116">
        <v>0.87119999999999997</v>
      </c>
      <c r="C433" s="3116">
        <v>0.87119999999999997</v>
      </c>
      <c r="D433" s="3116">
        <v>0.80510000000000004</v>
      </c>
      <c r="E433" s="3116">
        <v>0.80510000000000004</v>
      </c>
      <c r="F433" s="3116">
        <v>0.80510000000000004</v>
      </c>
      <c r="G433" s="3116">
        <v>0.80510000000000004</v>
      </c>
      <c r="H433" s="3116">
        <v>0.80510000000000004</v>
      </c>
      <c r="I433" s="3116">
        <v>0.65100000000000002</v>
      </c>
      <c r="J433" s="3116">
        <v>0.65100000000000002</v>
      </c>
      <c r="K433" s="3116">
        <v>0.65100000000000002</v>
      </c>
      <c r="L433" s="3116">
        <v>0.65100000000000002</v>
      </c>
      <c r="M433" s="3117">
        <v>0.65100000000000002</v>
      </c>
    </row>
    <row r="434" spans="1:13">
      <c r="A434" s="3115">
        <v>7.3</v>
      </c>
      <c r="B434" s="3116">
        <v>0.86970000000000003</v>
      </c>
      <c r="C434" s="3116">
        <v>0.86970000000000003</v>
      </c>
      <c r="D434" s="3116">
        <v>0.80330000000000001</v>
      </c>
      <c r="E434" s="3116">
        <v>0.80330000000000001</v>
      </c>
      <c r="F434" s="3116">
        <v>0.80330000000000001</v>
      </c>
      <c r="G434" s="3116">
        <v>0.80330000000000001</v>
      </c>
      <c r="H434" s="3116">
        <v>0.80330000000000001</v>
      </c>
      <c r="I434" s="3116">
        <v>0.64880000000000004</v>
      </c>
      <c r="J434" s="3116">
        <v>0.64880000000000004</v>
      </c>
      <c r="K434" s="3116">
        <v>0.64880000000000004</v>
      </c>
      <c r="L434" s="3116">
        <v>0.64880000000000004</v>
      </c>
      <c r="M434" s="3117">
        <v>0.64880000000000004</v>
      </c>
    </row>
    <row r="435" spans="1:13">
      <c r="A435" s="3115">
        <v>7.4</v>
      </c>
      <c r="B435" s="3116">
        <v>0.86819999999999997</v>
      </c>
      <c r="C435" s="3116">
        <v>0.86819999999999997</v>
      </c>
      <c r="D435" s="3116">
        <v>0.80149999999999999</v>
      </c>
      <c r="E435" s="3116">
        <v>0.80149999999999999</v>
      </c>
      <c r="F435" s="3116">
        <v>0.80149999999999999</v>
      </c>
      <c r="G435" s="3116">
        <v>0.80149999999999999</v>
      </c>
      <c r="H435" s="3116">
        <v>0.80149999999999999</v>
      </c>
      <c r="I435" s="3116">
        <v>0.64659999999999995</v>
      </c>
      <c r="J435" s="3116">
        <v>0.64659999999999995</v>
      </c>
      <c r="K435" s="3116">
        <v>0.64659999999999995</v>
      </c>
      <c r="L435" s="3116">
        <v>0.64659999999999995</v>
      </c>
      <c r="M435" s="3117">
        <v>0.64659999999999995</v>
      </c>
    </row>
    <row r="436" spans="1:13">
      <c r="A436" s="3115">
        <v>7.5</v>
      </c>
      <c r="B436" s="3116">
        <v>0.86660000000000004</v>
      </c>
      <c r="C436" s="3116">
        <v>0.86660000000000004</v>
      </c>
      <c r="D436" s="3116">
        <v>0.79969999999999997</v>
      </c>
      <c r="E436" s="3116">
        <v>0.79969999999999997</v>
      </c>
      <c r="F436" s="3116">
        <v>0.79969999999999997</v>
      </c>
      <c r="G436" s="3116">
        <v>0.79969999999999997</v>
      </c>
      <c r="H436" s="3116">
        <v>0.79969999999999997</v>
      </c>
      <c r="I436" s="3116">
        <v>0.64449999999999996</v>
      </c>
      <c r="J436" s="3116">
        <v>0.64449999999999996</v>
      </c>
      <c r="K436" s="3116">
        <v>0.64449999999999996</v>
      </c>
      <c r="L436" s="3116">
        <v>0.64449999999999996</v>
      </c>
      <c r="M436" s="3117">
        <v>0.64449999999999996</v>
      </c>
    </row>
    <row r="437" spans="1:13">
      <c r="A437" s="3115">
        <v>7.6</v>
      </c>
      <c r="B437" s="3116">
        <v>0.86509999999999998</v>
      </c>
      <c r="C437" s="3116">
        <v>0.86509999999999998</v>
      </c>
      <c r="D437" s="3116">
        <v>0.79800000000000004</v>
      </c>
      <c r="E437" s="3116">
        <v>0.79800000000000004</v>
      </c>
      <c r="F437" s="3116">
        <v>0.79800000000000004</v>
      </c>
      <c r="G437" s="3116">
        <v>0.79800000000000004</v>
      </c>
      <c r="H437" s="3116">
        <v>0.79800000000000004</v>
      </c>
      <c r="I437" s="3116">
        <v>0.64239999999999997</v>
      </c>
      <c r="J437" s="3116">
        <v>0.64239999999999997</v>
      </c>
      <c r="K437" s="3116">
        <v>0.64239999999999997</v>
      </c>
      <c r="L437" s="3116">
        <v>0.64239999999999997</v>
      </c>
      <c r="M437" s="3117">
        <v>0.64239999999999997</v>
      </c>
    </row>
    <row r="438" spans="1:13">
      <c r="A438" s="3115">
        <v>7.7</v>
      </c>
      <c r="B438" s="3116">
        <v>0.86370000000000002</v>
      </c>
      <c r="C438" s="3116">
        <v>0.86370000000000002</v>
      </c>
      <c r="D438" s="3116">
        <v>0.79630000000000001</v>
      </c>
      <c r="E438" s="3116">
        <v>0.79630000000000001</v>
      </c>
      <c r="F438" s="3116">
        <v>0.79630000000000001</v>
      </c>
      <c r="G438" s="3116">
        <v>0.79630000000000001</v>
      </c>
      <c r="H438" s="3116">
        <v>0.79630000000000001</v>
      </c>
      <c r="I438" s="3116">
        <v>0.64029999999999998</v>
      </c>
      <c r="J438" s="3116">
        <v>0.64029999999999998</v>
      </c>
      <c r="K438" s="3116">
        <v>0.64029999999999998</v>
      </c>
      <c r="L438" s="3116">
        <v>0.64029999999999998</v>
      </c>
      <c r="M438" s="3117">
        <v>0.64029999999999998</v>
      </c>
    </row>
    <row r="439" spans="1:13">
      <c r="A439" s="3115">
        <v>7.8</v>
      </c>
      <c r="B439" s="3116">
        <v>0.86229999999999996</v>
      </c>
      <c r="C439" s="3116">
        <v>0.86229999999999996</v>
      </c>
      <c r="D439" s="3116">
        <v>0.79449999999999998</v>
      </c>
      <c r="E439" s="3116">
        <v>0.79449999999999998</v>
      </c>
      <c r="F439" s="3116">
        <v>0.79449999999999998</v>
      </c>
      <c r="G439" s="3116">
        <v>0.79449999999999998</v>
      </c>
      <c r="H439" s="3116">
        <v>0.79449999999999998</v>
      </c>
      <c r="I439" s="3116">
        <v>0.63819999999999999</v>
      </c>
      <c r="J439" s="3116">
        <v>0.63819999999999999</v>
      </c>
      <c r="K439" s="3116">
        <v>0.63819999999999999</v>
      </c>
      <c r="L439" s="3116">
        <v>0.63819999999999999</v>
      </c>
      <c r="M439" s="3117">
        <v>0.63819999999999999</v>
      </c>
    </row>
    <row r="440" spans="1:13">
      <c r="A440" s="3115">
        <v>7.9</v>
      </c>
      <c r="B440" s="3116">
        <v>0.8609</v>
      </c>
      <c r="C440" s="3116">
        <v>0.8609</v>
      </c>
      <c r="D440" s="3116">
        <v>0.79279999999999995</v>
      </c>
      <c r="E440" s="3116">
        <v>0.79279999999999995</v>
      </c>
      <c r="F440" s="3116">
        <v>0.79279999999999995</v>
      </c>
      <c r="G440" s="3116">
        <v>0.79279999999999995</v>
      </c>
      <c r="H440" s="3116">
        <v>0.79279999999999995</v>
      </c>
      <c r="I440" s="3116">
        <v>0.6361</v>
      </c>
      <c r="J440" s="3116">
        <v>0.6361</v>
      </c>
      <c r="K440" s="3116">
        <v>0.6361</v>
      </c>
      <c r="L440" s="3116">
        <v>0.6361</v>
      </c>
      <c r="M440" s="3117">
        <v>0.6361</v>
      </c>
    </row>
    <row r="441" spans="1:13">
      <c r="A441" s="3115">
        <v>8</v>
      </c>
      <c r="B441" s="3116">
        <v>0.85940000000000005</v>
      </c>
      <c r="C441" s="3116">
        <v>0.85940000000000005</v>
      </c>
      <c r="D441" s="3116">
        <v>0.79110000000000003</v>
      </c>
      <c r="E441" s="3116">
        <v>0.79110000000000003</v>
      </c>
      <c r="F441" s="3116">
        <v>0.79110000000000003</v>
      </c>
      <c r="G441" s="3116">
        <v>0.79110000000000003</v>
      </c>
      <c r="H441" s="3116">
        <v>0.79110000000000003</v>
      </c>
      <c r="I441" s="3116">
        <v>0.6341</v>
      </c>
      <c r="J441" s="3116">
        <v>0.6341</v>
      </c>
      <c r="K441" s="3116">
        <v>0.6341</v>
      </c>
      <c r="L441" s="3116">
        <v>0.6341</v>
      </c>
      <c r="M441" s="3117">
        <v>0.6341</v>
      </c>
    </row>
    <row r="442" spans="1:13">
      <c r="A442" s="3115">
        <v>8.1</v>
      </c>
      <c r="B442" s="3116">
        <v>0.85799999999999998</v>
      </c>
      <c r="C442" s="3116">
        <v>0.85799999999999998</v>
      </c>
      <c r="D442" s="3116">
        <v>0.78939999999999999</v>
      </c>
      <c r="E442" s="3116">
        <v>0.78939999999999999</v>
      </c>
      <c r="F442" s="3116">
        <v>0.78939999999999999</v>
      </c>
      <c r="G442" s="3116">
        <v>0.78939999999999999</v>
      </c>
      <c r="H442" s="3116">
        <v>0.78939999999999999</v>
      </c>
      <c r="I442" s="3116">
        <v>0.6321</v>
      </c>
      <c r="J442" s="3116">
        <v>0.6321</v>
      </c>
      <c r="K442" s="3116">
        <v>0.6321</v>
      </c>
      <c r="L442" s="3116">
        <v>0.6321</v>
      </c>
      <c r="M442" s="3117">
        <v>0.6321</v>
      </c>
    </row>
    <row r="443" spans="1:13">
      <c r="A443" s="3115">
        <v>8.1999999999999993</v>
      </c>
      <c r="B443" s="3116">
        <v>0.85660000000000003</v>
      </c>
      <c r="C443" s="3116">
        <v>0.85660000000000003</v>
      </c>
      <c r="D443" s="3116">
        <v>0.78779999999999994</v>
      </c>
      <c r="E443" s="3116">
        <v>0.78779999999999994</v>
      </c>
      <c r="F443" s="3116">
        <v>0.78779999999999994</v>
      </c>
      <c r="G443" s="3116">
        <v>0.78779999999999994</v>
      </c>
      <c r="H443" s="3116">
        <v>0.78779999999999994</v>
      </c>
      <c r="I443" s="3116">
        <v>0.63009999999999999</v>
      </c>
      <c r="J443" s="3116">
        <v>0.63009999999999999</v>
      </c>
      <c r="K443" s="3116">
        <v>0.63009999999999999</v>
      </c>
      <c r="L443" s="3116">
        <v>0.63009999999999999</v>
      </c>
      <c r="M443" s="3117">
        <v>0.63009999999999999</v>
      </c>
    </row>
    <row r="444" spans="1:13">
      <c r="A444" s="3115">
        <v>8.3000000000000007</v>
      </c>
      <c r="B444" s="3116">
        <v>0.85529999999999995</v>
      </c>
      <c r="C444" s="3116">
        <v>0.85529999999999995</v>
      </c>
      <c r="D444" s="3116">
        <v>0.78620000000000001</v>
      </c>
      <c r="E444" s="3116">
        <v>0.78620000000000001</v>
      </c>
      <c r="F444" s="3116">
        <v>0.78620000000000001</v>
      </c>
      <c r="G444" s="3116">
        <v>0.78620000000000001</v>
      </c>
      <c r="H444" s="3116">
        <v>0.78620000000000001</v>
      </c>
      <c r="I444" s="3116">
        <v>0.62809999999999999</v>
      </c>
      <c r="J444" s="3116">
        <v>0.62809999999999999</v>
      </c>
      <c r="K444" s="3116">
        <v>0.62809999999999999</v>
      </c>
      <c r="L444" s="3116">
        <v>0.62809999999999999</v>
      </c>
      <c r="M444" s="3117">
        <v>0.62809999999999999</v>
      </c>
    </row>
    <row r="445" spans="1:13">
      <c r="A445" s="3115">
        <v>8.4</v>
      </c>
      <c r="B445" s="3116">
        <v>0.85389999999999999</v>
      </c>
      <c r="C445" s="3116">
        <v>0.85389999999999999</v>
      </c>
      <c r="D445" s="3116">
        <v>0.78459999999999996</v>
      </c>
      <c r="E445" s="3116">
        <v>0.78459999999999996</v>
      </c>
      <c r="F445" s="3116">
        <v>0.78459999999999996</v>
      </c>
      <c r="G445" s="3116">
        <v>0.78459999999999996</v>
      </c>
      <c r="H445" s="3116">
        <v>0.78459999999999996</v>
      </c>
      <c r="I445" s="3116">
        <v>0.62609999999999999</v>
      </c>
      <c r="J445" s="3116">
        <v>0.62609999999999999</v>
      </c>
      <c r="K445" s="3116">
        <v>0.62609999999999999</v>
      </c>
      <c r="L445" s="3116">
        <v>0.62609999999999999</v>
      </c>
      <c r="M445" s="3117">
        <v>0.62609999999999999</v>
      </c>
    </row>
    <row r="446" spans="1:13">
      <c r="A446" s="3115">
        <v>8.5</v>
      </c>
      <c r="B446" s="3116">
        <v>0.85260000000000002</v>
      </c>
      <c r="C446" s="3116">
        <v>0.85260000000000002</v>
      </c>
      <c r="D446" s="3116">
        <v>0.78290000000000004</v>
      </c>
      <c r="E446" s="3116">
        <v>0.78290000000000004</v>
      </c>
      <c r="F446" s="3116">
        <v>0.78290000000000004</v>
      </c>
      <c r="G446" s="3116">
        <v>0.78290000000000004</v>
      </c>
      <c r="H446" s="3116">
        <v>0.78290000000000004</v>
      </c>
      <c r="I446" s="3116">
        <v>0.62419999999999998</v>
      </c>
      <c r="J446" s="3116">
        <v>0.62419999999999998</v>
      </c>
      <c r="K446" s="3116">
        <v>0.62419999999999998</v>
      </c>
      <c r="L446" s="3116">
        <v>0.62419999999999998</v>
      </c>
      <c r="M446" s="3117">
        <v>0.62419999999999998</v>
      </c>
    </row>
    <row r="447" spans="1:13">
      <c r="A447" s="3115">
        <v>8.6</v>
      </c>
      <c r="B447" s="3116">
        <v>0.85129999999999995</v>
      </c>
      <c r="C447" s="3116">
        <v>0.85129999999999995</v>
      </c>
      <c r="D447" s="3116">
        <v>0.78129999999999999</v>
      </c>
      <c r="E447" s="3116">
        <v>0.78129999999999999</v>
      </c>
      <c r="F447" s="3116">
        <v>0.78129999999999999</v>
      </c>
      <c r="G447" s="3116">
        <v>0.78129999999999999</v>
      </c>
      <c r="H447" s="3116">
        <v>0.78129999999999999</v>
      </c>
      <c r="I447" s="3116">
        <v>0.62229999999999996</v>
      </c>
      <c r="J447" s="3116">
        <v>0.62229999999999996</v>
      </c>
      <c r="K447" s="3116">
        <v>0.62229999999999996</v>
      </c>
      <c r="L447" s="3116">
        <v>0.62229999999999996</v>
      </c>
      <c r="M447" s="3117">
        <v>0.62229999999999996</v>
      </c>
    </row>
    <row r="448" spans="1:13">
      <c r="A448" s="3115">
        <v>8.6999999999999993</v>
      </c>
      <c r="B448" s="3116">
        <v>0.85</v>
      </c>
      <c r="C448" s="3116">
        <v>0.85</v>
      </c>
      <c r="D448" s="3116">
        <v>0.77969999999999995</v>
      </c>
      <c r="E448" s="3116">
        <v>0.77969999999999995</v>
      </c>
      <c r="F448" s="3116">
        <v>0.77969999999999995</v>
      </c>
      <c r="G448" s="3116">
        <v>0.77969999999999995</v>
      </c>
      <c r="H448" s="3116">
        <v>0.77969999999999995</v>
      </c>
      <c r="I448" s="3116">
        <v>0.62039999999999995</v>
      </c>
      <c r="J448" s="3116">
        <v>0.62039999999999995</v>
      </c>
      <c r="K448" s="3116">
        <v>0.62039999999999995</v>
      </c>
      <c r="L448" s="3116">
        <v>0.62039999999999995</v>
      </c>
      <c r="M448" s="3117">
        <v>0.62039999999999995</v>
      </c>
    </row>
    <row r="449" spans="1:13">
      <c r="A449" s="3115">
        <v>8.8000000000000007</v>
      </c>
      <c r="B449" s="3116">
        <v>0.84860000000000002</v>
      </c>
      <c r="C449" s="3116">
        <v>0.84860000000000002</v>
      </c>
      <c r="D449" s="3116">
        <v>0.7782</v>
      </c>
      <c r="E449" s="3116">
        <v>0.7782</v>
      </c>
      <c r="F449" s="3116">
        <v>0.7782</v>
      </c>
      <c r="G449" s="3116">
        <v>0.7782</v>
      </c>
      <c r="H449" s="3116">
        <v>0.7782</v>
      </c>
      <c r="I449" s="3116">
        <v>0.61850000000000005</v>
      </c>
      <c r="J449" s="3116">
        <v>0.61850000000000005</v>
      </c>
      <c r="K449" s="3116">
        <v>0.61850000000000005</v>
      </c>
      <c r="L449" s="3116">
        <v>0.61850000000000005</v>
      </c>
      <c r="M449" s="3117">
        <v>0.61850000000000005</v>
      </c>
    </row>
    <row r="450" spans="1:13">
      <c r="A450" s="3115">
        <v>8.9</v>
      </c>
      <c r="B450" s="3116">
        <v>0.84740000000000004</v>
      </c>
      <c r="C450" s="3116">
        <v>0.84740000000000004</v>
      </c>
      <c r="D450" s="3116">
        <v>0.77669999999999995</v>
      </c>
      <c r="E450" s="3116">
        <v>0.77669999999999995</v>
      </c>
      <c r="F450" s="3116">
        <v>0.77669999999999995</v>
      </c>
      <c r="G450" s="3116">
        <v>0.77669999999999995</v>
      </c>
      <c r="H450" s="3116">
        <v>0.77669999999999995</v>
      </c>
      <c r="I450" s="3116">
        <v>0.61670000000000003</v>
      </c>
      <c r="J450" s="3116">
        <v>0.61670000000000003</v>
      </c>
      <c r="K450" s="3116">
        <v>0.61670000000000003</v>
      </c>
      <c r="L450" s="3116">
        <v>0.61670000000000003</v>
      </c>
      <c r="M450" s="3117">
        <v>0.61670000000000003</v>
      </c>
    </row>
    <row r="451" spans="1:13">
      <c r="A451" s="3118">
        <v>9</v>
      </c>
      <c r="B451" s="3116">
        <v>0.84619999999999995</v>
      </c>
      <c r="C451" s="3116">
        <v>0.84619999999999995</v>
      </c>
      <c r="D451" s="3116">
        <v>0.77510000000000001</v>
      </c>
      <c r="E451" s="3116">
        <v>0.77510000000000001</v>
      </c>
      <c r="F451" s="3116">
        <v>0.77510000000000001</v>
      </c>
      <c r="G451" s="3116">
        <v>0.77510000000000001</v>
      </c>
      <c r="H451" s="3116">
        <v>0.77510000000000001</v>
      </c>
      <c r="I451" s="3116">
        <v>0.61480000000000001</v>
      </c>
      <c r="J451" s="3116">
        <v>0.61480000000000001</v>
      </c>
      <c r="K451" s="3116">
        <v>0.61480000000000001</v>
      </c>
      <c r="L451" s="3116">
        <v>0.61480000000000001</v>
      </c>
      <c r="M451" s="3117">
        <v>0.61480000000000001</v>
      </c>
    </row>
    <row r="452" spans="1:13">
      <c r="A452" s="3118">
        <v>9.1</v>
      </c>
      <c r="B452" s="3116">
        <v>0.84499999999999997</v>
      </c>
      <c r="C452" s="3116">
        <v>0.84499999999999997</v>
      </c>
      <c r="D452" s="3116">
        <v>0.77359999999999995</v>
      </c>
      <c r="E452" s="3116">
        <v>0.77359999999999995</v>
      </c>
      <c r="F452" s="3116">
        <v>0.77359999999999995</v>
      </c>
      <c r="G452" s="3116">
        <v>0.77359999999999995</v>
      </c>
      <c r="H452" s="3116">
        <v>0.77359999999999995</v>
      </c>
      <c r="I452" s="3116">
        <v>0.61299999999999999</v>
      </c>
      <c r="J452" s="3116">
        <v>0.61299999999999999</v>
      </c>
      <c r="K452" s="3116">
        <v>0.61299999999999999</v>
      </c>
      <c r="L452" s="3116">
        <v>0.61299999999999999</v>
      </c>
      <c r="M452" s="3117">
        <v>0.61299999999999999</v>
      </c>
    </row>
    <row r="453" spans="1:13">
      <c r="A453" s="3118">
        <v>9.1999999999999993</v>
      </c>
      <c r="B453" s="3116">
        <v>0.84370000000000001</v>
      </c>
      <c r="C453" s="3116">
        <v>0.84370000000000001</v>
      </c>
      <c r="D453" s="3116">
        <v>0.77210000000000001</v>
      </c>
      <c r="E453" s="3116">
        <v>0.77210000000000001</v>
      </c>
      <c r="F453" s="3116">
        <v>0.77210000000000001</v>
      </c>
      <c r="G453" s="3116">
        <v>0.77210000000000001</v>
      </c>
      <c r="H453" s="3116">
        <v>0.77210000000000001</v>
      </c>
      <c r="I453" s="3116">
        <v>0.61119999999999997</v>
      </c>
      <c r="J453" s="3116">
        <v>0.61119999999999997</v>
      </c>
      <c r="K453" s="3116">
        <v>0.61119999999999997</v>
      </c>
      <c r="L453" s="3116">
        <v>0.61119999999999997</v>
      </c>
      <c r="M453" s="3117">
        <v>0.61119999999999997</v>
      </c>
    </row>
    <row r="454" spans="1:13">
      <c r="A454" s="3118">
        <v>9.3000000000000007</v>
      </c>
      <c r="B454" s="3116">
        <v>0.84250000000000003</v>
      </c>
      <c r="C454" s="3116">
        <v>0.84250000000000003</v>
      </c>
      <c r="D454" s="3116">
        <v>0.77059999999999995</v>
      </c>
      <c r="E454" s="3116">
        <v>0.77059999999999995</v>
      </c>
      <c r="F454" s="3116">
        <v>0.77059999999999995</v>
      </c>
      <c r="G454" s="3116">
        <v>0.77059999999999995</v>
      </c>
      <c r="H454" s="3116">
        <v>0.77059999999999995</v>
      </c>
      <c r="I454" s="3116">
        <v>0.60940000000000005</v>
      </c>
      <c r="J454" s="3116">
        <v>0.60940000000000005</v>
      </c>
      <c r="K454" s="3116">
        <v>0.60940000000000005</v>
      </c>
      <c r="L454" s="3116">
        <v>0.60940000000000005</v>
      </c>
      <c r="M454" s="3117">
        <v>0.60940000000000005</v>
      </c>
    </row>
    <row r="455" spans="1:13">
      <c r="A455" s="3118">
        <v>9.4</v>
      </c>
      <c r="B455" s="3116">
        <v>0.84130000000000005</v>
      </c>
      <c r="C455" s="3116">
        <v>0.84130000000000005</v>
      </c>
      <c r="D455" s="3116">
        <v>0.76900000000000002</v>
      </c>
      <c r="E455" s="3116">
        <v>0.76900000000000002</v>
      </c>
      <c r="F455" s="3116">
        <v>0.76900000000000002</v>
      </c>
      <c r="G455" s="3116">
        <v>0.76900000000000002</v>
      </c>
      <c r="H455" s="3116">
        <v>0.76900000000000002</v>
      </c>
      <c r="I455" s="3116">
        <v>0.60760000000000003</v>
      </c>
      <c r="J455" s="3116">
        <v>0.60760000000000003</v>
      </c>
      <c r="K455" s="3116">
        <v>0.60760000000000003</v>
      </c>
      <c r="L455" s="3116">
        <v>0.60760000000000003</v>
      </c>
      <c r="M455" s="3117">
        <v>0.60760000000000003</v>
      </c>
    </row>
    <row r="456" spans="1:13">
      <c r="A456" s="3118">
        <v>9.5</v>
      </c>
      <c r="B456" s="3116">
        <v>0.84009999999999996</v>
      </c>
      <c r="C456" s="3116">
        <v>0.84009999999999996</v>
      </c>
      <c r="D456" s="3116">
        <v>0.76759999999999995</v>
      </c>
      <c r="E456" s="3116">
        <v>0.76759999999999995</v>
      </c>
      <c r="F456" s="3116">
        <v>0.76759999999999995</v>
      </c>
      <c r="G456" s="3116">
        <v>0.76759999999999995</v>
      </c>
      <c r="H456" s="3116">
        <v>0.76759999999999995</v>
      </c>
      <c r="I456" s="3116">
        <v>0.60580000000000001</v>
      </c>
      <c r="J456" s="3116">
        <v>0.60580000000000001</v>
      </c>
      <c r="K456" s="3116">
        <v>0.60580000000000001</v>
      </c>
      <c r="L456" s="3116">
        <v>0.60580000000000001</v>
      </c>
      <c r="M456" s="3117">
        <v>0.60580000000000001</v>
      </c>
    </row>
    <row r="457" spans="1:13">
      <c r="A457" s="3118">
        <v>9.6</v>
      </c>
      <c r="B457" s="3116">
        <v>0.83899999999999997</v>
      </c>
      <c r="C457" s="3116">
        <v>0.83899999999999997</v>
      </c>
      <c r="D457" s="3116">
        <v>0.76619999999999999</v>
      </c>
      <c r="E457" s="3116">
        <v>0.76619999999999999</v>
      </c>
      <c r="F457" s="3116">
        <v>0.76619999999999999</v>
      </c>
      <c r="G457" s="3116">
        <v>0.76619999999999999</v>
      </c>
      <c r="H457" s="3116">
        <v>0.76619999999999999</v>
      </c>
      <c r="I457" s="3116">
        <v>0.60409999999999997</v>
      </c>
      <c r="J457" s="3116">
        <v>0.60409999999999997</v>
      </c>
      <c r="K457" s="3116">
        <v>0.60409999999999997</v>
      </c>
      <c r="L457" s="3116">
        <v>0.60409999999999997</v>
      </c>
      <c r="M457" s="3117">
        <v>0.60409999999999997</v>
      </c>
    </row>
    <row r="458" spans="1:13">
      <c r="A458" s="3118">
        <v>9.6999999999999993</v>
      </c>
      <c r="B458" s="3116">
        <v>0.83779999999999999</v>
      </c>
      <c r="C458" s="3116">
        <v>0.83779999999999999</v>
      </c>
      <c r="D458" s="3116">
        <v>0.76480000000000004</v>
      </c>
      <c r="E458" s="3116">
        <v>0.76480000000000004</v>
      </c>
      <c r="F458" s="3116">
        <v>0.76480000000000004</v>
      </c>
      <c r="G458" s="3116">
        <v>0.76480000000000004</v>
      </c>
      <c r="H458" s="3116">
        <v>0.76480000000000004</v>
      </c>
      <c r="I458" s="3116">
        <v>0.60240000000000005</v>
      </c>
      <c r="J458" s="3116">
        <v>0.60240000000000005</v>
      </c>
      <c r="K458" s="3116">
        <v>0.60240000000000005</v>
      </c>
      <c r="L458" s="3116">
        <v>0.60240000000000005</v>
      </c>
      <c r="M458" s="3117">
        <v>0.60240000000000005</v>
      </c>
    </row>
    <row r="459" spans="1:13">
      <c r="A459" s="3118">
        <v>9.8000000000000007</v>
      </c>
      <c r="B459" s="3116">
        <v>0.8367</v>
      </c>
      <c r="C459" s="3116">
        <v>0.8367</v>
      </c>
      <c r="D459" s="3116">
        <v>0.76329999999999998</v>
      </c>
      <c r="E459" s="3116">
        <v>0.76329999999999998</v>
      </c>
      <c r="F459" s="3116">
        <v>0.76329999999999998</v>
      </c>
      <c r="G459" s="3116">
        <v>0.76329999999999998</v>
      </c>
      <c r="H459" s="3116">
        <v>0.76329999999999998</v>
      </c>
      <c r="I459" s="3116">
        <v>0.60060000000000002</v>
      </c>
      <c r="J459" s="3116">
        <v>0.60060000000000002</v>
      </c>
      <c r="K459" s="3116">
        <v>0.60060000000000002</v>
      </c>
      <c r="L459" s="3116">
        <v>0.60060000000000002</v>
      </c>
      <c r="M459" s="3117">
        <v>0.60060000000000002</v>
      </c>
    </row>
    <row r="460" spans="1:13" ht="14.25" thickBot="1">
      <c r="A460" s="3119">
        <v>9.9</v>
      </c>
      <c r="B460" s="3120">
        <v>0.83560000000000001</v>
      </c>
      <c r="C460" s="3120">
        <v>0.83560000000000001</v>
      </c>
      <c r="D460" s="3120">
        <v>0.76190000000000002</v>
      </c>
      <c r="E460" s="3120">
        <v>0.76190000000000002</v>
      </c>
      <c r="F460" s="3120">
        <v>0.76190000000000002</v>
      </c>
      <c r="G460" s="3120">
        <v>0.76190000000000002</v>
      </c>
      <c r="H460" s="3120">
        <v>0.76190000000000002</v>
      </c>
      <c r="I460" s="3120">
        <v>0.59889999999999999</v>
      </c>
      <c r="J460" s="3120">
        <v>0.59889999999999999</v>
      </c>
      <c r="K460" s="3120">
        <v>0.59889999999999999</v>
      </c>
      <c r="L460" s="3120">
        <v>0.59889999999999999</v>
      </c>
      <c r="M460" s="3121">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46413</v>
      </c>
      <c r="C2" s="2" t="s">
        <v>106</v>
      </c>
      <c r="D2" s="199"/>
      <c r="E2" s="199"/>
      <c r="F2" s="199"/>
      <c r="G2" s="199"/>
    </row>
    <row r="3" spans="1:7" s="200" customFormat="1" ht="18" customHeight="1" thickBot="1">
      <c r="A3" s="203" t="s">
        <v>58</v>
      </c>
      <c r="B3" s="204">
        <f ca="1">ROUND(B2*10000/'数据-汇总表'!E3,0)</f>
        <v>17002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546</v>
      </c>
      <c r="D10" s="845">
        <f>'数据-汇总表'!E6</f>
        <v>27298.22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546</v>
      </c>
      <c r="D19" s="849">
        <f>'数据-汇总表'!E3</f>
        <v>27298.22</v>
      </c>
      <c r="E19" s="211">
        <f>'数据-取费表'!B31</f>
        <v>200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1810</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46</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4316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4316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30053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14887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13723</v>
      </c>
      <c r="D34" s="217"/>
      <c r="E34" s="220"/>
      <c r="F34" s="257">
        <f>IF('数据-取费表'!B24=0,1,'数据-取费表'!N16)</f>
        <v>1</v>
      </c>
      <c r="G34" s="219" t="s">
        <v>89</v>
      </c>
    </row>
    <row r="35" spans="1:7" ht="13.5" customHeight="1">
      <c r="A35" s="780" t="s">
        <v>351</v>
      </c>
      <c r="B35" s="215" t="s">
        <v>33</v>
      </c>
      <c r="C35" s="220">
        <f>ROUND(C34*F35,0)</f>
        <v>412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546</v>
      </c>
      <c r="D37" s="217">
        <f>'数据-汇总表'!E3</f>
        <v>27298.22</v>
      </c>
      <c r="E37" s="249">
        <f>'数据-取费表'!B35</f>
        <v>200</v>
      </c>
      <c r="F37" s="259"/>
      <c r="G37" s="261" t="s">
        <v>92</v>
      </c>
    </row>
    <row r="38" spans="1:7" ht="13.5" customHeight="1">
      <c r="A38" s="780" t="s">
        <v>354</v>
      </c>
      <c r="B38" s="215" t="s">
        <v>36</v>
      </c>
      <c r="C38" s="220">
        <f>ROUND(C34*F38,0)</f>
        <v>206</v>
      </c>
      <c r="D38" s="220"/>
      <c r="E38" s="220"/>
      <c r="F38" s="259">
        <f>'数据-取费表'!B36</f>
        <v>1.4999999999999999E-2</v>
      </c>
      <c r="G38" s="219" t="s">
        <v>90</v>
      </c>
    </row>
    <row r="39" spans="1:7" s="214" customFormat="1" ht="13.5" customHeight="1">
      <c r="A39" s="777" t="s">
        <v>338</v>
      </c>
      <c r="B39" s="210" t="s">
        <v>77</v>
      </c>
      <c r="C39" s="232">
        <f>ROUND(C33*F20,0)</f>
        <v>298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630</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618</v>
      </c>
      <c r="D42" s="238"/>
      <c r="E42" s="238"/>
      <c r="F42" s="239"/>
      <c r="G42" s="3720" t="s">
        <v>94</v>
      </c>
    </row>
    <row r="43" spans="1:7" ht="13.5" customHeight="1">
      <c r="A43" s="780" t="s">
        <v>347</v>
      </c>
      <c r="B43" s="215" t="s">
        <v>426</v>
      </c>
      <c r="C43" s="238">
        <f ca="1">ROUND(IF('数据-取费表'!B22&lt;=1,C39*F22*'数据-取费表'!B21/2,C39*(POWER((1+F22),'数据-取费表'!B21/2)-1)),0)</f>
        <v>12</v>
      </c>
      <c r="D43" s="238"/>
      <c r="E43" s="238"/>
      <c r="F43" s="239"/>
      <c r="G43" s="3721"/>
    </row>
    <row r="44" spans="1:7" ht="13.5" customHeight="1">
      <c r="A44" s="780" t="s">
        <v>348</v>
      </c>
      <c r="B44" s="215" t="s">
        <v>428</v>
      </c>
      <c r="C44" s="238">
        <f ca="1">ROUND(IF('数据-取费表'!B22&lt;=1,C40*F22*'数据-取费表'!B21/2,C40*(POWER((1+F22),'数据-取费表'!B21/2)-1)),4)</f>
        <v>8.0000000000000004E-4</v>
      </c>
      <c r="D44" s="238"/>
      <c r="E44" s="238"/>
      <c r="F44" s="239"/>
      <c r="G44" s="3722"/>
    </row>
    <row r="45" spans="1:7" s="214" customFormat="1" ht="13.5" customHeight="1">
      <c r="A45" s="777" t="s">
        <v>341</v>
      </c>
      <c r="B45" s="244" t="s">
        <v>85</v>
      </c>
      <c r="C45" s="245">
        <f>C46</f>
        <v>3037</v>
      </c>
      <c r="D45" s="235">
        <f>C47</f>
        <v>4.0000000000000001E-3</v>
      </c>
      <c r="E45" s="236" t="s">
        <v>102</v>
      </c>
      <c r="F45" s="246"/>
      <c r="G45" s="247" t="s">
        <v>434</v>
      </c>
    </row>
    <row r="46" spans="1:7" s="214" customFormat="1" ht="13.5" customHeight="1">
      <c r="A46" s="780" t="s">
        <v>349</v>
      </c>
      <c r="B46" s="248" t="s">
        <v>427</v>
      </c>
      <c r="C46" s="249">
        <f>ROUND((C33+C39)*F27,0)</f>
        <v>3037</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20450</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16360</v>
      </c>
      <c r="D51" s="232"/>
      <c r="E51" s="232"/>
      <c r="F51" s="264"/>
      <c r="G51" s="234" t="s">
        <v>37</v>
      </c>
    </row>
    <row r="52" spans="1:7" s="208" customFormat="1" ht="16.5" thickBot="1">
      <c r="A52" s="265" t="s">
        <v>38</v>
      </c>
      <c r="B52" s="266"/>
      <c r="C52" s="267">
        <f ca="1">C31+C51</f>
        <v>46413</v>
      </c>
      <c r="D52" s="266"/>
      <c r="E52" s="266"/>
      <c r="F52" s="266"/>
      <c r="G52" s="268"/>
    </row>
    <row r="55" spans="1:7" ht="15">
      <c r="B55" s="270" t="s">
        <v>39</v>
      </c>
      <c r="C55" s="271"/>
    </row>
    <row r="56" spans="1:7">
      <c r="B56" s="273" t="s">
        <v>40</v>
      </c>
      <c r="C56" s="274">
        <f ca="1">ROUND(C51/C52,3)</f>
        <v>0.35199999999999998</v>
      </c>
    </row>
    <row r="57" spans="1:7">
      <c r="B57" s="273" t="s">
        <v>41</v>
      </c>
      <c r="C57" s="275">
        <f ca="1">1-C56</f>
        <v>0.64800000000000002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8" customWidth="1"/>
    <col min="2" max="2" width="18.625" style="3208" customWidth="1"/>
    <col min="3" max="6" width="10.25" style="3208" customWidth="1"/>
    <col min="7" max="7" width="10.5" style="3208" bestFit="1" customWidth="1"/>
    <col min="8" max="8" width="8.875" style="3204"/>
    <col min="9" max="9" width="13.375" style="3204" customWidth="1"/>
    <col min="10" max="13" width="13.375" style="3208" customWidth="1"/>
    <col min="14" max="14" width="18.25" style="3208" customWidth="1"/>
    <col min="15" max="17" width="15.125" style="3208" customWidth="1"/>
    <col min="18" max="20" width="11.5" style="3208" customWidth="1"/>
    <col min="21" max="16384" width="8.875" style="3208"/>
  </cols>
  <sheetData>
    <row r="1" spans="1:20" ht="12" thickBot="1">
      <c r="A1" s="3858" t="s">
        <v>2845</v>
      </c>
      <c r="B1" s="3858"/>
      <c r="C1" s="3858"/>
      <c r="D1" s="3858"/>
      <c r="E1" s="3858"/>
      <c r="F1" s="3858"/>
      <c r="G1" s="3859"/>
      <c r="I1" s="3205" t="s">
        <v>2846</v>
      </c>
      <c r="J1" s="3206" t="s">
        <v>2847</v>
      </c>
      <c r="K1" s="3206" t="s">
        <v>2848</v>
      </c>
      <c r="L1" s="3206" t="s">
        <v>2849</v>
      </c>
      <c r="M1" s="3206" t="s">
        <v>2850</v>
      </c>
      <c r="N1" s="3206" t="s">
        <v>2851</v>
      </c>
      <c r="O1" s="3206" t="s">
        <v>2852</v>
      </c>
      <c r="P1" s="3206" t="s">
        <v>2853</v>
      </c>
      <c r="Q1" s="3206" t="s">
        <v>2854</v>
      </c>
      <c r="R1" s="3206" t="s">
        <v>2855</v>
      </c>
      <c r="S1" s="3206" t="s">
        <v>2856</v>
      </c>
      <c r="T1" s="3207" t="s">
        <v>2857</v>
      </c>
    </row>
    <row r="2" spans="1:20" ht="12" thickBot="1">
      <c r="A2" s="3209" t="s">
        <v>2858</v>
      </c>
      <c r="B2" s="3209"/>
      <c r="C2" s="3209"/>
      <c r="D2" s="3209"/>
      <c r="E2" s="3209"/>
      <c r="F2" s="3209"/>
      <c r="G2" s="3210" t="s">
        <v>2859</v>
      </c>
      <c r="I2" s="3211" t="s">
        <v>2860</v>
      </c>
      <c r="J2" s="3211" t="s">
        <v>2861</v>
      </c>
      <c r="K2" s="3211" t="s">
        <v>2862</v>
      </c>
      <c r="L2" s="3211" t="s">
        <v>2863</v>
      </c>
      <c r="M2" s="3211" t="s">
        <v>2864</v>
      </c>
      <c r="N2" s="3211" t="s">
        <v>2865</v>
      </c>
      <c r="O2" s="3211" t="s">
        <v>2866</v>
      </c>
      <c r="P2" s="3211" t="s">
        <v>2867</v>
      </c>
      <c r="Q2" s="3211" t="s">
        <v>2868</v>
      </c>
      <c r="R2" s="3211" t="s">
        <v>2869</v>
      </c>
      <c r="S2" s="3211" t="s">
        <v>2870</v>
      </c>
      <c r="T2" s="3211" t="s">
        <v>2871</v>
      </c>
    </row>
    <row r="3" spans="1:20" s="3217" customFormat="1">
      <c r="A3" s="3856" t="s">
        <v>2872</v>
      </c>
      <c r="B3" s="3212"/>
      <c r="C3" s="3213" t="s">
        <v>2813</v>
      </c>
      <c r="D3" s="3213" t="s">
        <v>2873</v>
      </c>
      <c r="E3" s="3213" t="s">
        <v>2815</v>
      </c>
      <c r="F3" s="3213" t="s">
        <v>2874</v>
      </c>
      <c r="G3" s="3213" t="s">
        <v>2633</v>
      </c>
      <c r="H3" s="3214"/>
      <c r="I3" s="3215" t="s">
        <v>2875</v>
      </c>
      <c r="J3" s="3216" t="s">
        <v>128</v>
      </c>
      <c r="K3" s="3216" t="s">
        <v>129</v>
      </c>
      <c r="L3" s="3215" t="s">
        <v>130</v>
      </c>
      <c r="M3" s="3215" t="s">
        <v>131</v>
      </c>
      <c r="N3" s="3215" t="s">
        <v>132</v>
      </c>
      <c r="O3" s="3215" t="s">
        <v>133</v>
      </c>
      <c r="P3" s="3215" t="s">
        <v>134</v>
      </c>
      <c r="Q3" s="3215" t="s">
        <v>135</v>
      </c>
      <c r="R3" s="3215" t="s">
        <v>136</v>
      </c>
      <c r="S3" s="3215" t="s">
        <v>2876</v>
      </c>
      <c r="T3" s="3215" t="s">
        <v>2877</v>
      </c>
    </row>
    <row r="4" spans="1:20" s="3217" customFormat="1" ht="12" thickBot="1">
      <c r="A4" s="3857"/>
      <c r="B4" s="3218" t="s">
        <v>2878</v>
      </c>
      <c r="C4" s="3218" t="s">
        <v>2879</v>
      </c>
      <c r="D4" s="3218" t="s">
        <v>2879</v>
      </c>
      <c r="E4" s="3218" t="s">
        <v>2879</v>
      </c>
      <c r="F4" s="3219" t="s">
        <v>2879</v>
      </c>
      <c r="G4" s="3219" t="s">
        <v>2879</v>
      </c>
      <c r="H4" s="3214"/>
      <c r="I4" s="3216" t="s">
        <v>137</v>
      </c>
      <c r="J4" s="3216" t="s">
        <v>111</v>
      </c>
      <c r="K4" s="3216" t="s">
        <v>138</v>
      </c>
      <c r="L4" s="3215" t="s">
        <v>139</v>
      </c>
      <c r="M4" s="3215" t="s">
        <v>140</v>
      </c>
      <c r="N4" s="3215" t="s">
        <v>141</v>
      </c>
      <c r="O4" s="3215" t="s">
        <v>142</v>
      </c>
      <c r="P4" s="3215" t="s">
        <v>143</v>
      </c>
      <c r="Q4" s="3215" t="s">
        <v>2880</v>
      </c>
      <c r="R4" s="3215" t="s">
        <v>2881</v>
      </c>
      <c r="S4" s="3215" t="s">
        <v>2882</v>
      </c>
      <c r="T4" s="3215" t="s">
        <v>2883</v>
      </c>
    </row>
    <row r="5" spans="1:20">
      <c r="A5" s="3220" t="s">
        <v>2846</v>
      </c>
      <c r="B5" s="3211" t="s">
        <v>2860</v>
      </c>
      <c r="C5" s="3211">
        <v>34550</v>
      </c>
      <c r="D5" s="3211">
        <v>34470</v>
      </c>
      <c r="E5" s="3211">
        <v>34330</v>
      </c>
      <c r="F5" s="3211">
        <v>13400</v>
      </c>
      <c r="G5" s="3211">
        <v>25450</v>
      </c>
      <c r="H5" s="3214"/>
      <c r="I5" s="3215" t="s">
        <v>145</v>
      </c>
      <c r="J5" s="3216" t="s">
        <v>146</v>
      </c>
      <c r="K5" s="3216" t="s">
        <v>147</v>
      </c>
      <c r="L5" s="3215" t="s">
        <v>148</v>
      </c>
      <c r="M5" s="3215" t="s">
        <v>149</v>
      </c>
      <c r="N5" s="3215" t="s">
        <v>150</v>
      </c>
      <c r="O5" s="3215" t="s">
        <v>151</v>
      </c>
      <c r="P5" s="3215" t="s">
        <v>152</v>
      </c>
      <c r="Q5" s="3215" t="s">
        <v>2884</v>
      </c>
      <c r="R5" s="3215" t="s">
        <v>2885</v>
      </c>
      <c r="S5" s="3215" t="s">
        <v>153</v>
      </c>
      <c r="T5" s="3215" t="s">
        <v>2886</v>
      </c>
    </row>
    <row r="6" spans="1:20" ht="12" thickBot="1">
      <c r="A6" s="3215" t="s">
        <v>144</v>
      </c>
      <c r="B6" s="3215" t="s">
        <v>2875</v>
      </c>
      <c r="C6" s="3215">
        <v>36990</v>
      </c>
      <c r="D6" s="3215">
        <v>36850</v>
      </c>
      <c r="E6" s="3215">
        <v>36700</v>
      </c>
      <c r="F6" s="3215">
        <v>14590</v>
      </c>
      <c r="G6" s="3215">
        <v>27450</v>
      </c>
      <c r="H6" s="3214"/>
      <c r="I6" s="3221" t="s">
        <v>154</v>
      </c>
      <c r="J6" s="3216" t="s">
        <v>155</v>
      </c>
      <c r="K6" s="3216" t="s">
        <v>156</v>
      </c>
      <c r="L6" s="3215" t="s">
        <v>157</v>
      </c>
      <c r="M6" s="3215" t="s">
        <v>158</v>
      </c>
      <c r="N6" s="3215" t="s">
        <v>159</v>
      </c>
      <c r="O6" s="3215" t="s">
        <v>160</v>
      </c>
      <c r="P6" s="3215" t="s">
        <v>2887</v>
      </c>
      <c r="Q6" s="3215" t="s">
        <v>2888</v>
      </c>
      <c r="R6" s="3215" t="s">
        <v>161</v>
      </c>
      <c r="S6" s="3215" t="s">
        <v>2889</v>
      </c>
      <c r="T6" s="3215" t="s">
        <v>2890</v>
      </c>
    </row>
    <row r="7" spans="1:20">
      <c r="A7" s="3215" t="s">
        <v>144</v>
      </c>
      <c r="B7" s="3216" t="s">
        <v>137</v>
      </c>
      <c r="C7" s="3215">
        <v>34850</v>
      </c>
      <c r="D7" s="3215">
        <v>34690</v>
      </c>
      <c r="E7" s="3215">
        <v>34550</v>
      </c>
      <c r="F7" s="3215">
        <v>14360</v>
      </c>
      <c r="G7" s="3215">
        <v>25620</v>
      </c>
      <c r="H7" s="3214"/>
      <c r="J7" s="3216" t="s">
        <v>162</v>
      </c>
      <c r="K7" s="3216" t="s">
        <v>163</v>
      </c>
      <c r="L7" s="3215" t="s">
        <v>164</v>
      </c>
      <c r="M7" s="3215" t="s">
        <v>165</v>
      </c>
      <c r="N7" s="3215" t="s">
        <v>166</v>
      </c>
      <c r="O7" s="3215" t="s">
        <v>167</v>
      </c>
      <c r="P7" s="3215" t="s">
        <v>2891</v>
      </c>
      <c r="Q7" s="3215" t="s">
        <v>2892</v>
      </c>
      <c r="R7" s="3215" t="s">
        <v>2893</v>
      </c>
      <c r="S7" s="3215" t="s">
        <v>2894</v>
      </c>
      <c r="T7" s="3215" t="s">
        <v>2895</v>
      </c>
    </row>
    <row r="8" spans="1:20" ht="12" thickBot="1">
      <c r="A8" s="3215" t="s">
        <v>144</v>
      </c>
      <c r="B8" s="3215" t="s">
        <v>145</v>
      </c>
      <c r="C8" s="3215">
        <v>32630</v>
      </c>
      <c r="D8" s="3215">
        <v>32510</v>
      </c>
      <c r="E8" s="3215">
        <v>32420</v>
      </c>
      <c r="F8" s="3215">
        <v>13300</v>
      </c>
      <c r="G8" s="3215">
        <v>24010</v>
      </c>
      <c r="H8" s="3214"/>
      <c r="J8" s="3216" t="s">
        <v>168</v>
      </c>
      <c r="K8" s="3216" t="s">
        <v>169</v>
      </c>
      <c r="L8" s="3215" t="s">
        <v>170</v>
      </c>
      <c r="M8" s="3215" t="s">
        <v>171</v>
      </c>
      <c r="N8" s="3215" t="s">
        <v>172</v>
      </c>
      <c r="O8" s="3215" t="s">
        <v>173</v>
      </c>
      <c r="P8" s="3215" t="s">
        <v>2896</v>
      </c>
      <c r="Q8" s="3215" t="s">
        <v>174</v>
      </c>
      <c r="R8" s="3215" t="s">
        <v>2897</v>
      </c>
      <c r="S8" s="3215" t="s">
        <v>2898</v>
      </c>
      <c r="T8" s="3222" t="s">
        <v>2899</v>
      </c>
    </row>
    <row r="9" spans="1:20" ht="12" thickBot="1">
      <c r="A9" s="3223" t="s">
        <v>144</v>
      </c>
      <c r="B9" s="3221" t="s">
        <v>154</v>
      </c>
      <c r="C9" s="3222">
        <v>36370</v>
      </c>
      <c r="D9" s="3222">
        <v>36210</v>
      </c>
      <c r="E9" s="3222">
        <v>36050</v>
      </c>
      <c r="F9" s="3222"/>
      <c r="G9" s="3222">
        <v>26740</v>
      </c>
      <c r="H9" s="3214"/>
      <c r="J9" s="3216" t="s">
        <v>175</v>
      </c>
      <c r="K9" s="3216" t="s">
        <v>176</v>
      </c>
      <c r="L9" s="3215" t="s">
        <v>177</v>
      </c>
      <c r="M9" s="3215" t="s">
        <v>178</v>
      </c>
      <c r="N9" s="3215" t="s">
        <v>179</v>
      </c>
      <c r="O9" s="3215" t="s">
        <v>180</v>
      </c>
      <c r="P9" s="3215" t="s">
        <v>2900</v>
      </c>
      <c r="Q9" s="3215" t="s">
        <v>182</v>
      </c>
      <c r="R9" s="3215" t="s">
        <v>183</v>
      </c>
      <c r="S9" s="3215" t="s">
        <v>200</v>
      </c>
    </row>
    <row r="10" spans="1:20">
      <c r="A10" s="3220" t="s">
        <v>184</v>
      </c>
      <c r="B10" s="3211" t="s">
        <v>2861</v>
      </c>
      <c r="C10" s="3215">
        <v>32350</v>
      </c>
      <c r="D10" s="3215">
        <v>31430</v>
      </c>
      <c r="E10" s="3215">
        <v>31320</v>
      </c>
      <c r="F10" s="3215">
        <v>10850</v>
      </c>
      <c r="G10" s="3215">
        <v>22860</v>
      </c>
      <c r="H10" s="3214"/>
      <c r="J10" s="3216" t="s">
        <v>185</v>
      </c>
      <c r="K10" s="3216" t="s">
        <v>186</v>
      </c>
      <c r="L10" s="3215" t="s">
        <v>187</v>
      </c>
      <c r="M10" s="3215" t="s">
        <v>188</v>
      </c>
      <c r="N10" s="3215" t="s">
        <v>189</v>
      </c>
      <c r="O10" s="3215" t="s">
        <v>190</v>
      </c>
      <c r="P10" s="3215" t="s">
        <v>181</v>
      </c>
      <c r="Q10" s="3215" t="s">
        <v>192</v>
      </c>
      <c r="R10" s="3215" t="s">
        <v>193</v>
      </c>
      <c r="S10" s="3215" t="s">
        <v>2901</v>
      </c>
    </row>
    <row r="11" spans="1:20">
      <c r="A11" s="3215" t="s">
        <v>184</v>
      </c>
      <c r="B11" s="3216" t="s">
        <v>128</v>
      </c>
      <c r="C11" s="3215">
        <v>31590</v>
      </c>
      <c r="D11" s="3215">
        <v>29490</v>
      </c>
      <c r="E11" s="3215">
        <v>28700</v>
      </c>
      <c r="F11" s="3215">
        <v>10410</v>
      </c>
      <c r="G11" s="3215">
        <v>21460</v>
      </c>
      <c r="H11" s="3214"/>
      <c r="J11" s="3216" t="s">
        <v>194</v>
      </c>
      <c r="K11" s="3216" t="s">
        <v>195</v>
      </c>
      <c r="L11" s="3215" t="s">
        <v>196</v>
      </c>
      <c r="M11" s="3215" t="s">
        <v>197</v>
      </c>
      <c r="N11" s="3215" t="s">
        <v>198</v>
      </c>
      <c r="O11" s="3215" t="s">
        <v>2902</v>
      </c>
      <c r="P11" s="3215" t="s">
        <v>191</v>
      </c>
      <c r="Q11" s="3215" t="s">
        <v>199</v>
      </c>
      <c r="R11" s="3215" t="s">
        <v>2903</v>
      </c>
      <c r="S11" s="3215" t="s">
        <v>2904</v>
      </c>
    </row>
    <row r="12" spans="1:20">
      <c r="A12" s="3215" t="s">
        <v>184</v>
      </c>
      <c r="B12" s="3216" t="s">
        <v>111</v>
      </c>
      <c r="C12" s="3215">
        <v>29640</v>
      </c>
      <c r="D12" s="3215">
        <v>27550</v>
      </c>
      <c r="E12" s="3215">
        <v>28010</v>
      </c>
      <c r="F12" s="3215">
        <v>8730</v>
      </c>
      <c r="G12" s="3215">
        <v>20050</v>
      </c>
      <c r="H12" s="3214"/>
      <c r="J12" s="3216" t="s">
        <v>201</v>
      </c>
      <c r="K12" s="3216" t="s">
        <v>202</v>
      </c>
      <c r="L12" s="3215" t="s">
        <v>203</v>
      </c>
      <c r="M12" s="3215" t="s">
        <v>204</v>
      </c>
      <c r="N12" s="3215" t="s">
        <v>205</v>
      </c>
      <c r="O12" s="3215" t="s">
        <v>2905</v>
      </c>
      <c r="P12" s="3215" t="s">
        <v>2906</v>
      </c>
      <c r="Q12" s="3215" t="s">
        <v>2907</v>
      </c>
      <c r="R12" s="3215" t="s">
        <v>2908</v>
      </c>
      <c r="S12" s="3215" t="s">
        <v>2909</v>
      </c>
    </row>
    <row r="13" spans="1:20">
      <c r="A13" s="3215" t="s">
        <v>184</v>
      </c>
      <c r="B13" s="3216" t="s">
        <v>146</v>
      </c>
      <c r="C13" s="3215">
        <v>29680</v>
      </c>
      <c r="D13" s="3215">
        <v>27660</v>
      </c>
      <c r="E13" s="3215">
        <v>28210</v>
      </c>
      <c r="F13" s="3215">
        <v>9590</v>
      </c>
      <c r="G13" s="3215">
        <v>20120</v>
      </c>
      <c r="H13" s="3214"/>
      <c r="J13" s="3216" t="s">
        <v>208</v>
      </c>
      <c r="K13" s="3216" t="s">
        <v>209</v>
      </c>
      <c r="L13" s="3215" t="s">
        <v>210</v>
      </c>
      <c r="M13" s="3215" t="s">
        <v>211</v>
      </c>
      <c r="N13" s="3215" t="s">
        <v>212</v>
      </c>
      <c r="O13" s="3215" t="s">
        <v>2910</v>
      </c>
      <c r="P13" s="3215" t="s">
        <v>206</v>
      </c>
      <c r="Q13" s="3215" t="s">
        <v>219</v>
      </c>
      <c r="R13" s="3215" t="s">
        <v>220</v>
      </c>
      <c r="S13" s="3215" t="s">
        <v>214</v>
      </c>
    </row>
    <row r="14" spans="1:20">
      <c r="A14" s="3215" t="s">
        <v>184</v>
      </c>
      <c r="B14" s="3216" t="s">
        <v>155</v>
      </c>
      <c r="C14" s="3215">
        <v>30520</v>
      </c>
      <c r="D14" s="3215">
        <v>29510</v>
      </c>
      <c r="E14" s="3215">
        <v>29400</v>
      </c>
      <c r="F14" s="3215">
        <v>9630</v>
      </c>
      <c r="G14" s="3215">
        <v>21480</v>
      </c>
      <c r="H14" s="3214"/>
      <c r="J14" s="3216" t="s">
        <v>2911</v>
      </c>
      <c r="K14" s="3216" t="s">
        <v>215</v>
      </c>
      <c r="L14" s="3215" t="s">
        <v>216</v>
      </c>
      <c r="M14" s="3215" t="s">
        <v>217</v>
      </c>
      <c r="N14" s="3215" t="s">
        <v>218</v>
      </c>
      <c r="O14" s="3215" t="s">
        <v>240</v>
      </c>
      <c r="P14" s="3215" t="s">
        <v>213</v>
      </c>
      <c r="Q14" s="3215" t="s">
        <v>2912</v>
      </c>
      <c r="R14" s="3215" t="s">
        <v>228</v>
      </c>
      <c r="S14" s="3215" t="s">
        <v>221</v>
      </c>
    </row>
    <row r="15" spans="1:20">
      <c r="A15" s="3215" t="s">
        <v>184</v>
      </c>
      <c r="B15" s="3216" t="s">
        <v>162</v>
      </c>
      <c r="C15" s="3215">
        <v>29090</v>
      </c>
      <c r="D15" s="3215">
        <v>27590</v>
      </c>
      <c r="E15" s="3215">
        <v>28120</v>
      </c>
      <c r="F15" s="3215">
        <v>9110</v>
      </c>
      <c r="G15" s="3215">
        <v>20070</v>
      </c>
      <c r="H15" s="3214"/>
      <c r="J15" s="3216" t="s">
        <v>222</v>
      </c>
      <c r="K15" s="3216" t="s">
        <v>223</v>
      </c>
      <c r="L15" s="3215" t="s">
        <v>224</v>
      </c>
      <c r="M15" s="3215" t="s">
        <v>225</v>
      </c>
      <c r="N15" s="3215" t="s">
        <v>226</v>
      </c>
      <c r="O15" s="3215" t="s">
        <v>2913</v>
      </c>
      <c r="P15" s="3215" t="s">
        <v>2914</v>
      </c>
      <c r="Q15" s="3215" t="s">
        <v>242</v>
      </c>
      <c r="R15" s="3215" t="s">
        <v>2915</v>
      </c>
      <c r="S15" s="3215" t="s">
        <v>229</v>
      </c>
    </row>
    <row r="16" spans="1:20">
      <c r="A16" s="3215" t="s">
        <v>184</v>
      </c>
      <c r="B16" s="3216" t="s">
        <v>168</v>
      </c>
      <c r="C16" s="3215">
        <v>26790</v>
      </c>
      <c r="D16" s="3215">
        <v>30370</v>
      </c>
      <c r="E16" s="3215">
        <v>30240</v>
      </c>
      <c r="F16" s="3215">
        <v>11590</v>
      </c>
      <c r="G16" s="3215">
        <v>22090</v>
      </c>
      <c r="H16" s="3214"/>
      <c r="J16" s="3216" t="s">
        <v>230</v>
      </c>
      <c r="K16" s="3216" t="s">
        <v>231</v>
      </c>
      <c r="L16" s="3215" t="s">
        <v>232</v>
      </c>
      <c r="M16" s="3215" t="s">
        <v>233</v>
      </c>
      <c r="N16" s="3215" t="s">
        <v>234</v>
      </c>
      <c r="O16" s="3215" t="s">
        <v>2916</v>
      </c>
      <c r="P16" s="3215" t="s">
        <v>227</v>
      </c>
      <c r="Q16" s="3215" t="s">
        <v>250</v>
      </c>
      <c r="R16" s="3215" t="s">
        <v>207</v>
      </c>
      <c r="S16" s="3215" t="s">
        <v>2917</v>
      </c>
    </row>
    <row r="17" spans="1:19" ht="14.25" customHeight="1">
      <c r="A17" s="3215" t="s">
        <v>184</v>
      </c>
      <c r="B17" s="3216" t="s">
        <v>175</v>
      </c>
      <c r="C17" s="3215">
        <v>29180</v>
      </c>
      <c r="D17" s="3215">
        <v>27620</v>
      </c>
      <c r="E17" s="3215">
        <v>28180</v>
      </c>
      <c r="F17" s="3215">
        <v>10790</v>
      </c>
      <c r="G17" s="3215">
        <v>20090</v>
      </c>
      <c r="H17" s="3214"/>
      <c r="J17" s="3216" t="s">
        <v>235</v>
      </c>
      <c r="K17" s="3216" t="s">
        <v>236</v>
      </c>
      <c r="L17" s="3215" t="s">
        <v>237</v>
      </c>
      <c r="M17" s="3215" t="s">
        <v>238</v>
      </c>
      <c r="N17" s="3215" t="s">
        <v>239</v>
      </c>
      <c r="O17" s="3215" t="s">
        <v>2918</v>
      </c>
      <c r="P17" s="3215" t="s">
        <v>2919</v>
      </c>
      <c r="Q17" s="3215" t="s">
        <v>256</v>
      </c>
      <c r="R17" s="3215" t="s">
        <v>2920</v>
      </c>
      <c r="S17" s="3215" t="s">
        <v>258</v>
      </c>
    </row>
    <row r="18" spans="1:19" ht="14.25" customHeight="1">
      <c r="A18" s="3215" t="s">
        <v>184</v>
      </c>
      <c r="B18" s="3216" t="s">
        <v>185</v>
      </c>
      <c r="C18" s="3215">
        <v>26840</v>
      </c>
      <c r="D18" s="3215">
        <v>28930</v>
      </c>
      <c r="E18" s="3215">
        <v>28820</v>
      </c>
      <c r="F18" s="3215"/>
      <c r="G18" s="3215">
        <v>21050</v>
      </c>
      <c r="H18" s="3214"/>
      <c r="J18" s="3216" t="s">
        <v>244</v>
      </c>
      <c r="K18" s="3216" t="s">
        <v>245</v>
      </c>
      <c r="L18" s="3215" t="s">
        <v>246</v>
      </c>
      <c r="M18" s="3215" t="s">
        <v>247</v>
      </c>
      <c r="N18" s="3215" t="s">
        <v>248</v>
      </c>
      <c r="O18" s="3215" t="s">
        <v>2921</v>
      </c>
      <c r="P18" s="3215" t="s">
        <v>241</v>
      </c>
      <c r="Q18" s="3215" t="s">
        <v>2922</v>
      </c>
      <c r="R18" s="3215" t="s">
        <v>257</v>
      </c>
      <c r="S18" s="3215" t="s">
        <v>266</v>
      </c>
    </row>
    <row r="19" spans="1:19" ht="14.25" customHeight="1">
      <c r="A19" s="3215" t="s">
        <v>184</v>
      </c>
      <c r="B19" s="3216" t="s">
        <v>194</v>
      </c>
      <c r="C19" s="3215">
        <v>27750</v>
      </c>
      <c r="D19" s="3215">
        <v>26680</v>
      </c>
      <c r="E19" s="3215">
        <v>26590</v>
      </c>
      <c r="F19" s="3215"/>
      <c r="G19" s="3215">
        <v>19420</v>
      </c>
      <c r="H19" s="3214"/>
      <c r="J19" s="3216" t="s">
        <v>251</v>
      </c>
      <c r="K19" s="3216" t="s">
        <v>252</v>
      </c>
      <c r="L19" s="3215" t="s">
        <v>253</v>
      </c>
      <c r="M19" s="3215" t="s">
        <v>254</v>
      </c>
      <c r="N19" s="3215" t="s">
        <v>255</v>
      </c>
      <c r="O19" s="3215" t="s">
        <v>2923</v>
      </c>
      <c r="P19" s="3215" t="s">
        <v>249</v>
      </c>
      <c r="Q19" s="3215" t="s">
        <v>2924</v>
      </c>
      <c r="R19" s="3215" t="s">
        <v>265</v>
      </c>
      <c r="S19" s="3215" t="s">
        <v>2925</v>
      </c>
    </row>
    <row r="20" spans="1:19" ht="14.25" customHeight="1">
      <c r="A20" s="3215" t="s">
        <v>184</v>
      </c>
      <c r="B20" s="3216" t="s">
        <v>201</v>
      </c>
      <c r="C20" s="3215">
        <v>27050</v>
      </c>
      <c r="D20" s="3215">
        <v>29010</v>
      </c>
      <c r="E20" s="3215">
        <v>28910</v>
      </c>
      <c r="F20" s="3215"/>
      <c r="G20" s="3215">
        <v>21110</v>
      </c>
      <c r="J20" s="3216" t="s">
        <v>259</v>
      </c>
      <c r="K20" s="3216" t="s">
        <v>260</v>
      </c>
      <c r="L20" s="3215" t="s">
        <v>261</v>
      </c>
      <c r="M20" s="3215" t="s">
        <v>262</v>
      </c>
      <c r="N20" s="3215" t="s">
        <v>263</v>
      </c>
      <c r="O20" s="3215" t="s">
        <v>2926</v>
      </c>
      <c r="P20" s="3215" t="s">
        <v>2927</v>
      </c>
      <c r="Q20" s="3215" t="s">
        <v>290</v>
      </c>
      <c r="R20" s="3215" t="s">
        <v>2928</v>
      </c>
      <c r="S20" s="3215" t="s">
        <v>277</v>
      </c>
    </row>
    <row r="21" spans="1:19" ht="14.25" customHeight="1" thickBot="1">
      <c r="A21" s="3215" t="s">
        <v>184</v>
      </c>
      <c r="B21" s="3216" t="s">
        <v>208</v>
      </c>
      <c r="C21" s="3215">
        <v>32370</v>
      </c>
      <c r="D21" s="3215">
        <v>26730</v>
      </c>
      <c r="E21" s="3215">
        <v>26640</v>
      </c>
      <c r="F21" s="3215"/>
      <c r="G21" s="3215">
        <v>19440</v>
      </c>
      <c r="J21" s="3222" t="s">
        <v>2929</v>
      </c>
      <c r="K21" s="3216" t="s">
        <v>267</v>
      </c>
      <c r="L21" s="3215" t="s">
        <v>268</v>
      </c>
      <c r="M21" s="3215" t="s">
        <v>269</v>
      </c>
      <c r="N21" s="3215" t="s">
        <v>270</v>
      </c>
      <c r="O21" s="3215" t="s">
        <v>264</v>
      </c>
      <c r="P21" s="3215" t="s">
        <v>283</v>
      </c>
      <c r="Q21" s="3215" t="s">
        <v>293</v>
      </c>
      <c r="R21" s="3215" t="s">
        <v>2930</v>
      </c>
      <c r="S21" s="3222" t="s">
        <v>2931</v>
      </c>
    </row>
    <row r="22" spans="1:19" ht="14.25" customHeight="1">
      <c r="A22" s="3215" t="s">
        <v>184</v>
      </c>
      <c r="B22" s="3216" t="s">
        <v>2911</v>
      </c>
      <c r="C22" s="3215">
        <v>29830</v>
      </c>
      <c r="D22" s="3215">
        <v>27600</v>
      </c>
      <c r="E22" s="3215">
        <v>28150</v>
      </c>
      <c r="F22" s="3215"/>
      <c r="G22" s="3215">
        <v>20080</v>
      </c>
      <c r="K22" s="3216" t="s">
        <v>2932</v>
      </c>
      <c r="L22" s="3215" t="s">
        <v>272</v>
      </c>
      <c r="M22" s="3215" t="s">
        <v>273</v>
      </c>
      <c r="N22" s="3215" t="s">
        <v>274</v>
      </c>
      <c r="O22" s="3215" t="s">
        <v>2933</v>
      </c>
      <c r="P22" s="3215" t="s">
        <v>286</v>
      </c>
      <c r="Q22" s="3215" t="s">
        <v>295</v>
      </c>
      <c r="R22" s="3215" t="s">
        <v>243</v>
      </c>
    </row>
    <row r="23" spans="1:19" ht="14.25" customHeight="1">
      <c r="A23" s="3215" t="s">
        <v>184</v>
      </c>
      <c r="B23" s="3216" t="s">
        <v>222</v>
      </c>
      <c r="C23" s="3215">
        <v>27800</v>
      </c>
      <c r="D23" s="3215">
        <v>26900</v>
      </c>
      <c r="E23" s="3215">
        <v>27170</v>
      </c>
      <c r="F23" s="3215"/>
      <c r="G23" s="3215">
        <v>19570</v>
      </c>
      <c r="K23" s="3216" t="s">
        <v>2934</v>
      </c>
      <c r="L23" s="3215" t="s">
        <v>278</v>
      </c>
      <c r="M23" s="3215" t="s">
        <v>279</v>
      </c>
      <c r="N23" s="3215" t="s">
        <v>2935</v>
      </c>
      <c r="O23" s="3215" t="s">
        <v>2936</v>
      </c>
      <c r="P23" s="3215" t="s">
        <v>289</v>
      </c>
      <c r="Q23" s="3215" t="s">
        <v>298</v>
      </c>
      <c r="R23" s="3215" t="s">
        <v>2937</v>
      </c>
    </row>
    <row r="24" spans="1:19" ht="14.25" customHeight="1">
      <c r="A24" s="3215" t="s">
        <v>184</v>
      </c>
      <c r="B24" s="3216" t="s">
        <v>230</v>
      </c>
      <c r="C24" s="3215">
        <v>27930</v>
      </c>
      <c r="D24" s="3215">
        <v>32260</v>
      </c>
      <c r="E24" s="3215">
        <v>32120</v>
      </c>
      <c r="F24" s="3215"/>
      <c r="G24" s="3215">
        <v>23470</v>
      </c>
      <c r="K24" s="3216" t="s">
        <v>2938</v>
      </c>
      <c r="L24" s="3215" t="s">
        <v>281</v>
      </c>
      <c r="M24" s="3215" t="s">
        <v>282</v>
      </c>
      <c r="N24" s="3215" t="s">
        <v>2939</v>
      </c>
      <c r="O24" s="3215" t="s">
        <v>285</v>
      </c>
      <c r="P24" s="3215" t="s">
        <v>2940</v>
      </c>
      <c r="Q24" s="3224" t="s">
        <v>2941</v>
      </c>
      <c r="R24" s="3215" t="s">
        <v>2942</v>
      </c>
    </row>
    <row r="25" spans="1:19" ht="14.25" customHeight="1">
      <c r="A25" s="3215" t="s">
        <v>184</v>
      </c>
      <c r="B25" s="3216" t="s">
        <v>235</v>
      </c>
      <c r="C25" s="3215">
        <v>32230</v>
      </c>
      <c r="D25" s="3215">
        <v>29640</v>
      </c>
      <c r="E25" s="3215">
        <v>29510</v>
      </c>
      <c r="F25" s="3215"/>
      <c r="G25" s="3215">
        <v>21560</v>
      </c>
      <c r="K25" s="3216" t="s">
        <v>2943</v>
      </c>
      <c r="L25" s="3215" t="s">
        <v>2944</v>
      </c>
      <c r="M25" s="3215" t="s">
        <v>284</v>
      </c>
      <c r="N25" s="3215" t="s">
        <v>292</v>
      </c>
      <c r="O25" s="3215" t="s">
        <v>288</v>
      </c>
      <c r="P25" s="3215" t="s">
        <v>275</v>
      </c>
      <c r="Q25" s="3224" t="s">
        <v>271</v>
      </c>
      <c r="R25" s="3215" t="s">
        <v>2945</v>
      </c>
    </row>
    <row r="26" spans="1:19" ht="14.25" customHeight="1" thickBot="1">
      <c r="A26" s="3215" t="s">
        <v>184</v>
      </c>
      <c r="B26" s="3216" t="s">
        <v>244</v>
      </c>
      <c r="C26" s="3215">
        <v>31690</v>
      </c>
      <c r="D26" s="3215">
        <v>27650</v>
      </c>
      <c r="E26" s="3215">
        <v>28200</v>
      </c>
      <c r="F26" s="3215"/>
      <c r="G26" s="3215">
        <v>20110</v>
      </c>
      <c r="K26" s="3221" t="s">
        <v>2946</v>
      </c>
      <c r="L26" s="3215" t="s">
        <v>2947</v>
      </c>
      <c r="M26" s="3215" t="s">
        <v>287</v>
      </c>
      <c r="N26" s="3215" t="s">
        <v>294</v>
      </c>
      <c r="O26" s="3215" t="s">
        <v>2948</v>
      </c>
      <c r="P26" s="3215" t="s">
        <v>2949</v>
      </c>
      <c r="Q26" s="3224" t="s">
        <v>276</v>
      </c>
      <c r="R26" s="3215" t="s">
        <v>2950</v>
      </c>
    </row>
    <row r="27" spans="1:19" ht="14.25" customHeight="1">
      <c r="A27" s="3215" t="s">
        <v>184</v>
      </c>
      <c r="B27" s="3216" t="s">
        <v>251</v>
      </c>
      <c r="C27" s="3215">
        <v>29610</v>
      </c>
      <c r="D27" s="3215">
        <v>27770</v>
      </c>
      <c r="E27" s="3215">
        <v>28300</v>
      </c>
      <c r="F27" s="3215"/>
      <c r="G27" s="3215">
        <v>20210</v>
      </c>
      <c r="L27" s="3215" t="s">
        <v>2951</v>
      </c>
      <c r="M27" s="3215" t="s">
        <v>291</v>
      </c>
      <c r="N27" s="3215" t="s">
        <v>297</v>
      </c>
      <c r="O27" s="3215" t="s">
        <v>2952</v>
      </c>
      <c r="P27" s="3215" t="s">
        <v>2953</v>
      </c>
      <c r="Q27" s="3215" t="s">
        <v>2954</v>
      </c>
      <c r="R27" s="3215" t="s">
        <v>2955</v>
      </c>
    </row>
    <row r="28" spans="1:19" ht="14.25" customHeight="1">
      <c r="A28" s="3215" t="s">
        <v>184</v>
      </c>
      <c r="B28" s="3216" t="s">
        <v>259</v>
      </c>
      <c r="C28" s="3215"/>
      <c r="D28" s="3215">
        <v>31520</v>
      </c>
      <c r="E28" s="3215">
        <v>31410</v>
      </c>
      <c r="F28" s="3215"/>
      <c r="G28" s="3215">
        <v>22940</v>
      </c>
      <c r="L28" s="3215" t="s">
        <v>2956</v>
      </c>
      <c r="M28" s="3215" t="s">
        <v>2957</v>
      </c>
      <c r="N28" s="3215" t="s">
        <v>2958</v>
      </c>
      <c r="O28" s="3215" t="s">
        <v>2959</v>
      </c>
      <c r="P28" s="3215" t="s">
        <v>2960</v>
      </c>
      <c r="Q28" s="3215" t="s">
        <v>2961</v>
      </c>
      <c r="R28" s="3215" t="s">
        <v>2962</v>
      </c>
    </row>
    <row r="29" spans="1:19" ht="14.25" customHeight="1" thickBot="1">
      <c r="A29" s="3223" t="s">
        <v>184</v>
      </c>
      <c r="B29" s="3225" t="s">
        <v>2929</v>
      </c>
      <c r="C29" s="3226"/>
      <c r="D29" s="3226">
        <v>29460</v>
      </c>
      <c r="E29" s="3226">
        <v>28640</v>
      </c>
      <c r="F29" s="3226"/>
      <c r="G29" s="3226">
        <v>21430</v>
      </c>
      <c r="L29" s="3215" t="s">
        <v>2963</v>
      </c>
      <c r="M29" s="3215" t="s">
        <v>2964</v>
      </c>
      <c r="N29" s="3215" t="s">
        <v>2965</v>
      </c>
      <c r="O29" s="3215" t="s">
        <v>2966</v>
      </c>
      <c r="P29" s="3215" t="s">
        <v>2967</v>
      </c>
      <c r="Q29" s="3215" t="s">
        <v>2968</v>
      </c>
      <c r="R29" s="3215" t="s">
        <v>280</v>
      </c>
    </row>
    <row r="30" spans="1:19" ht="14.25" customHeight="1">
      <c r="A30" s="3220" t="s">
        <v>296</v>
      </c>
      <c r="B30" s="3211" t="s">
        <v>2862</v>
      </c>
      <c r="C30" s="3211">
        <v>26890</v>
      </c>
      <c r="D30" s="3211">
        <v>26770</v>
      </c>
      <c r="E30" s="3211">
        <v>25700</v>
      </c>
      <c r="F30" s="3211">
        <v>8180</v>
      </c>
      <c r="G30" s="3227">
        <v>18740</v>
      </c>
      <c r="L30" s="3215" t="s">
        <v>2969</v>
      </c>
      <c r="M30" s="3215" t="s">
        <v>2970</v>
      </c>
      <c r="N30" s="3215" t="s">
        <v>2971</v>
      </c>
      <c r="O30" s="3215" t="s">
        <v>2972</v>
      </c>
      <c r="P30" s="3215" t="s">
        <v>2973</v>
      </c>
      <c r="Q30" s="3215" t="s">
        <v>2974</v>
      </c>
      <c r="R30" s="3215" t="s">
        <v>2975</v>
      </c>
    </row>
    <row r="31" spans="1:19" ht="14.25" customHeight="1">
      <c r="A31" s="3215" t="s">
        <v>296</v>
      </c>
      <c r="B31" s="3216" t="s">
        <v>129</v>
      </c>
      <c r="C31" s="3215">
        <v>24550</v>
      </c>
      <c r="D31" s="3215">
        <v>23990</v>
      </c>
      <c r="E31" s="3215">
        <v>22930</v>
      </c>
      <c r="F31" s="3215">
        <v>7470</v>
      </c>
      <c r="G31" s="3228">
        <v>16790</v>
      </c>
      <c r="L31" s="3215" t="s">
        <v>2976</v>
      </c>
      <c r="M31" s="3215" t="s">
        <v>2977</v>
      </c>
      <c r="N31" s="3215" t="s">
        <v>2978</v>
      </c>
      <c r="O31" s="3215" t="s">
        <v>2979</v>
      </c>
      <c r="P31" s="3215" t="s">
        <v>2980</v>
      </c>
      <c r="Q31" s="3215" t="s">
        <v>2981</v>
      </c>
      <c r="R31" s="3215" t="s">
        <v>2982</v>
      </c>
    </row>
    <row r="32" spans="1:19" ht="14.25" customHeight="1" thickBot="1">
      <c r="A32" s="3215" t="s">
        <v>296</v>
      </c>
      <c r="B32" s="3216" t="s">
        <v>138</v>
      </c>
      <c r="C32" s="3215">
        <v>27210</v>
      </c>
      <c r="D32" s="3215">
        <v>23240</v>
      </c>
      <c r="E32" s="3215">
        <v>23260</v>
      </c>
      <c r="F32" s="3215">
        <v>7130</v>
      </c>
      <c r="G32" s="3228">
        <v>16270</v>
      </c>
      <c r="L32" s="3215" t="s">
        <v>2983</v>
      </c>
      <c r="M32" s="3215" t="s">
        <v>2984</v>
      </c>
      <c r="N32" s="3215" t="s">
        <v>300</v>
      </c>
      <c r="O32" s="3215" t="s">
        <v>2985</v>
      </c>
      <c r="P32" s="3215" t="s">
        <v>299</v>
      </c>
      <c r="Q32" s="3215" t="s">
        <v>2986</v>
      </c>
      <c r="R32" s="3222" t="s">
        <v>2987</v>
      </c>
    </row>
    <row r="33" spans="1:17" ht="14.25" customHeight="1" thickBot="1">
      <c r="A33" s="3215" t="s">
        <v>296</v>
      </c>
      <c r="B33" s="3216" t="s">
        <v>147</v>
      </c>
      <c r="C33" s="3215">
        <v>27300</v>
      </c>
      <c r="D33" s="3215">
        <v>22980</v>
      </c>
      <c r="E33" s="3215">
        <v>24260</v>
      </c>
      <c r="F33" s="3215">
        <v>5860</v>
      </c>
      <c r="G33" s="3228">
        <v>16090</v>
      </c>
      <c r="L33" s="3222" t="s">
        <v>2988</v>
      </c>
      <c r="M33" s="3215" t="s">
        <v>2989</v>
      </c>
      <c r="N33" s="3215" t="s">
        <v>301</v>
      </c>
      <c r="O33" s="3215" t="s">
        <v>2990</v>
      </c>
      <c r="P33" s="3215" t="s">
        <v>2991</v>
      </c>
      <c r="Q33" s="3215" t="s">
        <v>2992</v>
      </c>
    </row>
    <row r="34" spans="1:17" ht="14.25" customHeight="1">
      <c r="A34" s="3215" t="s">
        <v>296</v>
      </c>
      <c r="B34" s="3216" t="s">
        <v>156</v>
      </c>
      <c r="C34" s="3215">
        <v>23090</v>
      </c>
      <c r="D34" s="3215">
        <v>23390</v>
      </c>
      <c r="E34" s="3215">
        <v>23510</v>
      </c>
      <c r="F34" s="3215">
        <v>6700</v>
      </c>
      <c r="G34" s="3228">
        <v>16370</v>
      </c>
      <c r="M34" s="3215" t="s">
        <v>2993</v>
      </c>
      <c r="N34" s="3215" t="s">
        <v>302</v>
      </c>
      <c r="O34" s="3215" t="s">
        <v>2994</v>
      </c>
      <c r="P34" s="3215" t="s">
        <v>2995</v>
      </c>
      <c r="Q34" s="3215" t="s">
        <v>2996</v>
      </c>
    </row>
    <row r="35" spans="1:17" ht="14.25" customHeight="1">
      <c r="A35" s="3215" t="s">
        <v>296</v>
      </c>
      <c r="B35" s="3216" t="s">
        <v>163</v>
      </c>
      <c r="C35" s="3215">
        <v>27270</v>
      </c>
      <c r="D35" s="3215">
        <v>24270</v>
      </c>
      <c r="E35" s="3215">
        <v>24950</v>
      </c>
      <c r="F35" s="3215">
        <v>6600</v>
      </c>
      <c r="G35" s="3228">
        <v>16990</v>
      </c>
      <c r="M35" s="3215" t="s">
        <v>2997</v>
      </c>
      <c r="N35" s="3215" t="s">
        <v>2998</v>
      </c>
      <c r="O35" s="3215" t="s">
        <v>2999</v>
      </c>
      <c r="P35" s="3215" t="s">
        <v>3000</v>
      </c>
      <c r="Q35" s="3215" t="s">
        <v>3001</v>
      </c>
    </row>
    <row r="36" spans="1:17" ht="14.25" customHeight="1">
      <c r="A36" s="3215" t="s">
        <v>296</v>
      </c>
      <c r="B36" s="3216" t="s">
        <v>169</v>
      </c>
      <c r="C36" s="3215">
        <v>23490</v>
      </c>
      <c r="D36" s="3215">
        <v>23020</v>
      </c>
      <c r="E36" s="3215">
        <v>25230</v>
      </c>
      <c r="F36" s="3215">
        <v>6780</v>
      </c>
      <c r="G36" s="3228">
        <v>16120</v>
      </c>
      <c r="M36" s="3215" t="s">
        <v>3002</v>
      </c>
      <c r="N36" s="3215" t="s">
        <v>3003</v>
      </c>
      <c r="O36" s="3215" t="s">
        <v>3004</v>
      </c>
      <c r="P36" s="3215" t="s">
        <v>3005</v>
      </c>
      <c r="Q36" s="3215" t="s">
        <v>3006</v>
      </c>
    </row>
    <row r="37" spans="1:17" ht="14.25" customHeight="1">
      <c r="A37" s="3215" t="s">
        <v>296</v>
      </c>
      <c r="B37" s="3216" t="s">
        <v>176</v>
      </c>
      <c r="C37" s="3215">
        <v>24380</v>
      </c>
      <c r="D37" s="3215">
        <v>22240</v>
      </c>
      <c r="E37" s="3215">
        <v>25980</v>
      </c>
      <c r="F37" s="3215">
        <v>8160</v>
      </c>
      <c r="G37" s="3228">
        <v>15570</v>
      </c>
      <c r="M37" s="3215" t="s">
        <v>3007</v>
      </c>
      <c r="N37" s="3215" t="s">
        <v>3008</v>
      </c>
      <c r="O37" s="3215" t="s">
        <v>3009</v>
      </c>
      <c r="P37" s="3215" t="s">
        <v>3010</v>
      </c>
      <c r="Q37" s="3215" t="s">
        <v>3011</v>
      </c>
    </row>
    <row r="38" spans="1:17" ht="14.25" customHeight="1">
      <c r="A38" s="3215" t="s">
        <v>296</v>
      </c>
      <c r="B38" s="3216" t="s">
        <v>186</v>
      </c>
      <c r="C38" s="3215">
        <v>23120</v>
      </c>
      <c r="D38" s="3215">
        <v>24630</v>
      </c>
      <c r="E38" s="3215">
        <v>25030</v>
      </c>
      <c r="F38" s="3215">
        <v>7710</v>
      </c>
      <c r="G38" s="3228">
        <v>17240</v>
      </c>
      <c r="M38" s="3215" t="s">
        <v>3012</v>
      </c>
      <c r="N38" s="3215" t="s">
        <v>3013</v>
      </c>
      <c r="O38" s="3215" t="s">
        <v>3014</v>
      </c>
      <c r="P38" s="3215" t="s">
        <v>3015</v>
      </c>
      <c r="Q38" s="3215" t="s">
        <v>3016</v>
      </c>
    </row>
    <row r="39" spans="1:17" ht="14.25" customHeight="1">
      <c r="A39" s="3215" t="s">
        <v>296</v>
      </c>
      <c r="B39" s="3216" t="s">
        <v>195</v>
      </c>
      <c r="C39" s="3215">
        <v>22330</v>
      </c>
      <c r="D39" s="3215">
        <v>21140</v>
      </c>
      <c r="E39" s="3215">
        <v>23970</v>
      </c>
      <c r="F39" s="3215">
        <v>7940</v>
      </c>
      <c r="G39" s="3228">
        <v>14790</v>
      </c>
      <c r="M39" s="3215" t="s">
        <v>3017</v>
      </c>
      <c r="N39" s="3215" t="s">
        <v>3018</v>
      </c>
      <c r="O39" s="3215" t="s">
        <v>3019</v>
      </c>
      <c r="P39" s="3215" t="s">
        <v>3020</v>
      </c>
      <c r="Q39" s="3215" t="s">
        <v>3021</v>
      </c>
    </row>
    <row r="40" spans="1:17" ht="14.25" customHeight="1">
      <c r="A40" s="3215" t="s">
        <v>296</v>
      </c>
      <c r="B40" s="3216" t="s">
        <v>202</v>
      </c>
      <c r="C40" s="3215">
        <v>24740</v>
      </c>
      <c r="D40" s="3215">
        <v>24690</v>
      </c>
      <c r="E40" s="3215">
        <v>22610</v>
      </c>
      <c r="F40" s="3215"/>
      <c r="G40" s="3228">
        <v>17280</v>
      </c>
      <c r="M40" s="3215" t="s">
        <v>3022</v>
      </c>
      <c r="N40" s="3215" t="s">
        <v>3023</v>
      </c>
      <c r="O40" s="3215" t="s">
        <v>3024</v>
      </c>
      <c r="P40" s="3215" t="s">
        <v>3025</v>
      </c>
      <c r="Q40" s="3215" t="s">
        <v>3026</v>
      </c>
    </row>
    <row r="41" spans="1:17" ht="14.25" customHeight="1" thickBot="1">
      <c r="A41" s="3215" t="s">
        <v>296</v>
      </c>
      <c r="B41" s="3216" t="s">
        <v>209</v>
      </c>
      <c r="C41" s="3215">
        <v>21220</v>
      </c>
      <c r="D41" s="3215">
        <v>21120</v>
      </c>
      <c r="E41" s="3215">
        <v>22590</v>
      </c>
      <c r="F41" s="3215"/>
      <c r="G41" s="3228">
        <v>14780</v>
      </c>
      <c r="M41" s="3222" t="s">
        <v>3027</v>
      </c>
      <c r="N41" s="3215" t="s">
        <v>3028</v>
      </c>
      <c r="O41" s="3215" t="s">
        <v>3029</v>
      </c>
      <c r="P41" s="3215" t="s">
        <v>3030</v>
      </c>
      <c r="Q41" s="3215" t="s">
        <v>3031</v>
      </c>
    </row>
    <row r="42" spans="1:17" ht="14.25" customHeight="1">
      <c r="A42" s="3215" t="s">
        <v>296</v>
      </c>
      <c r="B42" s="3216" t="s">
        <v>215</v>
      </c>
      <c r="C42" s="3215">
        <v>24800</v>
      </c>
      <c r="D42" s="3215">
        <v>22280</v>
      </c>
      <c r="E42" s="3215">
        <v>24350</v>
      </c>
      <c r="F42" s="3215"/>
      <c r="G42" s="3228">
        <v>15590</v>
      </c>
      <c r="N42" s="3215" t="s">
        <v>3032</v>
      </c>
      <c r="O42" s="3215" t="s">
        <v>3033</v>
      </c>
      <c r="P42" s="3215" t="s">
        <v>3034</v>
      </c>
      <c r="Q42" s="3215" t="s">
        <v>3035</v>
      </c>
    </row>
    <row r="43" spans="1:17" ht="14.25" customHeight="1">
      <c r="A43" s="3215" t="s">
        <v>3036</v>
      </c>
      <c r="B43" s="3216" t="s">
        <v>223</v>
      </c>
      <c r="C43" s="3215">
        <v>21210</v>
      </c>
      <c r="D43" s="3215">
        <v>21160</v>
      </c>
      <c r="E43" s="3215">
        <v>22650</v>
      </c>
      <c r="F43" s="3215"/>
      <c r="G43" s="3228">
        <v>14800</v>
      </c>
      <c r="N43" s="3215" t="s">
        <v>3037</v>
      </c>
      <c r="O43" s="3215" t="s">
        <v>3038</v>
      </c>
      <c r="P43" s="3215" t="s">
        <v>3039</v>
      </c>
      <c r="Q43" s="3215" t="s">
        <v>3040</v>
      </c>
    </row>
    <row r="44" spans="1:17" ht="14.25" customHeight="1" thickBot="1">
      <c r="A44" s="3215" t="s">
        <v>296</v>
      </c>
      <c r="B44" s="3216" t="s">
        <v>231</v>
      </c>
      <c r="C44" s="3215">
        <v>22370</v>
      </c>
      <c r="D44" s="3215">
        <v>23140</v>
      </c>
      <c r="E44" s="3215">
        <v>25090</v>
      </c>
      <c r="F44" s="3215"/>
      <c r="G44" s="3228">
        <v>16190</v>
      </c>
      <c r="N44" s="3215" t="s">
        <v>3041</v>
      </c>
      <c r="O44" s="3215" t="s">
        <v>3042</v>
      </c>
      <c r="P44" s="3222" t="s">
        <v>3043</v>
      </c>
      <c r="Q44" s="3215" t="s">
        <v>3044</v>
      </c>
    </row>
    <row r="45" spans="1:17" ht="14.25" customHeight="1" thickBot="1">
      <c r="A45" s="3215" t="s">
        <v>296</v>
      </c>
      <c r="B45" s="3216" t="s">
        <v>236</v>
      </c>
      <c r="C45" s="3215">
        <v>21240</v>
      </c>
      <c r="D45" s="3215">
        <v>27050</v>
      </c>
      <c r="E45" s="3215">
        <v>28000</v>
      </c>
      <c r="F45" s="3215"/>
      <c r="G45" s="3228">
        <v>18940</v>
      </c>
      <c r="N45" s="3215" t="s">
        <v>3045</v>
      </c>
      <c r="O45" s="3222" t="s">
        <v>3046</v>
      </c>
      <c r="Q45" s="3215" t="s">
        <v>3047</v>
      </c>
    </row>
    <row r="46" spans="1:17" ht="14.25" customHeight="1">
      <c r="A46" s="3215" t="s">
        <v>296</v>
      </c>
      <c r="B46" s="3216" t="s">
        <v>245</v>
      </c>
      <c r="C46" s="3215">
        <v>23240</v>
      </c>
      <c r="D46" s="3215">
        <v>23000</v>
      </c>
      <c r="E46" s="3215">
        <v>24980</v>
      </c>
      <c r="F46" s="3215"/>
      <c r="G46" s="3228">
        <v>16100</v>
      </c>
      <c r="N46" s="3215" t="s">
        <v>3048</v>
      </c>
      <c r="Q46" s="3215" t="s">
        <v>3049</v>
      </c>
    </row>
    <row r="47" spans="1:17" ht="14.25" customHeight="1">
      <c r="A47" s="3215" t="s">
        <v>296</v>
      </c>
      <c r="B47" s="3216" t="s">
        <v>252</v>
      </c>
      <c r="C47" s="3215">
        <v>27150</v>
      </c>
      <c r="D47" s="3215">
        <v>23310</v>
      </c>
      <c r="E47" s="3215">
        <v>25150</v>
      </c>
      <c r="F47" s="3215"/>
      <c r="G47" s="3228">
        <v>16310</v>
      </c>
      <c r="N47" s="3215" t="s">
        <v>3050</v>
      </c>
      <c r="Q47" s="3215" t="s">
        <v>3051</v>
      </c>
    </row>
    <row r="48" spans="1:17" ht="14.25" customHeight="1">
      <c r="A48" s="3215" t="s">
        <v>296</v>
      </c>
      <c r="B48" s="3216" t="s">
        <v>260</v>
      </c>
      <c r="C48" s="3215">
        <v>23100</v>
      </c>
      <c r="D48" s="3215">
        <v>21110</v>
      </c>
      <c r="E48" s="3215">
        <v>23080</v>
      </c>
      <c r="F48" s="3215"/>
      <c r="G48" s="3228">
        <v>14780</v>
      </c>
      <c r="N48" s="3215" t="s">
        <v>3052</v>
      </c>
      <c r="Q48" s="3215" t="s">
        <v>3053</v>
      </c>
    </row>
    <row r="49" spans="1:17" ht="14.25" customHeight="1">
      <c r="A49" s="3215" t="s">
        <v>296</v>
      </c>
      <c r="B49" s="3216" t="s">
        <v>267</v>
      </c>
      <c r="C49" s="3215">
        <v>23400</v>
      </c>
      <c r="D49" s="3215">
        <v>22920</v>
      </c>
      <c r="E49" s="3215">
        <v>24900</v>
      </c>
      <c r="F49" s="3215"/>
      <c r="G49" s="3228">
        <v>16040</v>
      </c>
      <c r="N49" s="3215" t="s">
        <v>3054</v>
      </c>
      <c r="Q49" s="3215" t="s">
        <v>3055</v>
      </c>
    </row>
    <row r="50" spans="1:17" ht="14.25" customHeight="1">
      <c r="A50" s="3215" t="s">
        <v>296</v>
      </c>
      <c r="B50" s="3216" t="s">
        <v>2932</v>
      </c>
      <c r="C50" s="3215">
        <v>21200</v>
      </c>
      <c r="D50" s="3215">
        <v>26540</v>
      </c>
      <c r="E50" s="3215">
        <v>23200</v>
      </c>
      <c r="F50" s="3215"/>
      <c r="G50" s="3228">
        <v>18580</v>
      </c>
      <c r="N50" s="3215" t="s">
        <v>3056</v>
      </c>
      <c r="Q50" s="3216" t="s">
        <v>3057</v>
      </c>
    </row>
    <row r="51" spans="1:17" ht="14.25" customHeight="1" thickBot="1">
      <c r="A51" s="3215" t="s">
        <v>296</v>
      </c>
      <c r="B51" s="3216" t="s">
        <v>2934</v>
      </c>
      <c r="C51" s="3215">
        <v>23000</v>
      </c>
      <c r="D51" s="3215">
        <v>23460</v>
      </c>
      <c r="E51" s="3215">
        <v>25290</v>
      </c>
      <c r="F51" s="3215"/>
      <c r="G51" s="3228">
        <v>16420</v>
      </c>
      <c r="N51" s="3215" t="s">
        <v>3058</v>
      </c>
      <c r="Q51" s="3222" t="s">
        <v>3059</v>
      </c>
    </row>
    <row r="52" spans="1:17" ht="14.25" customHeight="1">
      <c r="A52" s="3215" t="s">
        <v>296</v>
      </c>
      <c r="B52" s="3216" t="s">
        <v>2938</v>
      </c>
      <c r="C52" s="3215">
        <v>26660</v>
      </c>
      <c r="D52" s="3215">
        <v>22350</v>
      </c>
      <c r="E52" s="3215">
        <v>22920</v>
      </c>
      <c r="F52" s="3215"/>
      <c r="G52" s="3228">
        <v>15640</v>
      </c>
      <c r="N52" s="3215" t="s">
        <v>3060</v>
      </c>
    </row>
    <row r="53" spans="1:17" ht="14.25" customHeight="1">
      <c r="A53" s="3215" t="s">
        <v>296</v>
      </c>
      <c r="B53" s="3216" t="s">
        <v>2943</v>
      </c>
      <c r="C53" s="3215">
        <v>23580</v>
      </c>
      <c r="D53" s="3215"/>
      <c r="E53" s="3215">
        <v>24280</v>
      </c>
      <c r="F53" s="3215"/>
      <c r="G53" s="3228"/>
      <c r="N53" s="3215" t="s">
        <v>3061</v>
      </c>
    </row>
    <row r="54" spans="1:17" ht="14.25" customHeight="1" thickBot="1">
      <c r="A54" s="3229" t="s">
        <v>296</v>
      </c>
      <c r="B54" s="3221" t="s">
        <v>2946</v>
      </c>
      <c r="C54" s="3222">
        <v>22460</v>
      </c>
      <c r="D54" s="3222"/>
      <c r="E54" s="3222"/>
      <c r="F54" s="3222"/>
      <c r="G54" s="3230"/>
      <c r="N54" s="3215" t="s">
        <v>3062</v>
      </c>
    </row>
    <row r="55" spans="1:17" ht="14.25" customHeight="1">
      <c r="A55" s="3220" t="s">
        <v>110</v>
      </c>
      <c r="B55" s="3211" t="s">
        <v>3063</v>
      </c>
      <c r="C55" s="3215">
        <v>21970</v>
      </c>
      <c r="D55" s="3215">
        <v>20370</v>
      </c>
      <c r="E55" s="3215">
        <v>20180</v>
      </c>
      <c r="F55" s="3215">
        <v>5730</v>
      </c>
      <c r="G55" s="3215">
        <v>13820</v>
      </c>
      <c r="N55" s="3215" t="s">
        <v>3064</v>
      </c>
    </row>
    <row r="56" spans="1:17" ht="14.25" customHeight="1">
      <c r="A56" s="3215" t="s">
        <v>110</v>
      </c>
      <c r="B56" s="3215" t="s">
        <v>130</v>
      </c>
      <c r="C56" s="3215">
        <v>20470</v>
      </c>
      <c r="D56" s="3215">
        <v>20700</v>
      </c>
      <c r="E56" s="3215">
        <v>20380</v>
      </c>
      <c r="F56" s="3215">
        <v>4760</v>
      </c>
      <c r="G56" s="3215">
        <v>14050</v>
      </c>
      <c r="N56" s="3215" t="s">
        <v>3065</v>
      </c>
    </row>
    <row r="57" spans="1:17" ht="14.25" customHeight="1">
      <c r="A57" s="3215" t="s">
        <v>110</v>
      </c>
      <c r="B57" s="3215" t="s">
        <v>139</v>
      </c>
      <c r="C57" s="3215">
        <v>20790</v>
      </c>
      <c r="D57" s="3215">
        <v>21370</v>
      </c>
      <c r="E57" s="3215">
        <v>20890</v>
      </c>
      <c r="F57" s="3215">
        <v>4910</v>
      </c>
      <c r="G57" s="3215">
        <v>14510</v>
      </c>
      <c r="N57" s="3215" t="s">
        <v>3066</v>
      </c>
    </row>
    <row r="58" spans="1:17" ht="14.25" customHeight="1">
      <c r="A58" s="3215" t="s">
        <v>110</v>
      </c>
      <c r="B58" s="3215" t="s">
        <v>148</v>
      </c>
      <c r="C58" s="3215">
        <v>21460</v>
      </c>
      <c r="D58" s="3215">
        <v>20920</v>
      </c>
      <c r="E58" s="3215">
        <v>23410</v>
      </c>
      <c r="F58" s="3215">
        <v>5100</v>
      </c>
      <c r="G58" s="3215">
        <v>14200</v>
      </c>
      <c r="N58" s="3215" t="s">
        <v>3067</v>
      </c>
    </row>
    <row r="59" spans="1:17" ht="14.25" customHeight="1">
      <c r="A59" s="3215" t="s">
        <v>110</v>
      </c>
      <c r="B59" s="3215" t="s">
        <v>157</v>
      </c>
      <c r="C59" s="3215">
        <v>21000</v>
      </c>
      <c r="D59" s="3215">
        <v>21550</v>
      </c>
      <c r="E59" s="3215">
        <v>21150</v>
      </c>
      <c r="F59" s="3215">
        <v>5250</v>
      </c>
      <c r="G59" s="3215">
        <v>14630</v>
      </c>
      <c r="N59" s="3215" t="s">
        <v>3068</v>
      </c>
    </row>
    <row r="60" spans="1:17" ht="14.25" customHeight="1">
      <c r="A60" s="3215" t="s">
        <v>110</v>
      </c>
      <c r="B60" s="3215" t="s">
        <v>164</v>
      </c>
      <c r="C60" s="3215">
        <v>21640</v>
      </c>
      <c r="D60" s="3215">
        <v>21260</v>
      </c>
      <c r="E60" s="3215">
        <v>24040</v>
      </c>
      <c r="F60" s="3215">
        <v>4470</v>
      </c>
      <c r="G60" s="3215">
        <v>14430</v>
      </c>
      <c r="N60" s="3215" t="s">
        <v>3069</v>
      </c>
    </row>
    <row r="61" spans="1:17" ht="14.25" customHeight="1">
      <c r="A61" s="3215" t="s">
        <v>110</v>
      </c>
      <c r="B61" s="3215" t="s">
        <v>170</v>
      </c>
      <c r="C61" s="3215">
        <v>21330</v>
      </c>
      <c r="D61" s="3215">
        <v>18640</v>
      </c>
      <c r="E61" s="3215">
        <v>21190</v>
      </c>
      <c r="F61" s="3215">
        <v>4180</v>
      </c>
      <c r="G61" s="3215">
        <v>12650</v>
      </c>
      <c r="N61" s="3215" t="s">
        <v>3070</v>
      </c>
    </row>
    <row r="62" spans="1:17" ht="14.25" customHeight="1">
      <c r="A62" s="3215" t="s">
        <v>110</v>
      </c>
      <c r="B62" s="3215" t="s">
        <v>177</v>
      </c>
      <c r="C62" s="3215">
        <v>18710</v>
      </c>
      <c r="D62" s="3215">
        <v>19400</v>
      </c>
      <c r="E62" s="3215">
        <v>23750</v>
      </c>
      <c r="F62" s="3215">
        <v>4860</v>
      </c>
      <c r="G62" s="3215">
        <v>13170</v>
      </c>
      <c r="N62" s="3215" t="s">
        <v>3071</v>
      </c>
    </row>
    <row r="63" spans="1:17" ht="14.25" customHeight="1">
      <c r="A63" s="3215" t="s">
        <v>110</v>
      </c>
      <c r="B63" s="3215" t="s">
        <v>187</v>
      </c>
      <c r="C63" s="3215">
        <v>19480</v>
      </c>
      <c r="D63" s="3215">
        <v>16830</v>
      </c>
      <c r="E63" s="3215">
        <v>21590</v>
      </c>
      <c r="F63" s="3215">
        <v>4560</v>
      </c>
      <c r="G63" s="3215">
        <v>11420</v>
      </c>
      <c r="N63" s="3215" t="s">
        <v>3072</v>
      </c>
    </row>
    <row r="64" spans="1:17" ht="14.25" customHeight="1" thickBot="1">
      <c r="A64" s="3215" t="s">
        <v>110</v>
      </c>
      <c r="B64" s="3215" t="s">
        <v>196</v>
      </c>
      <c r="C64" s="3215">
        <v>16920</v>
      </c>
      <c r="D64" s="3215">
        <v>19190</v>
      </c>
      <c r="E64" s="3215">
        <v>22200</v>
      </c>
      <c r="F64" s="3215">
        <v>4390</v>
      </c>
      <c r="G64" s="3215">
        <v>13030</v>
      </c>
      <c r="N64" s="3222" t="s">
        <v>3073</v>
      </c>
    </row>
    <row r="65" spans="1:7" s="3204" customFormat="1" ht="14.25" customHeight="1">
      <c r="A65" s="3215" t="s">
        <v>110</v>
      </c>
      <c r="B65" s="3215" t="s">
        <v>203</v>
      </c>
      <c r="C65" s="3215">
        <v>19290</v>
      </c>
      <c r="D65" s="3215">
        <v>17020</v>
      </c>
      <c r="E65" s="3215">
        <v>19880</v>
      </c>
      <c r="F65" s="3215">
        <v>4070</v>
      </c>
      <c r="G65" s="3215">
        <v>11550</v>
      </c>
    </row>
    <row r="66" spans="1:7" s="3204" customFormat="1" ht="14.25" customHeight="1">
      <c r="A66" s="3215" t="s">
        <v>110</v>
      </c>
      <c r="B66" s="3215" t="s">
        <v>210</v>
      </c>
      <c r="C66" s="3215">
        <v>17090</v>
      </c>
      <c r="D66" s="3215">
        <v>18340</v>
      </c>
      <c r="E66" s="3215">
        <v>21830</v>
      </c>
      <c r="F66" s="3215">
        <v>4690</v>
      </c>
      <c r="G66" s="3215">
        <v>12450</v>
      </c>
    </row>
    <row r="67" spans="1:7" s="3204" customFormat="1" ht="14.25" customHeight="1">
      <c r="A67" s="3215" t="s">
        <v>110</v>
      </c>
      <c r="B67" s="3215" t="s">
        <v>216</v>
      </c>
      <c r="C67" s="3215">
        <v>18420</v>
      </c>
      <c r="D67" s="3215">
        <v>16360</v>
      </c>
      <c r="E67" s="3215">
        <v>20020</v>
      </c>
      <c r="F67" s="3215">
        <v>5150</v>
      </c>
      <c r="G67" s="3215">
        <v>11110</v>
      </c>
    </row>
    <row r="68" spans="1:7" s="3204" customFormat="1" ht="14.25" customHeight="1">
      <c r="A68" s="3215" t="s">
        <v>110</v>
      </c>
      <c r="B68" s="3215" t="s">
        <v>224</v>
      </c>
      <c r="C68" s="3215">
        <v>16450</v>
      </c>
      <c r="D68" s="3215">
        <v>18430</v>
      </c>
      <c r="E68" s="3215">
        <v>21010</v>
      </c>
      <c r="F68" s="3215">
        <v>4720</v>
      </c>
      <c r="G68" s="3215">
        <v>12510</v>
      </c>
    </row>
    <row r="69" spans="1:7" s="3204" customFormat="1" ht="14.25" customHeight="1">
      <c r="A69" s="3215" t="s">
        <v>110</v>
      </c>
      <c r="B69" s="3215" t="s">
        <v>232</v>
      </c>
      <c r="C69" s="3215">
        <v>18510</v>
      </c>
      <c r="D69" s="3215">
        <v>16300</v>
      </c>
      <c r="E69" s="3215">
        <v>18830</v>
      </c>
      <c r="F69" s="3215">
        <v>5400</v>
      </c>
      <c r="G69" s="3215">
        <v>11070</v>
      </c>
    </row>
    <row r="70" spans="1:7" s="3204" customFormat="1" ht="14.25" customHeight="1">
      <c r="A70" s="3215" t="s">
        <v>110</v>
      </c>
      <c r="B70" s="3215" t="s">
        <v>237</v>
      </c>
      <c r="C70" s="3215">
        <v>16370</v>
      </c>
      <c r="D70" s="3215">
        <v>18620</v>
      </c>
      <c r="E70" s="3215">
        <v>21100</v>
      </c>
      <c r="F70" s="3215">
        <v>5700</v>
      </c>
      <c r="G70" s="3215">
        <v>12640</v>
      </c>
    </row>
    <row r="71" spans="1:7" s="3204" customFormat="1" ht="14.25" customHeight="1">
      <c r="A71" s="3215" t="s">
        <v>110</v>
      </c>
      <c r="B71" s="3215" t="s">
        <v>246</v>
      </c>
      <c r="C71" s="3215">
        <v>18700</v>
      </c>
      <c r="D71" s="3215">
        <v>16290</v>
      </c>
      <c r="E71" s="3215">
        <v>18760</v>
      </c>
      <c r="F71" s="3215">
        <v>4780</v>
      </c>
      <c r="G71" s="3215">
        <v>11050</v>
      </c>
    </row>
    <row r="72" spans="1:7" s="3204" customFormat="1" ht="14.25" customHeight="1">
      <c r="A72" s="3215" t="s">
        <v>110</v>
      </c>
      <c r="B72" s="3215" t="s">
        <v>253</v>
      </c>
      <c r="C72" s="3215">
        <v>16340</v>
      </c>
      <c r="D72" s="3215">
        <v>17520</v>
      </c>
      <c r="E72" s="3215">
        <v>21170</v>
      </c>
      <c r="F72" s="3215"/>
      <c r="G72" s="3215">
        <v>11900</v>
      </c>
    </row>
    <row r="73" spans="1:7" s="3204" customFormat="1" ht="14.25" customHeight="1">
      <c r="A73" s="3215" t="s">
        <v>110</v>
      </c>
      <c r="B73" s="3215" t="s">
        <v>261</v>
      </c>
      <c r="C73" s="3215">
        <v>17610</v>
      </c>
      <c r="D73" s="3215">
        <v>18520</v>
      </c>
      <c r="E73" s="3215">
        <v>18720</v>
      </c>
      <c r="F73" s="3215"/>
      <c r="G73" s="3215">
        <v>12570</v>
      </c>
    </row>
    <row r="74" spans="1:7" s="3204" customFormat="1" ht="14.25" customHeight="1">
      <c r="A74" s="3215" t="s">
        <v>110</v>
      </c>
      <c r="B74" s="3215" t="s">
        <v>268</v>
      </c>
      <c r="C74" s="3215">
        <v>18600</v>
      </c>
      <c r="D74" s="3215">
        <v>16480</v>
      </c>
      <c r="E74" s="3215">
        <v>20100</v>
      </c>
      <c r="F74" s="3215"/>
      <c r="G74" s="3215">
        <v>11190</v>
      </c>
    </row>
    <row r="75" spans="1:7" s="3204" customFormat="1" ht="14.25" customHeight="1">
      <c r="A75" s="3215" t="s">
        <v>110</v>
      </c>
      <c r="B75" s="3215" t="s">
        <v>272</v>
      </c>
      <c r="C75" s="3215">
        <v>16570</v>
      </c>
      <c r="D75" s="3215">
        <v>17530</v>
      </c>
      <c r="E75" s="3215">
        <v>21030</v>
      </c>
      <c r="F75" s="3215"/>
      <c r="G75" s="3215">
        <v>11900</v>
      </c>
    </row>
    <row r="76" spans="1:7" s="3204" customFormat="1" ht="14.25" customHeight="1">
      <c r="A76" s="3215" t="s">
        <v>110</v>
      </c>
      <c r="B76" s="3215" t="s">
        <v>278</v>
      </c>
      <c r="C76" s="3215">
        <v>17610</v>
      </c>
      <c r="D76" s="3215">
        <v>20800</v>
      </c>
      <c r="E76" s="3215">
        <v>18920</v>
      </c>
      <c r="F76" s="3215"/>
      <c r="G76" s="3215">
        <v>14120</v>
      </c>
    </row>
    <row r="77" spans="1:7" s="3204" customFormat="1" ht="14.25" customHeight="1">
      <c r="A77" s="3215" t="s">
        <v>110</v>
      </c>
      <c r="B77" s="3215" t="s">
        <v>281</v>
      </c>
      <c r="C77" s="3215">
        <v>20890</v>
      </c>
      <c r="D77" s="3215">
        <v>19740</v>
      </c>
      <c r="E77" s="3215">
        <v>20110</v>
      </c>
      <c r="F77" s="3215"/>
      <c r="G77" s="3215">
        <v>13400</v>
      </c>
    </row>
    <row r="78" spans="1:7" s="3204" customFormat="1" ht="14.25" customHeight="1">
      <c r="A78" s="3215" t="s">
        <v>110</v>
      </c>
      <c r="B78" s="3215" t="s">
        <v>2944</v>
      </c>
      <c r="C78" s="3215">
        <v>19820</v>
      </c>
      <c r="D78" s="3215">
        <v>19780</v>
      </c>
      <c r="E78" s="3215">
        <v>18560</v>
      </c>
      <c r="F78" s="3215"/>
      <c r="G78" s="3215">
        <v>13430</v>
      </c>
    </row>
    <row r="79" spans="1:7" s="3204" customFormat="1" ht="14.25" customHeight="1">
      <c r="A79" s="3215" t="s">
        <v>110</v>
      </c>
      <c r="B79" s="3215" t="s">
        <v>2947</v>
      </c>
      <c r="C79" s="3215">
        <v>21660</v>
      </c>
      <c r="D79" s="3215">
        <v>18000</v>
      </c>
      <c r="E79" s="3215">
        <v>22570</v>
      </c>
      <c r="F79" s="3215"/>
      <c r="G79" s="3215">
        <v>12220</v>
      </c>
    </row>
    <row r="80" spans="1:7" s="3204" customFormat="1" ht="14.25" customHeight="1">
      <c r="A80" s="3215" t="s">
        <v>110</v>
      </c>
      <c r="B80" s="3215" t="s">
        <v>2951</v>
      </c>
      <c r="C80" s="3215">
        <v>19850</v>
      </c>
      <c r="D80" s="3215"/>
      <c r="E80" s="3215">
        <v>21700</v>
      </c>
      <c r="F80" s="3215"/>
      <c r="G80" s="3215"/>
    </row>
    <row r="81" spans="1:7" s="3204" customFormat="1" ht="14.25" customHeight="1">
      <c r="A81" s="3215" t="s">
        <v>110</v>
      </c>
      <c r="B81" s="3215" t="s">
        <v>2956</v>
      </c>
      <c r="C81" s="3215">
        <v>18080</v>
      </c>
      <c r="D81" s="3215"/>
      <c r="E81" s="3215">
        <v>20900</v>
      </c>
      <c r="F81" s="3215"/>
      <c r="G81" s="3215"/>
    </row>
    <row r="82" spans="1:7" s="3204" customFormat="1" ht="14.25" customHeight="1">
      <c r="A82" s="3215" t="s">
        <v>110</v>
      </c>
      <c r="B82" s="3215" t="s">
        <v>2963</v>
      </c>
      <c r="C82" s="3215"/>
      <c r="D82" s="3215"/>
      <c r="E82" s="3215">
        <v>20840</v>
      </c>
      <c r="F82" s="3215"/>
      <c r="G82" s="3215"/>
    </row>
    <row r="83" spans="1:7" s="3204" customFormat="1" ht="14.25" customHeight="1">
      <c r="A83" s="3215" t="s">
        <v>110</v>
      </c>
      <c r="B83" s="3215" t="s">
        <v>3074</v>
      </c>
      <c r="C83" s="3215"/>
      <c r="D83" s="3215"/>
      <c r="E83" s="3215"/>
      <c r="F83" s="3215">
        <v>4770</v>
      </c>
      <c r="G83" s="3215"/>
    </row>
    <row r="84" spans="1:7" s="3204" customFormat="1" ht="14.25" customHeight="1">
      <c r="A84" s="3215" t="s">
        <v>110</v>
      </c>
      <c r="B84" s="3215" t="s">
        <v>3075</v>
      </c>
      <c r="C84" s="3215"/>
      <c r="D84" s="3215"/>
      <c r="E84" s="3215"/>
      <c r="F84" s="3215">
        <v>4600</v>
      </c>
      <c r="G84" s="3215"/>
    </row>
    <row r="85" spans="1:7" s="3204" customFormat="1" ht="14.25" customHeight="1">
      <c r="A85" s="3215" t="s">
        <v>110</v>
      </c>
      <c r="B85" s="3215" t="s">
        <v>3076</v>
      </c>
      <c r="C85" s="3215"/>
      <c r="D85" s="3215"/>
      <c r="E85" s="3215"/>
      <c r="F85" s="3215">
        <v>4680</v>
      </c>
      <c r="G85" s="3215"/>
    </row>
    <row r="86" spans="1:7" s="3204" customFormat="1" ht="14.25" customHeight="1" thickBot="1">
      <c r="A86" s="3223" t="s">
        <v>110</v>
      </c>
      <c r="B86" s="3225" t="s">
        <v>3077</v>
      </c>
      <c r="C86" s="3226">
        <v>16610</v>
      </c>
      <c r="D86" s="3226">
        <v>16540</v>
      </c>
      <c r="E86" s="3226">
        <v>18850</v>
      </c>
      <c r="F86" s="3226"/>
      <c r="G86" s="3226">
        <v>11220</v>
      </c>
    </row>
    <row r="87" spans="1:7" s="3204" customFormat="1" ht="14.25" customHeight="1">
      <c r="A87" s="3220" t="s">
        <v>303</v>
      </c>
      <c r="B87" s="3211" t="s">
        <v>3078</v>
      </c>
      <c r="C87" s="3211">
        <v>15240</v>
      </c>
      <c r="D87" s="3211">
        <v>15170</v>
      </c>
      <c r="E87" s="3211">
        <v>18260</v>
      </c>
      <c r="F87" s="3211">
        <v>3830</v>
      </c>
      <c r="G87" s="3227">
        <v>10020</v>
      </c>
    </row>
    <row r="88" spans="1:7" s="3204" customFormat="1" ht="14.25" customHeight="1">
      <c r="A88" s="3215" t="s">
        <v>303</v>
      </c>
      <c r="B88" s="3215" t="s">
        <v>131</v>
      </c>
      <c r="C88" s="3215">
        <v>17310</v>
      </c>
      <c r="D88" s="3215">
        <v>17220</v>
      </c>
      <c r="E88" s="3215">
        <v>18610</v>
      </c>
      <c r="F88" s="3215">
        <v>3990</v>
      </c>
      <c r="G88" s="3228">
        <v>11380</v>
      </c>
    </row>
    <row r="89" spans="1:7" s="3204" customFormat="1" ht="14.25" customHeight="1">
      <c r="A89" s="3215" t="s">
        <v>303</v>
      </c>
      <c r="B89" s="3215" t="s">
        <v>140</v>
      </c>
      <c r="C89" s="3215">
        <v>15600</v>
      </c>
      <c r="D89" s="3215">
        <v>15550</v>
      </c>
      <c r="E89" s="3215">
        <v>19200</v>
      </c>
      <c r="F89" s="3215">
        <v>4110</v>
      </c>
      <c r="G89" s="3228">
        <v>10270</v>
      </c>
    </row>
    <row r="90" spans="1:7" s="3204" customFormat="1" ht="14.25" customHeight="1">
      <c r="A90" s="3215" t="s">
        <v>303</v>
      </c>
      <c r="B90" s="3215" t="s">
        <v>149</v>
      </c>
      <c r="C90" s="3215">
        <v>17330</v>
      </c>
      <c r="D90" s="3215">
        <v>17240</v>
      </c>
      <c r="E90" s="3215">
        <v>18570</v>
      </c>
      <c r="F90" s="3215">
        <v>4070</v>
      </c>
      <c r="G90" s="3228">
        <v>11390</v>
      </c>
    </row>
    <row r="91" spans="1:7" s="3204" customFormat="1" ht="14.25" customHeight="1">
      <c r="A91" s="3215" t="s">
        <v>303</v>
      </c>
      <c r="B91" s="3215" t="s">
        <v>158</v>
      </c>
      <c r="C91" s="3215">
        <v>16330</v>
      </c>
      <c r="D91" s="3215">
        <v>16260</v>
      </c>
      <c r="E91" s="3215">
        <v>16800</v>
      </c>
      <c r="F91" s="3215">
        <v>3410</v>
      </c>
      <c r="G91" s="3228">
        <v>10740</v>
      </c>
    </row>
    <row r="92" spans="1:7" s="3204" customFormat="1" ht="14.25" customHeight="1">
      <c r="A92" s="3215" t="s">
        <v>303</v>
      </c>
      <c r="B92" s="3215" t="s">
        <v>165</v>
      </c>
      <c r="C92" s="3215">
        <v>15570</v>
      </c>
      <c r="D92" s="3215">
        <v>15500</v>
      </c>
      <c r="E92" s="3215">
        <v>17360</v>
      </c>
      <c r="F92" s="3215">
        <v>3510</v>
      </c>
      <c r="G92" s="3228">
        <v>10240</v>
      </c>
    </row>
    <row r="93" spans="1:7" s="3204" customFormat="1" ht="14.25" customHeight="1">
      <c r="A93" s="3215" t="s">
        <v>303</v>
      </c>
      <c r="B93" s="3215" t="s">
        <v>171</v>
      </c>
      <c r="C93" s="3215">
        <v>14000</v>
      </c>
      <c r="D93" s="3215">
        <v>13930</v>
      </c>
      <c r="E93" s="3215">
        <v>18200</v>
      </c>
      <c r="F93" s="3215">
        <v>3640</v>
      </c>
      <c r="G93" s="3228">
        <v>9210</v>
      </c>
    </row>
    <row r="94" spans="1:7" s="3204" customFormat="1" ht="14.25" customHeight="1">
      <c r="A94" s="3215" t="s">
        <v>303</v>
      </c>
      <c r="B94" s="3215" t="s">
        <v>178</v>
      </c>
      <c r="C94" s="3215">
        <v>14530</v>
      </c>
      <c r="D94" s="3215">
        <v>14470</v>
      </c>
      <c r="E94" s="3215">
        <v>18240</v>
      </c>
      <c r="F94" s="3215">
        <v>3180</v>
      </c>
      <c r="G94" s="3228">
        <v>9560</v>
      </c>
    </row>
    <row r="95" spans="1:7" s="3204" customFormat="1" ht="14.25" customHeight="1">
      <c r="A95" s="3215" t="s">
        <v>303</v>
      </c>
      <c r="B95" s="3215" t="s">
        <v>188</v>
      </c>
      <c r="C95" s="3215">
        <v>17330</v>
      </c>
      <c r="D95" s="3215">
        <v>17260</v>
      </c>
      <c r="E95" s="3215">
        <v>18420</v>
      </c>
      <c r="F95" s="3215">
        <v>3060</v>
      </c>
      <c r="G95" s="3228">
        <v>11410</v>
      </c>
    </row>
    <row r="96" spans="1:7" s="3204" customFormat="1" ht="14.25" customHeight="1">
      <c r="A96" s="3215" t="s">
        <v>303</v>
      </c>
      <c r="B96" s="3215" t="s">
        <v>197</v>
      </c>
      <c r="C96" s="3215">
        <v>15030</v>
      </c>
      <c r="D96" s="3215">
        <v>14970</v>
      </c>
      <c r="E96" s="3215">
        <v>17580</v>
      </c>
      <c r="F96" s="3215">
        <v>2970</v>
      </c>
      <c r="G96" s="3228">
        <v>9890</v>
      </c>
    </row>
    <row r="97" spans="1:7" s="3204" customFormat="1" ht="14.25" customHeight="1">
      <c r="A97" s="3215" t="s">
        <v>303</v>
      </c>
      <c r="B97" s="3215" t="s">
        <v>204</v>
      </c>
      <c r="C97" s="3215">
        <v>17400</v>
      </c>
      <c r="D97" s="3215">
        <v>17330</v>
      </c>
      <c r="E97" s="3215">
        <v>16430</v>
      </c>
      <c r="F97" s="3215">
        <v>2950</v>
      </c>
      <c r="G97" s="3228">
        <v>11450</v>
      </c>
    </row>
    <row r="98" spans="1:7" s="3204" customFormat="1" ht="14.25" customHeight="1">
      <c r="A98" s="3215" t="s">
        <v>303</v>
      </c>
      <c r="B98" s="3215" t="s">
        <v>211</v>
      </c>
      <c r="C98" s="3215">
        <v>15200</v>
      </c>
      <c r="D98" s="3215">
        <v>15120</v>
      </c>
      <c r="E98" s="3215">
        <v>17550</v>
      </c>
      <c r="F98" s="3215">
        <v>3080</v>
      </c>
      <c r="G98" s="3228">
        <v>9990</v>
      </c>
    </row>
    <row r="99" spans="1:7" s="3204" customFormat="1" ht="14.25" customHeight="1">
      <c r="A99" s="3215" t="s">
        <v>303</v>
      </c>
      <c r="B99" s="3215" t="s">
        <v>217</v>
      </c>
      <c r="C99" s="3215">
        <v>17520</v>
      </c>
      <c r="D99" s="3215">
        <v>17430</v>
      </c>
      <c r="E99" s="3215">
        <v>16350</v>
      </c>
      <c r="F99" s="3215">
        <v>3260</v>
      </c>
      <c r="G99" s="3228">
        <v>11510</v>
      </c>
    </row>
    <row r="100" spans="1:7" s="3204" customFormat="1" ht="14.25" customHeight="1">
      <c r="A100" s="3215" t="s">
        <v>303</v>
      </c>
      <c r="B100" s="3215" t="s">
        <v>225</v>
      </c>
      <c r="C100" s="3215">
        <v>15340</v>
      </c>
      <c r="D100" s="3215">
        <v>15260</v>
      </c>
      <c r="E100" s="3215">
        <v>15930</v>
      </c>
      <c r="F100" s="3215">
        <v>2740</v>
      </c>
      <c r="G100" s="3228">
        <v>10080</v>
      </c>
    </row>
    <row r="101" spans="1:7" s="3204" customFormat="1" ht="14.25" customHeight="1">
      <c r="A101" s="3215" t="s">
        <v>303</v>
      </c>
      <c r="B101" s="3215" t="s">
        <v>233</v>
      </c>
      <c r="C101" s="3215">
        <v>14620</v>
      </c>
      <c r="D101" s="3215">
        <v>14560</v>
      </c>
      <c r="E101" s="3215">
        <v>15570</v>
      </c>
      <c r="F101" s="3215">
        <v>3500</v>
      </c>
      <c r="G101" s="3228">
        <v>9630</v>
      </c>
    </row>
    <row r="102" spans="1:7" s="3204" customFormat="1" ht="14.25" customHeight="1">
      <c r="A102" s="3215" t="s">
        <v>303</v>
      </c>
      <c r="B102" s="3215" t="s">
        <v>238</v>
      </c>
      <c r="C102" s="3215">
        <v>13680</v>
      </c>
      <c r="D102" s="3215">
        <v>13610</v>
      </c>
      <c r="E102" s="3215">
        <v>15690</v>
      </c>
      <c r="F102" s="3215">
        <v>2870</v>
      </c>
      <c r="G102" s="3228">
        <v>8990</v>
      </c>
    </row>
    <row r="103" spans="1:7" s="3204" customFormat="1" ht="14.25" customHeight="1">
      <c r="A103" s="3215" t="s">
        <v>303</v>
      </c>
      <c r="B103" s="3215" t="s">
        <v>247</v>
      </c>
      <c r="C103" s="3215">
        <v>14620</v>
      </c>
      <c r="D103" s="3215">
        <v>14540</v>
      </c>
      <c r="E103" s="3215">
        <v>15240</v>
      </c>
      <c r="F103" s="3215">
        <v>2840</v>
      </c>
      <c r="G103" s="3228">
        <v>9610</v>
      </c>
    </row>
    <row r="104" spans="1:7" s="3204" customFormat="1" ht="14.25" customHeight="1">
      <c r="A104" s="3215" t="s">
        <v>303</v>
      </c>
      <c r="B104" s="3215" t="s">
        <v>254</v>
      </c>
      <c r="C104" s="3215">
        <v>13610</v>
      </c>
      <c r="D104" s="3215">
        <v>13540</v>
      </c>
      <c r="E104" s="3215">
        <v>15750</v>
      </c>
      <c r="F104" s="3215">
        <v>2770</v>
      </c>
      <c r="G104" s="3228">
        <v>8940</v>
      </c>
    </row>
    <row r="105" spans="1:7" s="3204" customFormat="1" ht="14.25" customHeight="1">
      <c r="A105" s="3215" t="s">
        <v>303</v>
      </c>
      <c r="B105" s="3215" t="s">
        <v>262</v>
      </c>
      <c r="C105" s="3215">
        <v>13310</v>
      </c>
      <c r="D105" s="3215">
        <v>13240</v>
      </c>
      <c r="E105" s="3215">
        <v>16280</v>
      </c>
      <c r="F105" s="3215">
        <v>3210</v>
      </c>
      <c r="G105" s="3228">
        <v>8750</v>
      </c>
    </row>
    <row r="106" spans="1:7" s="3204" customFormat="1" ht="14.25" customHeight="1">
      <c r="A106" s="3215" t="s">
        <v>303</v>
      </c>
      <c r="B106" s="3215" t="s">
        <v>269</v>
      </c>
      <c r="C106" s="3215">
        <v>13010</v>
      </c>
      <c r="D106" s="3215">
        <v>12930</v>
      </c>
      <c r="E106" s="3215">
        <v>14960</v>
      </c>
      <c r="F106" s="3215">
        <v>3530</v>
      </c>
      <c r="G106" s="3228">
        <v>8550</v>
      </c>
    </row>
    <row r="107" spans="1:7" s="3204" customFormat="1" ht="14.25" customHeight="1">
      <c r="A107" s="3215" t="s">
        <v>303</v>
      </c>
      <c r="B107" s="3215" t="s">
        <v>273</v>
      </c>
      <c r="C107" s="3215">
        <v>13070</v>
      </c>
      <c r="D107" s="3215">
        <v>13000</v>
      </c>
      <c r="E107" s="3215">
        <v>15910</v>
      </c>
      <c r="F107" s="3215">
        <v>3990</v>
      </c>
      <c r="G107" s="3228">
        <v>8580</v>
      </c>
    </row>
    <row r="108" spans="1:7" s="3204" customFormat="1" ht="14.25" customHeight="1">
      <c r="A108" s="3215" t="s">
        <v>303</v>
      </c>
      <c r="B108" s="3215" t="s">
        <v>279</v>
      </c>
      <c r="C108" s="3215">
        <v>12640</v>
      </c>
      <c r="D108" s="3215">
        <v>12580</v>
      </c>
      <c r="E108" s="3215">
        <v>15730</v>
      </c>
      <c r="F108" s="3215"/>
      <c r="G108" s="3228">
        <v>8310</v>
      </c>
    </row>
    <row r="109" spans="1:7" s="3204" customFormat="1" ht="14.25" customHeight="1">
      <c r="A109" s="3215" t="s">
        <v>303</v>
      </c>
      <c r="B109" s="3215" t="s">
        <v>282</v>
      </c>
      <c r="C109" s="3215">
        <v>13130</v>
      </c>
      <c r="D109" s="3215">
        <v>13070</v>
      </c>
      <c r="E109" s="3215">
        <v>15000</v>
      </c>
      <c r="F109" s="3215"/>
      <c r="G109" s="3228">
        <v>8630</v>
      </c>
    </row>
    <row r="110" spans="1:7" s="3204" customFormat="1" ht="14.25" customHeight="1">
      <c r="A110" s="3215" t="s">
        <v>303</v>
      </c>
      <c r="B110" s="3215" t="s">
        <v>284</v>
      </c>
      <c r="C110" s="3215">
        <v>13560</v>
      </c>
      <c r="D110" s="3215">
        <v>13490</v>
      </c>
      <c r="E110" s="3215">
        <v>16300</v>
      </c>
      <c r="F110" s="3215"/>
      <c r="G110" s="3228">
        <v>8920</v>
      </c>
    </row>
    <row r="111" spans="1:7" s="3204" customFormat="1" ht="14.25" customHeight="1">
      <c r="A111" s="3215" t="s">
        <v>303</v>
      </c>
      <c r="B111" s="3215" t="s">
        <v>287</v>
      </c>
      <c r="C111" s="3215">
        <v>12440</v>
      </c>
      <c r="D111" s="3215">
        <v>12380</v>
      </c>
      <c r="E111" s="3215">
        <v>17850</v>
      </c>
      <c r="F111" s="3215"/>
      <c r="G111" s="3228">
        <v>8180</v>
      </c>
    </row>
    <row r="112" spans="1:7" s="3204" customFormat="1" ht="14.25" customHeight="1">
      <c r="A112" s="3215" t="s">
        <v>303</v>
      </c>
      <c r="B112" s="3215" t="s">
        <v>291</v>
      </c>
      <c r="C112" s="3215">
        <v>13260</v>
      </c>
      <c r="D112" s="3215">
        <v>13180</v>
      </c>
      <c r="E112" s="3215">
        <v>19740</v>
      </c>
      <c r="F112" s="3215"/>
      <c r="G112" s="3228">
        <v>8710</v>
      </c>
    </row>
    <row r="113" spans="1:7" s="3204" customFormat="1" ht="14.25" customHeight="1">
      <c r="A113" s="3215" t="s">
        <v>303</v>
      </c>
      <c r="B113" s="3215" t="s">
        <v>2957</v>
      </c>
      <c r="C113" s="3215">
        <v>15520</v>
      </c>
      <c r="D113" s="3215">
        <v>15450</v>
      </c>
      <c r="E113" s="3215"/>
      <c r="F113" s="3215"/>
      <c r="G113" s="3228">
        <v>10210</v>
      </c>
    </row>
    <row r="114" spans="1:7" s="3204" customFormat="1" ht="14.25" customHeight="1">
      <c r="A114" s="3215" t="s">
        <v>303</v>
      </c>
      <c r="B114" s="3215" t="s">
        <v>2964</v>
      </c>
      <c r="C114" s="3215">
        <v>13110</v>
      </c>
      <c r="D114" s="3215">
        <v>13050</v>
      </c>
      <c r="E114" s="3215"/>
      <c r="F114" s="3215"/>
      <c r="G114" s="3228">
        <v>8620</v>
      </c>
    </row>
    <row r="115" spans="1:7" s="3204" customFormat="1" ht="14.25" customHeight="1">
      <c r="A115" s="3215" t="s">
        <v>303</v>
      </c>
      <c r="B115" s="3215" t="s">
        <v>2970</v>
      </c>
      <c r="C115" s="3215">
        <v>12460</v>
      </c>
      <c r="D115" s="3215">
        <v>12390</v>
      </c>
      <c r="E115" s="3215"/>
      <c r="F115" s="3215"/>
      <c r="G115" s="3228">
        <v>8190</v>
      </c>
    </row>
    <row r="116" spans="1:7" s="3204" customFormat="1" ht="14.25" customHeight="1">
      <c r="A116" s="3215" t="s">
        <v>303</v>
      </c>
      <c r="B116" s="3215" t="s">
        <v>2977</v>
      </c>
      <c r="C116" s="3215">
        <v>13580</v>
      </c>
      <c r="D116" s="3215">
        <v>13520</v>
      </c>
      <c r="E116" s="3215"/>
      <c r="F116" s="3215"/>
      <c r="G116" s="3228">
        <v>8930</v>
      </c>
    </row>
    <row r="117" spans="1:7" s="3204" customFormat="1" ht="14.25" customHeight="1">
      <c r="A117" s="3215" t="s">
        <v>303</v>
      </c>
      <c r="B117" s="3215" t="s">
        <v>2984</v>
      </c>
      <c r="C117" s="3215">
        <v>17120</v>
      </c>
      <c r="D117" s="3215">
        <v>17040</v>
      </c>
      <c r="E117" s="3215"/>
      <c r="F117" s="3215"/>
      <c r="G117" s="3228">
        <v>11260</v>
      </c>
    </row>
    <row r="118" spans="1:7" s="3204" customFormat="1" ht="14.25" customHeight="1">
      <c r="A118" s="3215" t="s">
        <v>303</v>
      </c>
      <c r="B118" s="3215" t="s">
        <v>2989</v>
      </c>
      <c r="C118" s="3215">
        <v>14860</v>
      </c>
      <c r="D118" s="3215">
        <v>14790</v>
      </c>
      <c r="E118" s="3215"/>
      <c r="F118" s="3215"/>
      <c r="G118" s="3228">
        <v>9780</v>
      </c>
    </row>
    <row r="119" spans="1:7" s="3204" customFormat="1" ht="14.25" customHeight="1">
      <c r="A119" s="3215" t="s">
        <v>303</v>
      </c>
      <c r="B119" s="3215" t="s">
        <v>2993</v>
      </c>
      <c r="C119" s="3215">
        <v>16470</v>
      </c>
      <c r="D119" s="3215">
        <v>16400</v>
      </c>
      <c r="E119" s="3215"/>
      <c r="F119" s="3215"/>
      <c r="G119" s="3228">
        <v>10840</v>
      </c>
    </row>
    <row r="120" spans="1:7" s="3204" customFormat="1" ht="14.25" customHeight="1">
      <c r="A120" s="3215" t="s">
        <v>303</v>
      </c>
      <c r="B120" s="3215" t="s">
        <v>3079</v>
      </c>
      <c r="C120" s="3215"/>
      <c r="D120" s="3215"/>
      <c r="E120" s="3215"/>
      <c r="F120" s="3215">
        <v>4160</v>
      </c>
      <c r="G120" s="3228"/>
    </row>
    <row r="121" spans="1:7" s="3204" customFormat="1" ht="14.25" customHeight="1">
      <c r="A121" s="3215" t="s">
        <v>303</v>
      </c>
      <c r="B121" s="3215" t="s">
        <v>3080</v>
      </c>
      <c r="C121" s="3215"/>
      <c r="D121" s="3215"/>
      <c r="E121" s="3215"/>
      <c r="F121" s="3215">
        <v>3880</v>
      </c>
      <c r="G121" s="3228"/>
    </row>
    <row r="122" spans="1:7" s="3204" customFormat="1" ht="14.25" customHeight="1">
      <c r="A122" s="3215" t="s">
        <v>303</v>
      </c>
      <c r="B122" s="3215" t="s">
        <v>3081</v>
      </c>
      <c r="C122" s="3215">
        <v>13750</v>
      </c>
      <c r="D122" s="3215">
        <v>13680</v>
      </c>
      <c r="E122" s="3215">
        <v>16460</v>
      </c>
      <c r="F122" s="3215">
        <v>2880</v>
      </c>
      <c r="G122" s="3228">
        <v>9040</v>
      </c>
    </row>
    <row r="123" spans="1:7" s="3204" customFormat="1" ht="14.25" customHeight="1">
      <c r="A123" s="3215" t="s">
        <v>303</v>
      </c>
      <c r="B123" s="3215" t="s">
        <v>3012</v>
      </c>
      <c r="C123" s="3215">
        <v>13590</v>
      </c>
      <c r="D123" s="3215">
        <v>13520</v>
      </c>
      <c r="E123" s="3215">
        <v>16290</v>
      </c>
      <c r="F123" s="3215">
        <v>2790</v>
      </c>
      <c r="G123" s="3228">
        <v>8930</v>
      </c>
    </row>
    <row r="124" spans="1:7" s="3204" customFormat="1" ht="14.25" customHeight="1">
      <c r="A124" s="3215" t="s">
        <v>303</v>
      </c>
      <c r="B124" s="3215" t="s">
        <v>3017</v>
      </c>
      <c r="C124" s="3215">
        <v>13400</v>
      </c>
      <c r="D124" s="3215">
        <v>13320</v>
      </c>
      <c r="E124" s="3215">
        <v>16100</v>
      </c>
      <c r="F124" s="3215">
        <v>2320</v>
      </c>
      <c r="G124" s="3228">
        <v>8800</v>
      </c>
    </row>
    <row r="125" spans="1:7" s="3204" customFormat="1" ht="14.25" customHeight="1">
      <c r="A125" s="3215" t="s">
        <v>303</v>
      </c>
      <c r="B125" s="3215" t="s">
        <v>3022</v>
      </c>
      <c r="C125" s="3215">
        <v>12860</v>
      </c>
      <c r="D125" s="3215">
        <v>12790</v>
      </c>
      <c r="E125" s="3215">
        <v>15370</v>
      </c>
      <c r="F125" s="3215">
        <v>2280</v>
      </c>
      <c r="G125" s="3228">
        <v>8450</v>
      </c>
    </row>
    <row r="126" spans="1:7" s="3204" customFormat="1" ht="14.25" customHeight="1" thickBot="1">
      <c r="A126" s="3229" t="s">
        <v>303</v>
      </c>
      <c r="B126" s="3222" t="s">
        <v>3027</v>
      </c>
      <c r="C126" s="3222">
        <v>12960</v>
      </c>
      <c r="D126" s="3222">
        <v>12890</v>
      </c>
      <c r="E126" s="3222">
        <v>15530</v>
      </c>
      <c r="F126" s="3222">
        <v>2910</v>
      </c>
      <c r="G126" s="3230">
        <v>8520</v>
      </c>
    </row>
    <row r="127" spans="1:7" s="3204" customFormat="1" ht="14.25" customHeight="1">
      <c r="A127" s="3220" t="s">
        <v>29</v>
      </c>
      <c r="B127" s="3211" t="s">
        <v>3082</v>
      </c>
      <c r="C127" s="3215">
        <v>12280</v>
      </c>
      <c r="D127" s="3215">
        <v>12250</v>
      </c>
      <c r="E127" s="3215">
        <v>15130</v>
      </c>
      <c r="F127" s="3215">
        <v>2710</v>
      </c>
      <c r="G127" s="3215">
        <v>7870</v>
      </c>
    </row>
    <row r="128" spans="1:7" s="3204" customFormat="1" ht="14.25" customHeight="1">
      <c r="A128" s="3215" t="s">
        <v>29</v>
      </c>
      <c r="B128" s="3215" t="s">
        <v>132</v>
      </c>
      <c r="C128" s="3215">
        <v>13180</v>
      </c>
      <c r="D128" s="3215">
        <v>13150</v>
      </c>
      <c r="E128" s="3215">
        <v>16190</v>
      </c>
      <c r="F128" s="3215">
        <v>2820</v>
      </c>
      <c r="G128" s="3215">
        <v>8460</v>
      </c>
    </row>
    <row r="129" spans="1:7" s="3204" customFormat="1" ht="14.25" customHeight="1">
      <c r="A129" s="3215" t="s">
        <v>29</v>
      </c>
      <c r="B129" s="3215" t="s">
        <v>141</v>
      </c>
      <c r="C129" s="3215">
        <v>10950</v>
      </c>
      <c r="D129" s="3215">
        <v>10920</v>
      </c>
      <c r="E129" s="3215">
        <v>13820</v>
      </c>
      <c r="F129" s="3215">
        <v>2500</v>
      </c>
      <c r="G129" s="3215">
        <v>7020</v>
      </c>
    </row>
    <row r="130" spans="1:7" s="3204" customFormat="1" ht="14.25" customHeight="1">
      <c r="A130" s="3215" t="s">
        <v>29</v>
      </c>
      <c r="B130" s="3215" t="s">
        <v>150</v>
      </c>
      <c r="C130" s="3215">
        <v>10910</v>
      </c>
      <c r="D130" s="3215">
        <v>10860</v>
      </c>
      <c r="E130" s="3215">
        <v>13730</v>
      </c>
      <c r="F130" s="3215">
        <v>2760</v>
      </c>
      <c r="G130" s="3215">
        <v>6990</v>
      </c>
    </row>
    <row r="131" spans="1:7" s="3204" customFormat="1" ht="14.25" customHeight="1">
      <c r="A131" s="3215" t="s">
        <v>29</v>
      </c>
      <c r="B131" s="3215" t="s">
        <v>159</v>
      </c>
      <c r="C131" s="3215">
        <v>12910</v>
      </c>
      <c r="D131" s="3215">
        <v>12870</v>
      </c>
      <c r="E131" s="3215">
        <v>15720</v>
      </c>
      <c r="F131" s="3215">
        <v>2750</v>
      </c>
      <c r="G131" s="3215">
        <v>8280</v>
      </c>
    </row>
    <row r="132" spans="1:7" s="3204" customFormat="1" ht="14.25" customHeight="1">
      <c r="A132" s="3215" t="s">
        <v>29</v>
      </c>
      <c r="B132" s="3215" t="s">
        <v>166</v>
      </c>
      <c r="C132" s="3215">
        <v>11910</v>
      </c>
      <c r="D132" s="3215">
        <v>11860</v>
      </c>
      <c r="E132" s="3215">
        <v>14730</v>
      </c>
      <c r="F132" s="3215">
        <v>2360</v>
      </c>
      <c r="G132" s="3215">
        <v>7630</v>
      </c>
    </row>
    <row r="133" spans="1:7" s="3204" customFormat="1" ht="14.25" customHeight="1">
      <c r="A133" s="3215" t="s">
        <v>29</v>
      </c>
      <c r="B133" s="3215" t="s">
        <v>172</v>
      </c>
      <c r="C133" s="3215">
        <v>12270</v>
      </c>
      <c r="D133" s="3215">
        <v>12210</v>
      </c>
      <c r="E133" s="3215">
        <v>15010</v>
      </c>
      <c r="F133" s="3215">
        <v>2580</v>
      </c>
      <c r="G133" s="3215">
        <v>7860</v>
      </c>
    </row>
    <row r="134" spans="1:7" s="3204" customFormat="1" ht="14.25" customHeight="1">
      <c r="A134" s="3215" t="s">
        <v>29</v>
      </c>
      <c r="B134" s="3215" t="s">
        <v>179</v>
      </c>
      <c r="C134" s="3215">
        <v>10800</v>
      </c>
      <c r="D134" s="3215">
        <v>10780</v>
      </c>
      <c r="E134" s="3215">
        <v>13640</v>
      </c>
      <c r="F134" s="3215">
        <v>2110</v>
      </c>
      <c r="G134" s="3215">
        <v>6930</v>
      </c>
    </row>
    <row r="135" spans="1:7" s="3204" customFormat="1" ht="14.25" customHeight="1">
      <c r="A135" s="3215" t="s">
        <v>29</v>
      </c>
      <c r="B135" s="3215" t="s">
        <v>189</v>
      </c>
      <c r="C135" s="3215">
        <v>10430</v>
      </c>
      <c r="D135" s="3215">
        <v>10390</v>
      </c>
      <c r="E135" s="3215">
        <v>13140</v>
      </c>
      <c r="F135" s="3215">
        <v>2240</v>
      </c>
      <c r="G135" s="3215">
        <v>6680</v>
      </c>
    </row>
    <row r="136" spans="1:7" s="3204" customFormat="1" ht="14.25" customHeight="1">
      <c r="A136" s="3215" t="s">
        <v>29</v>
      </c>
      <c r="B136" s="3215" t="s">
        <v>198</v>
      </c>
      <c r="C136" s="3215">
        <v>11930</v>
      </c>
      <c r="D136" s="3215">
        <v>11880</v>
      </c>
      <c r="E136" s="3215">
        <v>14770</v>
      </c>
      <c r="F136" s="3215">
        <v>1970</v>
      </c>
      <c r="G136" s="3215">
        <v>7640</v>
      </c>
    </row>
    <row r="137" spans="1:7" s="3204" customFormat="1" ht="14.25" customHeight="1">
      <c r="A137" s="3215" t="s">
        <v>29</v>
      </c>
      <c r="B137" s="3215" t="s">
        <v>205</v>
      </c>
      <c r="C137" s="3215">
        <v>10470</v>
      </c>
      <c r="D137" s="3215">
        <v>10430</v>
      </c>
      <c r="E137" s="3215">
        <v>13190</v>
      </c>
      <c r="F137" s="3215">
        <v>1990</v>
      </c>
      <c r="G137" s="3215">
        <v>6710</v>
      </c>
    </row>
    <row r="138" spans="1:7" s="3204" customFormat="1" ht="14.25" customHeight="1">
      <c r="A138" s="3215" t="s">
        <v>29</v>
      </c>
      <c r="B138" s="3215" t="s">
        <v>212</v>
      </c>
      <c r="C138" s="3215">
        <v>10410</v>
      </c>
      <c r="D138" s="3215">
        <v>10380</v>
      </c>
      <c r="E138" s="3215">
        <v>13130</v>
      </c>
      <c r="F138" s="3215">
        <v>2030</v>
      </c>
      <c r="G138" s="3215">
        <v>6680</v>
      </c>
    </row>
    <row r="139" spans="1:7" s="3204" customFormat="1" ht="14.25" customHeight="1">
      <c r="A139" s="3215" t="s">
        <v>29</v>
      </c>
      <c r="B139" s="3215" t="s">
        <v>218</v>
      </c>
      <c r="C139" s="3215">
        <v>9460</v>
      </c>
      <c r="D139" s="3215">
        <v>9410</v>
      </c>
      <c r="E139" s="3215">
        <v>12050</v>
      </c>
      <c r="F139" s="3215">
        <v>2140</v>
      </c>
      <c r="G139" s="3215">
        <v>6050</v>
      </c>
    </row>
    <row r="140" spans="1:7" s="3204" customFormat="1" ht="14.25" customHeight="1">
      <c r="A140" s="3215" t="s">
        <v>29</v>
      </c>
      <c r="B140" s="3215" t="s">
        <v>226</v>
      </c>
      <c r="C140" s="3215">
        <v>11030</v>
      </c>
      <c r="D140" s="3215">
        <v>10980</v>
      </c>
      <c r="E140" s="3215">
        <v>13880</v>
      </c>
      <c r="F140" s="3215">
        <v>2210</v>
      </c>
      <c r="G140" s="3215">
        <v>7060</v>
      </c>
    </row>
    <row r="141" spans="1:7" s="3204" customFormat="1" ht="14.25" customHeight="1">
      <c r="A141" s="3215" t="s">
        <v>29</v>
      </c>
      <c r="B141" s="3215" t="s">
        <v>234</v>
      </c>
      <c r="C141" s="3215">
        <v>11200</v>
      </c>
      <c r="D141" s="3215">
        <v>11150</v>
      </c>
      <c r="E141" s="3215">
        <v>14100</v>
      </c>
      <c r="F141" s="3215">
        <v>2470</v>
      </c>
      <c r="G141" s="3215">
        <v>7170</v>
      </c>
    </row>
    <row r="142" spans="1:7" s="3204" customFormat="1" ht="14.25" customHeight="1">
      <c r="A142" s="3215" t="s">
        <v>29</v>
      </c>
      <c r="B142" s="3215" t="s">
        <v>239</v>
      </c>
      <c r="C142" s="3215">
        <v>10780</v>
      </c>
      <c r="D142" s="3215">
        <v>10730</v>
      </c>
      <c r="E142" s="3215">
        <v>13540</v>
      </c>
      <c r="F142" s="3215">
        <v>2280</v>
      </c>
      <c r="G142" s="3215">
        <v>6900</v>
      </c>
    </row>
    <row r="143" spans="1:7" s="3204" customFormat="1" ht="14.25" customHeight="1">
      <c r="A143" s="3215" t="s">
        <v>29</v>
      </c>
      <c r="B143" s="3215" t="s">
        <v>248</v>
      </c>
      <c r="C143" s="3215">
        <v>11550</v>
      </c>
      <c r="D143" s="3215">
        <v>11490</v>
      </c>
      <c r="E143" s="3215">
        <v>14480</v>
      </c>
      <c r="F143" s="3215">
        <v>2070</v>
      </c>
      <c r="G143" s="3215">
        <v>7390</v>
      </c>
    </row>
    <row r="144" spans="1:7" s="3204" customFormat="1" ht="14.25" customHeight="1">
      <c r="A144" s="3215" t="s">
        <v>29</v>
      </c>
      <c r="B144" s="3215" t="s">
        <v>255</v>
      </c>
      <c r="C144" s="3215">
        <v>10720</v>
      </c>
      <c r="D144" s="3215">
        <v>10680</v>
      </c>
      <c r="E144" s="3215">
        <v>13480</v>
      </c>
      <c r="F144" s="3215">
        <v>2440</v>
      </c>
      <c r="G144" s="3215">
        <v>6870</v>
      </c>
    </row>
    <row r="145" spans="1:7" s="3204" customFormat="1" ht="14.25" customHeight="1">
      <c r="A145" s="3215" t="s">
        <v>29</v>
      </c>
      <c r="B145" s="3215" t="s">
        <v>263</v>
      </c>
      <c r="C145" s="3215">
        <v>10340</v>
      </c>
      <c r="D145" s="3215">
        <v>10290</v>
      </c>
      <c r="E145" s="3215">
        <v>12880</v>
      </c>
      <c r="F145" s="3215">
        <v>2650</v>
      </c>
      <c r="G145" s="3215">
        <v>6620</v>
      </c>
    </row>
    <row r="146" spans="1:7" s="3204" customFormat="1" ht="14.25" customHeight="1">
      <c r="A146" s="3215" t="s">
        <v>29</v>
      </c>
      <c r="B146" s="3215" t="s">
        <v>270</v>
      </c>
      <c r="C146" s="3215">
        <v>11890</v>
      </c>
      <c r="D146" s="3215">
        <v>11830</v>
      </c>
      <c r="E146" s="3215">
        <v>14670</v>
      </c>
      <c r="F146" s="3215"/>
      <c r="G146" s="3215">
        <v>7610</v>
      </c>
    </row>
    <row r="147" spans="1:7" s="3204" customFormat="1" ht="14.25" customHeight="1">
      <c r="A147" s="3215" t="s">
        <v>29</v>
      </c>
      <c r="B147" s="3215" t="s">
        <v>274</v>
      </c>
      <c r="C147" s="3215">
        <v>12650</v>
      </c>
      <c r="D147" s="3215">
        <v>12600</v>
      </c>
      <c r="E147" s="3215">
        <v>15440</v>
      </c>
      <c r="F147" s="3215"/>
      <c r="G147" s="3215">
        <v>8110</v>
      </c>
    </row>
    <row r="148" spans="1:7" s="3204" customFormat="1" ht="14.25" customHeight="1">
      <c r="A148" s="3215" t="s">
        <v>29</v>
      </c>
      <c r="B148" s="3215" t="s">
        <v>3083</v>
      </c>
      <c r="C148" s="3215">
        <v>10370</v>
      </c>
      <c r="D148" s="3215">
        <v>10310</v>
      </c>
      <c r="E148" s="3215">
        <v>12970</v>
      </c>
      <c r="F148" s="3215"/>
      <c r="G148" s="3215">
        <v>6630</v>
      </c>
    </row>
    <row r="149" spans="1:7" s="3204" customFormat="1" ht="14.25" customHeight="1">
      <c r="A149" s="3215" t="s">
        <v>29</v>
      </c>
      <c r="B149" s="3215" t="s">
        <v>3084</v>
      </c>
      <c r="C149" s="3215">
        <v>11600</v>
      </c>
      <c r="D149" s="3215">
        <v>11560</v>
      </c>
      <c r="E149" s="3215">
        <v>14540</v>
      </c>
      <c r="F149" s="3215">
        <v>2390</v>
      </c>
      <c r="G149" s="3215">
        <v>7430</v>
      </c>
    </row>
    <row r="150" spans="1:7" s="3204" customFormat="1" ht="14.25" customHeight="1">
      <c r="A150" s="3215" t="s">
        <v>29</v>
      </c>
      <c r="B150" s="3215" t="s">
        <v>292</v>
      </c>
      <c r="C150" s="3215">
        <v>9950</v>
      </c>
      <c r="D150" s="3215">
        <v>9890</v>
      </c>
      <c r="E150" s="3215">
        <v>12590</v>
      </c>
      <c r="F150" s="3215">
        <v>1970</v>
      </c>
      <c r="G150" s="3215">
        <v>6360</v>
      </c>
    </row>
    <row r="151" spans="1:7" s="3204" customFormat="1" ht="14.25" customHeight="1">
      <c r="A151" s="3215" t="s">
        <v>29</v>
      </c>
      <c r="B151" s="3215" t="s">
        <v>294</v>
      </c>
      <c r="C151" s="3215">
        <v>10700</v>
      </c>
      <c r="D151" s="3215">
        <v>10650</v>
      </c>
      <c r="E151" s="3215">
        <v>13420</v>
      </c>
      <c r="F151" s="3215">
        <v>2020</v>
      </c>
      <c r="G151" s="3215">
        <v>6850</v>
      </c>
    </row>
    <row r="152" spans="1:7" s="3204" customFormat="1" ht="14.25" customHeight="1">
      <c r="A152" s="3215" t="s">
        <v>29</v>
      </c>
      <c r="B152" s="3215" t="s">
        <v>297</v>
      </c>
      <c r="C152" s="3215">
        <v>10310</v>
      </c>
      <c r="D152" s="3215">
        <v>10260</v>
      </c>
      <c r="E152" s="3215">
        <v>12820</v>
      </c>
      <c r="F152" s="3215">
        <v>1980</v>
      </c>
      <c r="G152" s="3215">
        <v>6600</v>
      </c>
    </row>
    <row r="153" spans="1:7" s="3204" customFormat="1" ht="14.25" customHeight="1">
      <c r="A153" s="3215" t="s">
        <v>29</v>
      </c>
      <c r="B153" s="3215" t="s">
        <v>2958</v>
      </c>
      <c r="C153" s="3215">
        <v>10880</v>
      </c>
      <c r="D153" s="3215">
        <v>10820</v>
      </c>
      <c r="E153" s="3215">
        <v>13660</v>
      </c>
      <c r="F153" s="3215">
        <v>2260</v>
      </c>
      <c r="G153" s="3215">
        <v>6970</v>
      </c>
    </row>
    <row r="154" spans="1:7" s="3204" customFormat="1" ht="14.25" customHeight="1">
      <c r="A154" s="3215" t="s">
        <v>29</v>
      </c>
      <c r="B154" s="3215" t="s">
        <v>3085</v>
      </c>
      <c r="C154" s="3215">
        <v>11220</v>
      </c>
      <c r="D154" s="3215">
        <v>11160</v>
      </c>
      <c r="E154" s="3215">
        <v>14130</v>
      </c>
      <c r="F154" s="3215">
        <v>2230</v>
      </c>
      <c r="G154" s="3215">
        <v>7180</v>
      </c>
    </row>
    <row r="155" spans="1:7" s="3204" customFormat="1" ht="14.25" customHeight="1">
      <c r="A155" s="3215" t="s">
        <v>29</v>
      </c>
      <c r="B155" s="3215" t="s">
        <v>2971</v>
      </c>
      <c r="C155" s="3215">
        <v>10430</v>
      </c>
      <c r="D155" s="3215">
        <v>10380</v>
      </c>
      <c r="E155" s="3215">
        <v>13140</v>
      </c>
      <c r="F155" s="3215">
        <v>2080</v>
      </c>
      <c r="G155" s="3215">
        <v>6650</v>
      </c>
    </row>
    <row r="156" spans="1:7" s="3204" customFormat="1" ht="14.25" customHeight="1">
      <c r="A156" s="3215" t="s">
        <v>29</v>
      </c>
      <c r="B156" s="3215" t="s">
        <v>3086</v>
      </c>
      <c r="C156" s="3215">
        <v>10440</v>
      </c>
      <c r="D156" s="3215">
        <v>10400</v>
      </c>
      <c r="E156" s="3215">
        <v>13150</v>
      </c>
      <c r="F156" s="3215">
        <v>2490</v>
      </c>
      <c r="G156" s="3215">
        <v>6690</v>
      </c>
    </row>
    <row r="157" spans="1:7" s="3204" customFormat="1" ht="14.25" customHeight="1">
      <c r="A157" s="3215" t="s">
        <v>29</v>
      </c>
      <c r="B157" s="3215" t="s">
        <v>300</v>
      </c>
      <c r="C157" s="3215">
        <v>10970</v>
      </c>
      <c r="D157" s="3215">
        <v>10920</v>
      </c>
      <c r="E157" s="3215">
        <v>13840</v>
      </c>
      <c r="F157" s="3215">
        <v>2420</v>
      </c>
      <c r="G157" s="3215">
        <v>7020</v>
      </c>
    </row>
    <row r="158" spans="1:7" s="3204" customFormat="1" ht="14.25" customHeight="1">
      <c r="A158" s="3215" t="s">
        <v>29</v>
      </c>
      <c r="B158" s="3215" t="s">
        <v>301</v>
      </c>
      <c r="C158" s="3215">
        <v>9590</v>
      </c>
      <c r="D158" s="3215">
        <v>9540</v>
      </c>
      <c r="E158" s="3215">
        <v>12210</v>
      </c>
      <c r="F158" s="3215">
        <v>2100</v>
      </c>
      <c r="G158" s="3215">
        <v>6130</v>
      </c>
    </row>
    <row r="159" spans="1:7" s="3204" customFormat="1" ht="14.25" customHeight="1">
      <c r="A159" s="3215" t="s">
        <v>29</v>
      </c>
      <c r="B159" s="3215" t="s">
        <v>302</v>
      </c>
      <c r="C159" s="3215">
        <v>11190</v>
      </c>
      <c r="D159" s="3215">
        <v>11140</v>
      </c>
      <c r="E159" s="3215">
        <v>14090</v>
      </c>
      <c r="F159" s="3215">
        <v>2470</v>
      </c>
      <c r="G159" s="3215">
        <v>7170</v>
      </c>
    </row>
    <row r="160" spans="1:7" s="3204" customFormat="1" ht="14.25" customHeight="1">
      <c r="A160" s="3215" t="s">
        <v>29</v>
      </c>
      <c r="B160" s="3215" t="s">
        <v>3087</v>
      </c>
      <c r="C160" s="3215">
        <v>11180</v>
      </c>
      <c r="D160" s="3215">
        <v>11140</v>
      </c>
      <c r="E160" s="3215">
        <v>14050</v>
      </c>
      <c r="F160" s="3215">
        <v>2270</v>
      </c>
      <c r="G160" s="3215">
        <v>7170</v>
      </c>
    </row>
    <row r="161" spans="1:7" s="3204" customFormat="1" ht="14.25" customHeight="1">
      <c r="A161" s="3215" t="s">
        <v>29</v>
      </c>
      <c r="B161" s="3215" t="s">
        <v>3003</v>
      </c>
      <c r="C161" s="3215">
        <v>11160</v>
      </c>
      <c r="D161" s="3215">
        <v>11120</v>
      </c>
      <c r="E161" s="3215">
        <v>14020</v>
      </c>
      <c r="F161" s="3215">
        <v>2150</v>
      </c>
      <c r="G161" s="3215">
        <v>7160</v>
      </c>
    </row>
    <row r="162" spans="1:7" s="3204" customFormat="1" ht="14.25" customHeight="1">
      <c r="A162" s="3215" t="s">
        <v>29</v>
      </c>
      <c r="B162" s="3215" t="s">
        <v>3008</v>
      </c>
      <c r="C162" s="3215">
        <v>9620</v>
      </c>
      <c r="D162" s="3215">
        <v>9570</v>
      </c>
      <c r="E162" s="3215">
        <v>12320</v>
      </c>
      <c r="F162" s="3215">
        <v>2010</v>
      </c>
      <c r="G162" s="3215">
        <v>6160</v>
      </c>
    </row>
    <row r="163" spans="1:7" s="3204" customFormat="1" ht="14.25" customHeight="1">
      <c r="A163" s="3215" t="s">
        <v>29</v>
      </c>
      <c r="B163" s="3215" t="s">
        <v>3013</v>
      </c>
      <c r="C163" s="3215">
        <v>9320</v>
      </c>
      <c r="D163" s="3215">
        <v>9270</v>
      </c>
      <c r="E163" s="3215">
        <v>11790</v>
      </c>
      <c r="F163" s="3215">
        <v>1920</v>
      </c>
      <c r="G163" s="3215">
        <v>5960</v>
      </c>
    </row>
    <row r="164" spans="1:7" s="3204" customFormat="1" ht="14.25" customHeight="1">
      <c r="A164" s="3215" t="s">
        <v>29</v>
      </c>
      <c r="B164" s="3215" t="s">
        <v>3018</v>
      </c>
      <c r="C164" s="3215"/>
      <c r="D164" s="3215"/>
      <c r="E164" s="3215"/>
      <c r="F164" s="3215">
        <v>1980</v>
      </c>
      <c r="G164" s="3215"/>
    </row>
    <row r="165" spans="1:7" s="3204" customFormat="1" ht="14.25" customHeight="1">
      <c r="A165" s="3215" t="s">
        <v>29</v>
      </c>
      <c r="B165" s="3215" t="s">
        <v>3088</v>
      </c>
      <c r="C165" s="3215">
        <v>11060</v>
      </c>
      <c r="D165" s="3215">
        <v>11030</v>
      </c>
      <c r="E165" s="3215">
        <v>13850</v>
      </c>
      <c r="F165" s="3215">
        <v>2170</v>
      </c>
      <c r="G165" s="3215">
        <v>7090</v>
      </c>
    </row>
    <row r="166" spans="1:7" s="3204" customFormat="1" ht="14.25" customHeight="1">
      <c r="A166" s="3215" t="s">
        <v>29</v>
      </c>
      <c r="B166" s="3215" t="s">
        <v>3028</v>
      </c>
      <c r="C166" s="3215">
        <v>11050</v>
      </c>
      <c r="D166" s="3215">
        <v>11010</v>
      </c>
      <c r="E166" s="3215">
        <v>13920</v>
      </c>
      <c r="F166" s="3215">
        <v>2140</v>
      </c>
      <c r="G166" s="3215">
        <v>7080</v>
      </c>
    </row>
    <row r="167" spans="1:7" s="3204" customFormat="1" ht="14.25" customHeight="1">
      <c r="A167" s="3215" t="s">
        <v>29</v>
      </c>
      <c r="B167" s="3215" t="s">
        <v>3032</v>
      </c>
      <c r="C167" s="3215">
        <v>10930</v>
      </c>
      <c r="D167" s="3215">
        <v>10890</v>
      </c>
      <c r="E167" s="3215">
        <v>13790</v>
      </c>
      <c r="F167" s="3215">
        <v>2010</v>
      </c>
      <c r="G167" s="3215">
        <v>7000</v>
      </c>
    </row>
    <row r="168" spans="1:7" s="3204" customFormat="1" ht="14.25" customHeight="1">
      <c r="A168" s="3215" t="s">
        <v>29</v>
      </c>
      <c r="B168" s="3215" t="s">
        <v>3037</v>
      </c>
      <c r="C168" s="3215">
        <v>9420</v>
      </c>
      <c r="D168" s="3215">
        <v>9380</v>
      </c>
      <c r="E168" s="3215">
        <v>11970</v>
      </c>
      <c r="F168" s="3215"/>
      <c r="G168" s="3215">
        <v>6040</v>
      </c>
    </row>
    <row r="169" spans="1:7" s="3204" customFormat="1" ht="14.25" customHeight="1">
      <c r="A169" s="3215" t="s">
        <v>29</v>
      </c>
      <c r="B169" s="3215" t="s">
        <v>3089</v>
      </c>
      <c r="C169" s="3215"/>
      <c r="D169" s="3215"/>
      <c r="E169" s="3215"/>
      <c r="F169" s="3215">
        <v>2880</v>
      </c>
      <c r="G169" s="3215"/>
    </row>
    <row r="170" spans="1:7" s="3204" customFormat="1" ht="14.25" customHeight="1">
      <c r="A170" s="3215" t="s">
        <v>29</v>
      </c>
      <c r="B170" s="3215" t="s">
        <v>3045</v>
      </c>
      <c r="C170" s="3215"/>
      <c r="D170" s="3215"/>
      <c r="E170" s="3215"/>
      <c r="F170" s="3215">
        <v>2880</v>
      </c>
      <c r="G170" s="3215"/>
    </row>
    <row r="171" spans="1:7" s="3204" customFormat="1" ht="14.25" customHeight="1">
      <c r="A171" s="3215" t="s">
        <v>29</v>
      </c>
      <c r="B171" s="3215" t="s">
        <v>3048</v>
      </c>
      <c r="C171" s="3215"/>
      <c r="D171" s="3215"/>
      <c r="E171" s="3215"/>
      <c r="F171" s="3215">
        <v>2880</v>
      </c>
      <c r="G171" s="3215"/>
    </row>
    <row r="172" spans="1:7" s="3204" customFormat="1" ht="14.25" customHeight="1">
      <c r="A172" s="3215" t="s">
        <v>29</v>
      </c>
      <c r="B172" s="3215" t="s">
        <v>3050</v>
      </c>
      <c r="C172" s="3215"/>
      <c r="D172" s="3215"/>
      <c r="E172" s="3215"/>
      <c r="F172" s="3215">
        <v>2880</v>
      </c>
      <c r="G172" s="3215"/>
    </row>
    <row r="173" spans="1:7" s="3204" customFormat="1" ht="14.25" customHeight="1">
      <c r="A173" s="3215" t="s">
        <v>29</v>
      </c>
      <c r="B173" s="3215" t="s">
        <v>3052</v>
      </c>
      <c r="C173" s="3215"/>
      <c r="D173" s="3215"/>
      <c r="E173" s="3215"/>
      <c r="F173" s="3215">
        <v>2150</v>
      </c>
      <c r="G173" s="3215"/>
    </row>
    <row r="174" spans="1:7" s="3204" customFormat="1" ht="14.25" customHeight="1">
      <c r="A174" s="3215" t="s">
        <v>29</v>
      </c>
      <c r="B174" s="3215" t="s">
        <v>3054</v>
      </c>
      <c r="C174" s="3215"/>
      <c r="D174" s="3215"/>
      <c r="E174" s="3215"/>
      <c r="F174" s="3215">
        <v>2030</v>
      </c>
      <c r="G174" s="3215"/>
    </row>
    <row r="175" spans="1:7" s="3204" customFormat="1" ht="14.25" customHeight="1">
      <c r="A175" s="3215" t="s">
        <v>29</v>
      </c>
      <c r="B175" s="3215" t="s">
        <v>3056</v>
      </c>
      <c r="C175" s="3215"/>
      <c r="D175" s="3215"/>
      <c r="E175" s="3215"/>
      <c r="F175" s="3215">
        <v>2780</v>
      </c>
      <c r="G175" s="3215"/>
    </row>
    <row r="176" spans="1:7" s="3204" customFormat="1" ht="14.25" customHeight="1">
      <c r="A176" s="3215" t="s">
        <v>29</v>
      </c>
      <c r="B176" s="3215" t="s">
        <v>3058</v>
      </c>
      <c r="C176" s="3215"/>
      <c r="D176" s="3215"/>
      <c r="E176" s="3215"/>
      <c r="F176" s="3215">
        <v>2780</v>
      </c>
      <c r="G176" s="3215"/>
    </row>
    <row r="177" spans="1:7" s="3204" customFormat="1" ht="14.25" customHeight="1">
      <c r="A177" s="3215" t="s">
        <v>29</v>
      </c>
      <c r="B177" s="3215" t="s">
        <v>3090</v>
      </c>
      <c r="C177" s="3215"/>
      <c r="D177" s="3215"/>
      <c r="E177" s="3215"/>
      <c r="F177" s="3215">
        <v>2780</v>
      </c>
      <c r="G177" s="3215"/>
    </row>
    <row r="178" spans="1:7" s="3204" customFormat="1" ht="14.25" customHeight="1">
      <c r="A178" s="3215" t="s">
        <v>29</v>
      </c>
      <c r="B178" s="3215" t="s">
        <v>3091</v>
      </c>
      <c r="C178" s="3215"/>
      <c r="D178" s="3215"/>
      <c r="E178" s="3215"/>
      <c r="F178" s="3215">
        <v>2060</v>
      </c>
      <c r="G178" s="3215"/>
    </row>
    <row r="179" spans="1:7" s="3204" customFormat="1" ht="14.25" customHeight="1">
      <c r="A179" s="3215" t="s">
        <v>29</v>
      </c>
      <c r="B179" s="3215" t="s">
        <v>3092</v>
      </c>
      <c r="C179" s="3215"/>
      <c r="D179" s="3215"/>
      <c r="E179" s="3215"/>
      <c r="F179" s="3215">
        <v>2120</v>
      </c>
      <c r="G179" s="3215"/>
    </row>
    <row r="180" spans="1:7" s="3204" customFormat="1" ht="14.25" customHeight="1">
      <c r="A180" s="3215" t="s">
        <v>29</v>
      </c>
      <c r="B180" s="3215" t="s">
        <v>3064</v>
      </c>
      <c r="C180" s="3215"/>
      <c r="D180" s="3215"/>
      <c r="E180" s="3215"/>
      <c r="F180" s="3215">
        <v>2340</v>
      </c>
      <c r="G180" s="3215"/>
    </row>
    <row r="181" spans="1:7" s="3204" customFormat="1" ht="14.25" customHeight="1">
      <c r="A181" s="3215" t="s">
        <v>29</v>
      </c>
      <c r="B181" s="3215" t="s">
        <v>3065</v>
      </c>
      <c r="C181" s="3215"/>
      <c r="D181" s="3215"/>
      <c r="E181" s="3215"/>
      <c r="F181" s="3215">
        <v>2340</v>
      </c>
      <c r="G181" s="3215"/>
    </row>
    <row r="182" spans="1:7" s="3204" customFormat="1" ht="14.25" customHeight="1">
      <c r="A182" s="3215" t="s">
        <v>29</v>
      </c>
      <c r="B182" s="3215" t="s">
        <v>3066</v>
      </c>
      <c r="C182" s="3215"/>
      <c r="D182" s="3215"/>
      <c r="E182" s="3215"/>
      <c r="F182" s="3215">
        <v>2340</v>
      </c>
      <c r="G182" s="3215"/>
    </row>
    <row r="183" spans="1:7" s="3204" customFormat="1" ht="14.25" customHeight="1">
      <c r="A183" s="3215" t="s">
        <v>29</v>
      </c>
      <c r="B183" s="3215" t="s">
        <v>3067</v>
      </c>
      <c r="C183" s="3215"/>
      <c r="D183" s="3215"/>
      <c r="E183" s="3215"/>
      <c r="F183" s="3215">
        <v>2340</v>
      </c>
      <c r="G183" s="3215"/>
    </row>
    <row r="184" spans="1:7" s="3204" customFormat="1" ht="14.25" customHeight="1">
      <c r="A184" s="3215" t="s">
        <v>29</v>
      </c>
      <c r="B184" s="3215" t="s">
        <v>3068</v>
      </c>
      <c r="C184" s="3215"/>
      <c r="D184" s="3215"/>
      <c r="E184" s="3215"/>
      <c r="F184" s="3215">
        <v>2340</v>
      </c>
      <c r="G184" s="3215"/>
    </row>
    <row r="185" spans="1:7" s="3204" customFormat="1" ht="14.25" customHeight="1">
      <c r="A185" s="3215" t="s">
        <v>29</v>
      </c>
      <c r="B185" s="3215" t="s">
        <v>3069</v>
      </c>
      <c r="C185" s="3215"/>
      <c r="D185" s="3215"/>
      <c r="E185" s="3215"/>
      <c r="F185" s="3215">
        <v>2530</v>
      </c>
      <c r="G185" s="3215"/>
    </row>
    <row r="186" spans="1:7" s="3204" customFormat="1" ht="14.25" customHeight="1">
      <c r="A186" s="3215" t="s">
        <v>29</v>
      </c>
      <c r="B186" s="3215" t="s">
        <v>3070</v>
      </c>
      <c r="C186" s="3215"/>
      <c r="D186" s="3215"/>
      <c r="E186" s="3215"/>
      <c r="F186" s="3215">
        <v>2550</v>
      </c>
      <c r="G186" s="3215"/>
    </row>
    <row r="187" spans="1:7" s="3204" customFormat="1" ht="14.25" customHeight="1">
      <c r="A187" s="3215" t="s">
        <v>29</v>
      </c>
      <c r="B187" s="3215" t="s">
        <v>3071</v>
      </c>
      <c r="C187" s="3215"/>
      <c r="D187" s="3215"/>
      <c r="E187" s="3215"/>
      <c r="F187" s="3215">
        <v>2070</v>
      </c>
      <c r="G187" s="3215"/>
    </row>
    <row r="188" spans="1:7" s="3204" customFormat="1" ht="14.25" customHeight="1">
      <c r="A188" s="3215" t="s">
        <v>29</v>
      </c>
      <c r="B188" s="3215" t="s">
        <v>3072</v>
      </c>
      <c r="C188" s="3215"/>
      <c r="D188" s="3215"/>
      <c r="E188" s="3215"/>
      <c r="F188" s="3215">
        <v>2340</v>
      </c>
      <c r="G188" s="3215"/>
    </row>
    <row r="189" spans="1:7" s="3204" customFormat="1" ht="14.25" customHeight="1" thickBot="1">
      <c r="A189" s="3223" t="s">
        <v>29</v>
      </c>
      <c r="B189" s="3226" t="s">
        <v>3073</v>
      </c>
      <c r="C189" s="3226"/>
      <c r="D189" s="3226"/>
      <c r="E189" s="3226"/>
      <c r="F189" s="3226">
        <v>2050</v>
      </c>
      <c r="G189" s="3226"/>
    </row>
    <row r="190" spans="1:7" s="3204" customFormat="1" ht="14.25" customHeight="1">
      <c r="A190" s="3220" t="s">
        <v>304</v>
      </c>
      <c r="B190" s="3211" t="s">
        <v>3093</v>
      </c>
      <c r="C190" s="3211">
        <v>8830</v>
      </c>
      <c r="D190" s="3211">
        <v>8790</v>
      </c>
      <c r="E190" s="3211">
        <v>11630</v>
      </c>
      <c r="F190" s="3211">
        <v>1790</v>
      </c>
      <c r="G190" s="3227">
        <v>5550</v>
      </c>
    </row>
    <row r="191" spans="1:7" s="3204" customFormat="1" ht="14.25" customHeight="1">
      <c r="A191" s="3215" t="s">
        <v>304</v>
      </c>
      <c r="B191" s="3215" t="s">
        <v>133</v>
      </c>
      <c r="C191" s="3215">
        <v>9780</v>
      </c>
      <c r="D191" s="3215">
        <v>9710</v>
      </c>
      <c r="E191" s="3215">
        <v>12550</v>
      </c>
      <c r="F191" s="3215">
        <v>1980</v>
      </c>
      <c r="G191" s="3228">
        <v>6130</v>
      </c>
    </row>
    <row r="192" spans="1:7" s="3204" customFormat="1" ht="14.25" customHeight="1">
      <c r="A192" s="3215" t="s">
        <v>304</v>
      </c>
      <c r="B192" s="3215" t="s">
        <v>142</v>
      </c>
      <c r="C192" s="3215">
        <v>8180</v>
      </c>
      <c r="D192" s="3215">
        <v>8140</v>
      </c>
      <c r="E192" s="3215">
        <v>10870</v>
      </c>
      <c r="F192" s="3215">
        <v>1690</v>
      </c>
      <c r="G192" s="3228">
        <v>5140</v>
      </c>
    </row>
    <row r="193" spans="1:7" s="3204" customFormat="1" ht="14.25" customHeight="1">
      <c r="A193" s="3215" t="s">
        <v>304</v>
      </c>
      <c r="B193" s="3215" t="s">
        <v>151</v>
      </c>
      <c r="C193" s="3215">
        <v>8440</v>
      </c>
      <c r="D193" s="3215">
        <v>8390</v>
      </c>
      <c r="E193" s="3215">
        <v>11210</v>
      </c>
      <c r="F193" s="3215">
        <v>1600</v>
      </c>
      <c r="G193" s="3228">
        <v>5300</v>
      </c>
    </row>
    <row r="194" spans="1:7" s="3204" customFormat="1" ht="14.25" customHeight="1">
      <c r="A194" s="3215" t="s">
        <v>304</v>
      </c>
      <c r="B194" s="3215" t="s">
        <v>160</v>
      </c>
      <c r="C194" s="3215">
        <v>8780</v>
      </c>
      <c r="D194" s="3215">
        <v>8730</v>
      </c>
      <c r="E194" s="3215">
        <v>11550</v>
      </c>
      <c r="F194" s="3215">
        <v>1660</v>
      </c>
      <c r="G194" s="3228">
        <v>5520</v>
      </c>
    </row>
    <row r="195" spans="1:7" s="3204" customFormat="1" ht="14.25" customHeight="1">
      <c r="A195" s="3215" t="s">
        <v>304</v>
      </c>
      <c r="B195" s="3215" t="s">
        <v>167</v>
      </c>
      <c r="C195" s="3215">
        <v>8720</v>
      </c>
      <c r="D195" s="3215">
        <v>8670</v>
      </c>
      <c r="E195" s="3215">
        <v>11450</v>
      </c>
      <c r="F195" s="3215">
        <v>1720</v>
      </c>
      <c r="G195" s="3228">
        <v>5480</v>
      </c>
    </row>
    <row r="196" spans="1:7" s="3204" customFormat="1" ht="14.25" customHeight="1">
      <c r="A196" s="3215" t="s">
        <v>304</v>
      </c>
      <c r="B196" s="3215" t="s">
        <v>173</v>
      </c>
      <c r="C196" s="3215">
        <v>8460</v>
      </c>
      <c r="D196" s="3215">
        <v>8410</v>
      </c>
      <c r="E196" s="3215">
        <v>11230</v>
      </c>
      <c r="F196" s="3215">
        <v>1730</v>
      </c>
      <c r="G196" s="3228">
        <v>5310</v>
      </c>
    </row>
    <row r="197" spans="1:7" s="3204" customFormat="1" ht="14.25" customHeight="1">
      <c r="A197" s="3215" t="s">
        <v>304</v>
      </c>
      <c r="B197" s="3215" t="s">
        <v>180</v>
      </c>
      <c r="C197" s="3215">
        <v>8790</v>
      </c>
      <c r="D197" s="3215">
        <v>8730</v>
      </c>
      <c r="E197" s="3215">
        <v>11560</v>
      </c>
      <c r="F197" s="3215">
        <v>1750</v>
      </c>
      <c r="G197" s="3228">
        <v>5520</v>
      </c>
    </row>
    <row r="198" spans="1:7" s="3204" customFormat="1" ht="14.25" customHeight="1">
      <c r="A198" s="3215" t="s">
        <v>304</v>
      </c>
      <c r="B198" s="3215" t="s">
        <v>190</v>
      </c>
      <c r="C198" s="3215">
        <v>8720</v>
      </c>
      <c r="D198" s="3215">
        <v>8680</v>
      </c>
      <c r="E198" s="3215">
        <v>11470</v>
      </c>
      <c r="F198" s="3215"/>
      <c r="G198" s="3228">
        <v>5480</v>
      </c>
    </row>
    <row r="199" spans="1:7" s="3204" customFormat="1" ht="14.25" customHeight="1">
      <c r="A199" s="3215" t="s">
        <v>304</v>
      </c>
      <c r="B199" s="3215" t="s">
        <v>3094</v>
      </c>
      <c r="C199" s="3215">
        <v>8690</v>
      </c>
      <c r="D199" s="3215">
        <v>8630</v>
      </c>
      <c r="E199" s="3215">
        <v>11350</v>
      </c>
      <c r="F199" s="3215">
        <v>1600</v>
      </c>
      <c r="G199" s="3228">
        <v>5450</v>
      </c>
    </row>
    <row r="200" spans="1:7" s="3204" customFormat="1" ht="14.25" customHeight="1">
      <c r="A200" s="3215" t="s">
        <v>304</v>
      </c>
      <c r="B200" s="3215" t="s">
        <v>2905</v>
      </c>
      <c r="C200" s="3215"/>
      <c r="D200" s="3215"/>
      <c r="E200" s="3215"/>
      <c r="F200" s="3215">
        <v>1510</v>
      </c>
      <c r="G200" s="3228"/>
    </row>
    <row r="201" spans="1:7" s="3204" customFormat="1" ht="14.25" customHeight="1">
      <c r="A201" s="3215" t="s">
        <v>304</v>
      </c>
      <c r="B201" s="3215" t="s">
        <v>3095</v>
      </c>
      <c r="C201" s="3215">
        <v>8440</v>
      </c>
      <c r="D201" s="3215">
        <v>8390</v>
      </c>
      <c r="E201" s="3215">
        <v>10930</v>
      </c>
      <c r="F201" s="3215">
        <v>1500</v>
      </c>
      <c r="G201" s="3228">
        <v>5300</v>
      </c>
    </row>
    <row r="202" spans="1:7" s="3204" customFormat="1" ht="14.25" customHeight="1">
      <c r="A202" s="3215" t="s">
        <v>304</v>
      </c>
      <c r="B202" s="3215" t="s">
        <v>240</v>
      </c>
      <c r="C202" s="3215">
        <v>8530</v>
      </c>
      <c r="D202" s="3215">
        <v>8490</v>
      </c>
      <c r="E202" s="3215">
        <v>11160</v>
      </c>
      <c r="F202" s="3215">
        <v>1580</v>
      </c>
      <c r="G202" s="3228">
        <v>5360</v>
      </c>
    </row>
    <row r="203" spans="1:7" s="3204" customFormat="1" ht="14.25" customHeight="1">
      <c r="A203" s="3215" t="s">
        <v>304</v>
      </c>
      <c r="B203" s="3215" t="s">
        <v>3096</v>
      </c>
      <c r="C203" s="3215">
        <v>8130</v>
      </c>
      <c r="D203" s="3215">
        <v>8070</v>
      </c>
      <c r="E203" s="3215">
        <v>10820</v>
      </c>
      <c r="F203" s="3215">
        <v>1690</v>
      </c>
      <c r="G203" s="3228">
        <v>5100</v>
      </c>
    </row>
    <row r="204" spans="1:7" s="3204" customFormat="1" ht="14.25" customHeight="1">
      <c r="A204" s="3215" t="s">
        <v>304</v>
      </c>
      <c r="B204" s="3215" t="s">
        <v>2916</v>
      </c>
      <c r="C204" s="3215">
        <v>8350</v>
      </c>
      <c r="D204" s="3215">
        <v>8290</v>
      </c>
      <c r="E204" s="3215">
        <v>11080</v>
      </c>
      <c r="F204" s="3215">
        <v>1450</v>
      </c>
      <c r="G204" s="3228">
        <v>5240</v>
      </c>
    </row>
    <row r="205" spans="1:7" s="3204" customFormat="1" ht="14.25" customHeight="1">
      <c r="A205" s="3215" t="s">
        <v>304</v>
      </c>
      <c r="B205" s="3215" t="s">
        <v>2918</v>
      </c>
      <c r="C205" s="3215">
        <v>7190</v>
      </c>
      <c r="D205" s="3215">
        <v>7130</v>
      </c>
      <c r="E205" s="3215">
        <v>9490</v>
      </c>
      <c r="F205" s="3215">
        <v>1470</v>
      </c>
      <c r="G205" s="3228">
        <v>4510</v>
      </c>
    </row>
    <row r="206" spans="1:7" s="3204" customFormat="1" ht="14.25" customHeight="1">
      <c r="A206" s="3215" t="s">
        <v>304</v>
      </c>
      <c r="B206" s="3215" t="s">
        <v>2921</v>
      </c>
      <c r="C206" s="3215">
        <v>7000</v>
      </c>
      <c r="D206" s="3215">
        <v>6950</v>
      </c>
      <c r="E206" s="3215">
        <v>9170</v>
      </c>
      <c r="F206" s="3215">
        <v>1400</v>
      </c>
      <c r="G206" s="3228">
        <v>4380</v>
      </c>
    </row>
    <row r="207" spans="1:7" s="3204" customFormat="1" ht="14.25" customHeight="1">
      <c r="A207" s="3215" t="s">
        <v>304</v>
      </c>
      <c r="B207" s="3215" t="s">
        <v>2923</v>
      </c>
      <c r="C207" s="3215">
        <v>6950</v>
      </c>
      <c r="D207" s="3215">
        <v>6900</v>
      </c>
      <c r="E207" s="3215">
        <v>9110</v>
      </c>
      <c r="F207" s="3215">
        <v>1790</v>
      </c>
      <c r="G207" s="3228">
        <v>4360</v>
      </c>
    </row>
    <row r="208" spans="1:7" s="3204" customFormat="1" ht="14.25" customHeight="1">
      <c r="A208" s="3215" t="s">
        <v>304</v>
      </c>
      <c r="B208" s="3215" t="s">
        <v>3097</v>
      </c>
      <c r="C208" s="3215">
        <v>9470</v>
      </c>
      <c r="D208" s="3215">
        <v>9410</v>
      </c>
      <c r="E208" s="3215">
        <v>12330</v>
      </c>
      <c r="F208" s="3215">
        <v>1770</v>
      </c>
      <c r="G208" s="3228">
        <v>5940</v>
      </c>
    </row>
    <row r="209" spans="1:7" s="3204" customFormat="1" ht="14.25" customHeight="1">
      <c r="A209" s="3215" t="s">
        <v>304</v>
      </c>
      <c r="B209" s="3215" t="s">
        <v>264</v>
      </c>
      <c r="C209" s="3215">
        <v>8740</v>
      </c>
      <c r="D209" s="3215">
        <v>8700</v>
      </c>
      <c r="E209" s="3215">
        <v>11500</v>
      </c>
      <c r="F209" s="3215">
        <v>1730</v>
      </c>
      <c r="G209" s="3228">
        <v>5490</v>
      </c>
    </row>
    <row r="210" spans="1:7" s="3204" customFormat="1" ht="14.25" customHeight="1">
      <c r="A210" s="3215" t="s">
        <v>304</v>
      </c>
      <c r="B210" s="3215" t="s">
        <v>2933</v>
      </c>
      <c r="C210" s="3215">
        <v>8710</v>
      </c>
      <c r="D210" s="3215">
        <v>8660</v>
      </c>
      <c r="E210" s="3215">
        <v>11440</v>
      </c>
      <c r="F210" s="3215">
        <v>1740</v>
      </c>
      <c r="G210" s="3228">
        <v>5470</v>
      </c>
    </row>
    <row r="211" spans="1:7" s="3204" customFormat="1" ht="14.25" customHeight="1">
      <c r="A211" s="3215" t="s">
        <v>304</v>
      </c>
      <c r="B211" s="3215" t="s">
        <v>3098</v>
      </c>
      <c r="C211" s="3215">
        <v>9480</v>
      </c>
      <c r="D211" s="3215">
        <v>9430</v>
      </c>
      <c r="E211" s="3215">
        <v>12360</v>
      </c>
      <c r="F211" s="3215">
        <v>1820</v>
      </c>
      <c r="G211" s="3228">
        <v>5950</v>
      </c>
    </row>
    <row r="212" spans="1:7" s="3204" customFormat="1" ht="14.25" customHeight="1">
      <c r="A212" s="3215" t="s">
        <v>304</v>
      </c>
      <c r="B212" s="3215" t="s">
        <v>285</v>
      </c>
      <c r="C212" s="3215">
        <v>9070</v>
      </c>
      <c r="D212" s="3215">
        <v>9020</v>
      </c>
      <c r="E212" s="3215">
        <v>11720</v>
      </c>
      <c r="F212" s="3215">
        <v>1850</v>
      </c>
      <c r="G212" s="3228">
        <v>5700</v>
      </c>
    </row>
    <row r="213" spans="1:7" s="3204" customFormat="1" ht="14.25" customHeight="1">
      <c r="A213" s="3215" t="s">
        <v>304</v>
      </c>
      <c r="B213" s="3215" t="s">
        <v>288</v>
      </c>
      <c r="C213" s="3215">
        <v>9030</v>
      </c>
      <c r="D213" s="3215">
        <v>8980</v>
      </c>
      <c r="E213" s="3215">
        <v>11670</v>
      </c>
      <c r="F213" s="3215">
        <v>1690</v>
      </c>
      <c r="G213" s="3228">
        <v>5670</v>
      </c>
    </row>
    <row r="214" spans="1:7" s="3204" customFormat="1" ht="14.25" customHeight="1">
      <c r="A214" s="3215" t="s">
        <v>304</v>
      </c>
      <c r="B214" s="3215" t="s">
        <v>3099</v>
      </c>
      <c r="C214" s="3215">
        <v>8090</v>
      </c>
      <c r="D214" s="3215">
        <v>8030</v>
      </c>
      <c r="E214" s="3215">
        <v>10780</v>
      </c>
      <c r="F214" s="3215">
        <v>1570</v>
      </c>
      <c r="G214" s="3228">
        <v>5070</v>
      </c>
    </row>
    <row r="215" spans="1:7" s="3204" customFormat="1" ht="14.25" customHeight="1">
      <c r="A215" s="3215" t="s">
        <v>304</v>
      </c>
      <c r="B215" s="3215" t="s">
        <v>3100</v>
      </c>
      <c r="C215" s="3215">
        <v>7950</v>
      </c>
      <c r="D215" s="3215">
        <v>7900</v>
      </c>
      <c r="E215" s="3215">
        <v>10560</v>
      </c>
      <c r="F215" s="3215">
        <v>1630</v>
      </c>
      <c r="G215" s="3228">
        <v>4990</v>
      </c>
    </row>
    <row r="216" spans="1:7" s="3204" customFormat="1" ht="14.25" customHeight="1">
      <c r="A216" s="3215" t="s">
        <v>304</v>
      </c>
      <c r="B216" s="3215" t="s">
        <v>3101</v>
      </c>
      <c r="C216" s="3215">
        <v>8490</v>
      </c>
      <c r="D216" s="3215">
        <v>8440</v>
      </c>
      <c r="E216" s="3215">
        <v>11260</v>
      </c>
      <c r="F216" s="3215">
        <v>1690</v>
      </c>
      <c r="G216" s="3228">
        <v>5330</v>
      </c>
    </row>
    <row r="217" spans="1:7" s="3204" customFormat="1" ht="14.25" customHeight="1">
      <c r="A217" s="3215" t="s">
        <v>304</v>
      </c>
      <c r="B217" s="3215" t="s">
        <v>2966</v>
      </c>
      <c r="C217" s="3215">
        <v>8200</v>
      </c>
      <c r="D217" s="3215">
        <v>8150</v>
      </c>
      <c r="E217" s="3215">
        <v>10910</v>
      </c>
      <c r="F217" s="3215">
        <v>1670</v>
      </c>
      <c r="G217" s="3228">
        <v>5150</v>
      </c>
    </row>
    <row r="218" spans="1:7" s="3204" customFormat="1" ht="14.25" customHeight="1">
      <c r="A218" s="3215" t="s">
        <v>304</v>
      </c>
      <c r="B218" s="3215" t="s">
        <v>3102</v>
      </c>
      <c r="C218" s="3215"/>
      <c r="D218" s="3215"/>
      <c r="E218" s="3215"/>
      <c r="F218" s="3215">
        <v>2040</v>
      </c>
      <c r="G218" s="3228"/>
    </row>
    <row r="219" spans="1:7" s="3204" customFormat="1" ht="14.25" customHeight="1">
      <c r="A219" s="3215" t="s">
        <v>304</v>
      </c>
      <c r="B219" s="3215" t="s">
        <v>3103</v>
      </c>
      <c r="C219" s="3215"/>
      <c r="D219" s="3215"/>
      <c r="E219" s="3215"/>
      <c r="F219" s="3215">
        <v>2040</v>
      </c>
      <c r="G219" s="3228"/>
    </row>
    <row r="220" spans="1:7" s="3204" customFormat="1" ht="14.25" customHeight="1">
      <c r="A220" s="3215" t="s">
        <v>304</v>
      </c>
      <c r="B220" s="3215" t="s">
        <v>3104</v>
      </c>
      <c r="C220" s="3215"/>
      <c r="D220" s="3215"/>
      <c r="E220" s="3215"/>
      <c r="F220" s="3215">
        <v>2040</v>
      </c>
      <c r="G220" s="3228"/>
    </row>
    <row r="221" spans="1:7" s="3204" customFormat="1" ht="14.25" customHeight="1">
      <c r="A221" s="3215" t="s">
        <v>304</v>
      </c>
      <c r="B221" s="3215" t="s">
        <v>3105</v>
      </c>
      <c r="C221" s="3215"/>
      <c r="D221" s="3215"/>
      <c r="E221" s="3215"/>
      <c r="F221" s="3215">
        <v>2040</v>
      </c>
      <c r="G221" s="3228"/>
    </row>
    <row r="222" spans="1:7" s="3204" customFormat="1" ht="14.25" customHeight="1">
      <c r="A222" s="3215" t="s">
        <v>304</v>
      </c>
      <c r="B222" s="3215" t="s">
        <v>3106</v>
      </c>
      <c r="C222" s="3215"/>
      <c r="D222" s="3215"/>
      <c r="E222" s="3215"/>
      <c r="F222" s="3215">
        <v>2040</v>
      </c>
      <c r="G222" s="3228"/>
    </row>
    <row r="223" spans="1:7" s="3204" customFormat="1" ht="14.25" customHeight="1">
      <c r="A223" s="3215" t="s">
        <v>304</v>
      </c>
      <c r="B223" s="3215" t="s">
        <v>3107</v>
      </c>
      <c r="C223" s="3215"/>
      <c r="D223" s="3215"/>
      <c r="E223" s="3215"/>
      <c r="F223" s="3215">
        <v>1930</v>
      </c>
      <c r="G223" s="3228"/>
    </row>
    <row r="224" spans="1:7" s="3204" customFormat="1" ht="14.25" customHeight="1">
      <c r="A224" s="3215" t="s">
        <v>304</v>
      </c>
      <c r="B224" s="3215" t="s">
        <v>3108</v>
      </c>
      <c r="C224" s="3215"/>
      <c r="D224" s="3215"/>
      <c r="E224" s="3215"/>
      <c r="F224" s="3215">
        <v>1930</v>
      </c>
      <c r="G224" s="3228"/>
    </row>
    <row r="225" spans="1:7" s="3204" customFormat="1" ht="14.25" customHeight="1">
      <c r="A225" s="3215" t="s">
        <v>304</v>
      </c>
      <c r="B225" s="3215" t="s">
        <v>3109</v>
      </c>
      <c r="C225" s="3215"/>
      <c r="D225" s="3215"/>
      <c r="E225" s="3215"/>
      <c r="F225" s="3215">
        <v>1930</v>
      </c>
      <c r="G225" s="3228"/>
    </row>
    <row r="226" spans="1:7" s="3204" customFormat="1" ht="14.25" customHeight="1">
      <c r="A226" s="3215" t="s">
        <v>304</v>
      </c>
      <c r="B226" s="3215" t="s">
        <v>3110</v>
      </c>
      <c r="C226" s="3215"/>
      <c r="D226" s="3215"/>
      <c r="E226" s="3215"/>
      <c r="F226" s="3215">
        <v>1700</v>
      </c>
      <c r="G226" s="3228"/>
    </row>
    <row r="227" spans="1:7" s="3204" customFormat="1" ht="14.25" customHeight="1">
      <c r="A227" s="3215" t="s">
        <v>304</v>
      </c>
      <c r="B227" s="3215" t="s">
        <v>3111</v>
      </c>
      <c r="C227" s="3215"/>
      <c r="D227" s="3215"/>
      <c r="E227" s="3215"/>
      <c r="F227" s="3215">
        <v>1520</v>
      </c>
      <c r="G227" s="3228"/>
    </row>
    <row r="228" spans="1:7" s="3204" customFormat="1" ht="14.25" customHeight="1">
      <c r="A228" s="3215" t="s">
        <v>304</v>
      </c>
      <c r="B228" s="3215" t="s">
        <v>3112</v>
      </c>
      <c r="C228" s="3215"/>
      <c r="D228" s="3215"/>
      <c r="E228" s="3215"/>
      <c r="F228" s="3215">
        <v>1520</v>
      </c>
      <c r="G228" s="3228"/>
    </row>
    <row r="229" spans="1:7" s="3204" customFormat="1" ht="14.25" customHeight="1">
      <c r="A229" s="3215" t="s">
        <v>304</v>
      </c>
      <c r="B229" s="3215" t="s">
        <v>3029</v>
      </c>
      <c r="C229" s="3215"/>
      <c r="D229" s="3215"/>
      <c r="E229" s="3215"/>
      <c r="F229" s="3215">
        <v>1520</v>
      </c>
      <c r="G229" s="3228"/>
    </row>
    <row r="230" spans="1:7" s="3204" customFormat="1" ht="14.25" customHeight="1">
      <c r="A230" s="3215" t="s">
        <v>304</v>
      </c>
      <c r="B230" s="3215" t="s">
        <v>3113</v>
      </c>
      <c r="C230" s="3215"/>
      <c r="D230" s="3215"/>
      <c r="E230" s="3215"/>
      <c r="F230" s="3215">
        <v>1820</v>
      </c>
      <c r="G230" s="3228"/>
    </row>
    <row r="231" spans="1:7" s="3204" customFormat="1" ht="14.25" customHeight="1">
      <c r="A231" s="3215" t="s">
        <v>304</v>
      </c>
      <c r="B231" s="3215" t="s">
        <v>3114</v>
      </c>
      <c r="C231" s="3215"/>
      <c r="D231" s="3215"/>
      <c r="E231" s="3215"/>
      <c r="F231" s="3215">
        <v>1760</v>
      </c>
      <c r="G231" s="3228"/>
    </row>
    <row r="232" spans="1:7" s="3204" customFormat="1" ht="14.25" customHeight="1">
      <c r="A232" s="3215" t="s">
        <v>304</v>
      </c>
      <c r="B232" s="3215" t="s">
        <v>3115</v>
      </c>
      <c r="C232" s="3215"/>
      <c r="D232" s="3215"/>
      <c r="E232" s="3215"/>
      <c r="F232" s="3215">
        <v>1840</v>
      </c>
      <c r="G232" s="3228"/>
    </row>
    <row r="233" spans="1:7" s="3204" customFormat="1" ht="14.25" customHeight="1" thickBot="1">
      <c r="A233" s="3229" t="s">
        <v>304</v>
      </c>
      <c r="B233" s="3222" t="s">
        <v>3046</v>
      </c>
      <c r="C233" s="3222"/>
      <c r="D233" s="3222"/>
      <c r="E233" s="3222"/>
      <c r="F233" s="3222">
        <v>1770</v>
      </c>
      <c r="G233" s="3230"/>
    </row>
    <row r="234" spans="1:7" s="3204" customFormat="1" ht="14.25" customHeight="1">
      <c r="A234" s="3220" t="s">
        <v>305</v>
      </c>
      <c r="B234" s="3211" t="s">
        <v>3116</v>
      </c>
      <c r="C234" s="3215">
        <v>6980</v>
      </c>
      <c r="D234" s="3215">
        <v>6970</v>
      </c>
      <c r="E234" s="3215">
        <v>8720</v>
      </c>
      <c r="F234" s="3215">
        <v>1350</v>
      </c>
      <c r="G234" s="3215">
        <v>4280</v>
      </c>
    </row>
    <row r="235" spans="1:7" s="3204" customFormat="1" ht="14.25" customHeight="1">
      <c r="A235" s="3215" t="s">
        <v>305</v>
      </c>
      <c r="B235" s="3215" t="s">
        <v>134</v>
      </c>
      <c r="C235" s="3215">
        <v>7620</v>
      </c>
      <c r="D235" s="3215">
        <v>7580</v>
      </c>
      <c r="E235" s="3215">
        <v>9360</v>
      </c>
      <c r="F235" s="3215">
        <v>1490</v>
      </c>
      <c r="G235" s="3215">
        <v>4650</v>
      </c>
    </row>
    <row r="236" spans="1:7" s="3204" customFormat="1" ht="14.25" customHeight="1">
      <c r="A236" s="3215" t="s">
        <v>305</v>
      </c>
      <c r="B236" s="3215" t="s">
        <v>143</v>
      </c>
      <c r="C236" s="3215">
        <v>6650</v>
      </c>
      <c r="D236" s="3215">
        <v>6630</v>
      </c>
      <c r="E236" s="3215">
        <v>8330</v>
      </c>
      <c r="F236" s="3215">
        <v>1250</v>
      </c>
      <c r="G236" s="3215">
        <v>4070</v>
      </c>
    </row>
    <row r="237" spans="1:7" s="3204" customFormat="1" ht="14.25" customHeight="1">
      <c r="A237" s="3215" t="s">
        <v>305</v>
      </c>
      <c r="B237" s="3215" t="s">
        <v>152</v>
      </c>
      <c r="C237" s="3215">
        <v>5850</v>
      </c>
      <c r="D237" s="3215">
        <v>5820</v>
      </c>
      <c r="E237" s="3215">
        <v>7260</v>
      </c>
      <c r="F237" s="3215">
        <v>1140</v>
      </c>
      <c r="G237" s="3215">
        <v>3570</v>
      </c>
    </row>
    <row r="238" spans="1:7" s="3204" customFormat="1" ht="14.25" customHeight="1">
      <c r="A238" s="3215" t="s">
        <v>305</v>
      </c>
      <c r="B238" s="3215" t="s">
        <v>2887</v>
      </c>
      <c r="C238" s="3215">
        <v>6920</v>
      </c>
      <c r="D238" s="3215">
        <v>6890</v>
      </c>
      <c r="E238" s="3215">
        <v>8640</v>
      </c>
      <c r="F238" s="3215">
        <v>1310</v>
      </c>
      <c r="G238" s="3215">
        <v>4230</v>
      </c>
    </row>
    <row r="239" spans="1:7" s="3204" customFormat="1" ht="14.25" customHeight="1">
      <c r="A239" s="3215" t="s">
        <v>305</v>
      </c>
      <c r="B239" s="3215" t="s">
        <v>3117</v>
      </c>
      <c r="C239" s="3215">
        <v>6780</v>
      </c>
      <c r="D239" s="3215">
        <v>6750</v>
      </c>
      <c r="E239" s="3215">
        <v>8440</v>
      </c>
      <c r="F239" s="3215">
        <v>1160</v>
      </c>
      <c r="G239" s="3215">
        <v>4140</v>
      </c>
    </row>
    <row r="240" spans="1:7" s="3204" customFormat="1" ht="14.25" customHeight="1">
      <c r="A240" s="3215" t="s">
        <v>305</v>
      </c>
      <c r="B240" s="3215" t="s">
        <v>3118</v>
      </c>
      <c r="C240" s="3215">
        <v>5420</v>
      </c>
      <c r="D240" s="3215">
        <v>5380</v>
      </c>
      <c r="E240" s="3215">
        <v>6640</v>
      </c>
      <c r="F240" s="3215">
        <v>1020</v>
      </c>
      <c r="G240" s="3215">
        <v>3300</v>
      </c>
    </row>
    <row r="241" spans="1:7" s="3204" customFormat="1" ht="14.25" customHeight="1">
      <c r="A241" s="3215" t="s">
        <v>305</v>
      </c>
      <c r="B241" s="3215" t="s">
        <v>3119</v>
      </c>
      <c r="C241" s="3215">
        <v>6660</v>
      </c>
      <c r="D241" s="3215">
        <v>6640</v>
      </c>
      <c r="E241" s="3215">
        <v>8340</v>
      </c>
      <c r="F241" s="3215">
        <v>1130</v>
      </c>
      <c r="G241" s="3215">
        <v>4080</v>
      </c>
    </row>
    <row r="242" spans="1:7" s="3204" customFormat="1" ht="14.25" customHeight="1">
      <c r="A242" s="3215" t="s">
        <v>305</v>
      </c>
      <c r="B242" s="3215" t="s">
        <v>181</v>
      </c>
      <c r="C242" s="3215">
        <v>6580</v>
      </c>
      <c r="D242" s="3215">
        <v>6550</v>
      </c>
      <c r="E242" s="3215">
        <v>8090</v>
      </c>
      <c r="F242" s="3215">
        <v>1240</v>
      </c>
      <c r="G242" s="3215">
        <v>4020</v>
      </c>
    </row>
    <row r="243" spans="1:7" s="3204" customFormat="1" ht="14.25" customHeight="1">
      <c r="A243" s="3215" t="s">
        <v>305</v>
      </c>
      <c r="B243" s="3215" t="s">
        <v>191</v>
      </c>
      <c r="C243" s="3215">
        <v>6000</v>
      </c>
      <c r="D243" s="3215">
        <v>5970</v>
      </c>
      <c r="E243" s="3215">
        <v>7370</v>
      </c>
      <c r="F243" s="3215">
        <v>1070</v>
      </c>
      <c r="G243" s="3215">
        <v>3670</v>
      </c>
    </row>
    <row r="244" spans="1:7" s="3204" customFormat="1" ht="14.25" customHeight="1">
      <c r="A244" s="3215" t="s">
        <v>305</v>
      </c>
      <c r="B244" s="3215" t="s">
        <v>3120</v>
      </c>
      <c r="C244" s="3215">
        <v>5840</v>
      </c>
      <c r="D244" s="3215">
        <v>5810</v>
      </c>
      <c r="E244" s="3215">
        <v>7240</v>
      </c>
      <c r="F244" s="3215">
        <v>1100</v>
      </c>
      <c r="G244" s="3215">
        <v>3560</v>
      </c>
    </row>
    <row r="245" spans="1:7" s="3204" customFormat="1" ht="14.25" customHeight="1">
      <c r="A245" s="3215" t="s">
        <v>305</v>
      </c>
      <c r="B245" s="3215" t="s">
        <v>206</v>
      </c>
      <c r="C245" s="3215">
        <v>6040</v>
      </c>
      <c r="D245" s="3215">
        <v>6000</v>
      </c>
      <c r="E245" s="3215">
        <v>7420</v>
      </c>
      <c r="F245" s="3215">
        <v>1140</v>
      </c>
      <c r="G245" s="3215">
        <v>3690</v>
      </c>
    </row>
    <row r="246" spans="1:7" s="3204" customFormat="1" ht="14.25" customHeight="1">
      <c r="A246" s="3215" t="s">
        <v>305</v>
      </c>
      <c r="B246" s="3215" t="s">
        <v>213</v>
      </c>
      <c r="C246" s="3215">
        <v>5890</v>
      </c>
      <c r="D246" s="3215">
        <v>5860</v>
      </c>
      <c r="E246" s="3215">
        <v>7300</v>
      </c>
      <c r="F246" s="3215">
        <v>1110</v>
      </c>
      <c r="G246" s="3215">
        <v>3590</v>
      </c>
    </row>
    <row r="247" spans="1:7" s="3204" customFormat="1" ht="14.25" customHeight="1">
      <c r="A247" s="3215" t="s">
        <v>305</v>
      </c>
      <c r="B247" s="3215" t="s">
        <v>3121</v>
      </c>
      <c r="C247" s="3215">
        <v>6480</v>
      </c>
      <c r="D247" s="3215">
        <v>6450</v>
      </c>
      <c r="E247" s="3215">
        <v>8010</v>
      </c>
      <c r="F247" s="3215">
        <v>1170</v>
      </c>
      <c r="G247" s="3215">
        <v>3960</v>
      </c>
    </row>
    <row r="248" spans="1:7" s="3204" customFormat="1" ht="14.25" customHeight="1">
      <c r="A248" s="3215" t="s">
        <v>305</v>
      </c>
      <c r="B248" s="3215" t="s">
        <v>227</v>
      </c>
      <c r="C248" s="3215">
        <v>6860</v>
      </c>
      <c r="D248" s="3215">
        <v>6840</v>
      </c>
      <c r="E248" s="3215">
        <v>8520</v>
      </c>
      <c r="F248" s="3215">
        <v>1240</v>
      </c>
      <c r="G248" s="3215">
        <v>4200</v>
      </c>
    </row>
    <row r="249" spans="1:7" s="3204" customFormat="1" ht="14.25" customHeight="1">
      <c r="A249" s="3215" t="s">
        <v>305</v>
      </c>
      <c r="B249" s="3215" t="s">
        <v>3122</v>
      </c>
      <c r="C249" s="3215">
        <v>7180</v>
      </c>
      <c r="D249" s="3215">
        <v>7140</v>
      </c>
      <c r="E249" s="3215">
        <v>8900</v>
      </c>
      <c r="F249" s="3215">
        <v>1350</v>
      </c>
      <c r="G249" s="3215">
        <v>4380</v>
      </c>
    </row>
    <row r="250" spans="1:7" s="3204" customFormat="1" ht="14.25" customHeight="1">
      <c r="A250" s="3215" t="s">
        <v>305</v>
      </c>
      <c r="B250" s="3215" t="s">
        <v>241</v>
      </c>
      <c r="C250" s="3215">
        <v>6880</v>
      </c>
      <c r="D250" s="3215">
        <v>6860</v>
      </c>
      <c r="E250" s="3215">
        <v>8550</v>
      </c>
      <c r="F250" s="3215">
        <v>1220</v>
      </c>
      <c r="G250" s="3215">
        <v>4210</v>
      </c>
    </row>
    <row r="251" spans="1:7" s="3204" customFormat="1" ht="14.25" customHeight="1">
      <c r="A251" s="3215" t="s">
        <v>305</v>
      </c>
      <c r="B251" s="3215" t="s">
        <v>249</v>
      </c>
      <c r="C251" s="3215"/>
      <c r="D251" s="3215"/>
      <c r="E251" s="3215"/>
      <c r="F251" s="3215">
        <v>1100</v>
      </c>
      <c r="G251" s="3215"/>
    </row>
    <row r="252" spans="1:7" s="3204" customFormat="1" ht="14.25" customHeight="1">
      <c r="A252" s="3215" t="s">
        <v>305</v>
      </c>
      <c r="B252" s="3215" t="s">
        <v>3123</v>
      </c>
      <c r="C252" s="3215">
        <v>7240</v>
      </c>
      <c r="D252" s="3215">
        <v>7200</v>
      </c>
      <c r="E252" s="3215">
        <v>9040</v>
      </c>
      <c r="F252" s="3215">
        <v>1380</v>
      </c>
      <c r="G252" s="3215">
        <v>4420</v>
      </c>
    </row>
    <row r="253" spans="1:7" s="3204" customFormat="1" ht="14.25" customHeight="1">
      <c r="A253" s="3215" t="s">
        <v>305</v>
      </c>
      <c r="B253" s="3215" t="s">
        <v>283</v>
      </c>
      <c r="C253" s="3215">
        <v>6670</v>
      </c>
      <c r="D253" s="3215">
        <v>6650</v>
      </c>
      <c r="E253" s="3215">
        <v>8350</v>
      </c>
      <c r="F253" s="3215">
        <v>1260</v>
      </c>
      <c r="G253" s="3215">
        <v>4080</v>
      </c>
    </row>
    <row r="254" spans="1:7" s="3204" customFormat="1" ht="14.25" customHeight="1">
      <c r="A254" s="3215" t="s">
        <v>305</v>
      </c>
      <c r="B254" s="3215" t="s">
        <v>286</v>
      </c>
      <c r="C254" s="3215">
        <v>7630</v>
      </c>
      <c r="D254" s="3215">
        <v>7590</v>
      </c>
      <c r="E254" s="3215">
        <v>9380</v>
      </c>
      <c r="F254" s="3215">
        <v>1320</v>
      </c>
      <c r="G254" s="3215">
        <v>4660</v>
      </c>
    </row>
    <row r="255" spans="1:7" s="3204" customFormat="1" ht="14.25" customHeight="1">
      <c r="A255" s="3215" t="s">
        <v>305</v>
      </c>
      <c r="B255" s="3215" t="s">
        <v>289</v>
      </c>
      <c r="C255" s="3215">
        <v>6940</v>
      </c>
      <c r="D255" s="3215">
        <v>6890</v>
      </c>
      <c r="E255" s="3215">
        <v>8650</v>
      </c>
      <c r="F255" s="3215">
        <v>1210</v>
      </c>
      <c r="G255" s="3215">
        <v>4230</v>
      </c>
    </row>
    <row r="256" spans="1:7" s="3204" customFormat="1" ht="14.25" customHeight="1">
      <c r="A256" s="3215" t="s">
        <v>305</v>
      </c>
      <c r="B256" s="3215" t="s">
        <v>3124</v>
      </c>
      <c r="C256" s="3215">
        <v>7520</v>
      </c>
      <c r="D256" s="3215">
        <v>7490</v>
      </c>
      <c r="E256" s="3215">
        <v>9240</v>
      </c>
      <c r="F256" s="3215">
        <v>1270</v>
      </c>
      <c r="G256" s="3215">
        <v>4590</v>
      </c>
    </row>
    <row r="257" spans="1:7" s="3204" customFormat="1" ht="14.25" customHeight="1">
      <c r="A257" s="3215" t="s">
        <v>305</v>
      </c>
      <c r="B257" s="3215" t="s">
        <v>275</v>
      </c>
      <c r="C257" s="3215">
        <v>6280</v>
      </c>
      <c r="D257" s="3215">
        <v>6230</v>
      </c>
      <c r="E257" s="3215">
        <v>7740</v>
      </c>
      <c r="F257" s="3215">
        <v>1080</v>
      </c>
      <c r="G257" s="3215">
        <v>3830</v>
      </c>
    </row>
    <row r="258" spans="1:7" s="3204" customFormat="1" ht="14.25" customHeight="1">
      <c r="A258" s="3215" t="s">
        <v>305</v>
      </c>
      <c r="B258" s="3215" t="s">
        <v>2949</v>
      </c>
      <c r="C258" s="3215">
        <v>6190</v>
      </c>
      <c r="D258" s="3215">
        <v>6160</v>
      </c>
      <c r="E258" s="3215">
        <v>7680</v>
      </c>
      <c r="F258" s="3215">
        <v>1170</v>
      </c>
      <c r="G258" s="3215">
        <v>3780</v>
      </c>
    </row>
    <row r="259" spans="1:7" s="3204" customFormat="1" ht="14.25" customHeight="1">
      <c r="A259" s="3215" t="s">
        <v>305</v>
      </c>
      <c r="B259" s="3215" t="s">
        <v>3125</v>
      </c>
      <c r="C259" s="3215">
        <v>7610</v>
      </c>
      <c r="D259" s="3215">
        <v>7570</v>
      </c>
      <c r="E259" s="3215">
        <v>9350</v>
      </c>
      <c r="F259" s="3215">
        <v>1350</v>
      </c>
      <c r="G259" s="3215">
        <v>4650</v>
      </c>
    </row>
    <row r="260" spans="1:7" s="3204" customFormat="1" ht="14.25" customHeight="1">
      <c r="A260" s="3215" t="s">
        <v>305</v>
      </c>
      <c r="B260" s="3215" t="s">
        <v>3126</v>
      </c>
      <c r="C260" s="3215">
        <v>6920</v>
      </c>
      <c r="D260" s="3215">
        <v>6880</v>
      </c>
      <c r="E260" s="3215">
        <v>8380</v>
      </c>
      <c r="F260" s="3215">
        <v>1160</v>
      </c>
      <c r="G260" s="3215">
        <v>4220</v>
      </c>
    </row>
    <row r="261" spans="1:7" s="3204" customFormat="1" ht="14.25" customHeight="1">
      <c r="A261" s="3215" t="s">
        <v>305</v>
      </c>
      <c r="B261" s="3215" t="s">
        <v>3127</v>
      </c>
      <c r="C261" s="3215">
        <v>6850</v>
      </c>
      <c r="D261" s="3215">
        <v>6810</v>
      </c>
      <c r="E261" s="3215">
        <v>8290</v>
      </c>
      <c r="F261" s="3215">
        <v>1130</v>
      </c>
      <c r="G261" s="3215">
        <v>4180</v>
      </c>
    </row>
    <row r="262" spans="1:7" s="3204" customFormat="1" ht="14.25" customHeight="1">
      <c r="A262" s="3215" t="s">
        <v>305</v>
      </c>
      <c r="B262" s="3215" t="s">
        <v>3128</v>
      </c>
      <c r="C262" s="3215">
        <v>5860</v>
      </c>
      <c r="D262" s="3215">
        <v>5820</v>
      </c>
      <c r="E262" s="3215">
        <v>7640</v>
      </c>
      <c r="F262" s="3215">
        <v>1070</v>
      </c>
      <c r="G262" s="3215">
        <v>3570</v>
      </c>
    </row>
    <row r="263" spans="1:7" s="3204" customFormat="1" ht="14.25" customHeight="1">
      <c r="A263" s="3215" t="s">
        <v>305</v>
      </c>
      <c r="B263" s="3215" t="s">
        <v>3129</v>
      </c>
      <c r="C263" s="3215">
        <v>5870</v>
      </c>
      <c r="D263" s="3215">
        <v>5840</v>
      </c>
      <c r="E263" s="3215">
        <v>7270</v>
      </c>
      <c r="F263" s="3215">
        <v>1190</v>
      </c>
      <c r="G263" s="3215">
        <v>3580</v>
      </c>
    </row>
    <row r="264" spans="1:7" s="3204" customFormat="1" ht="14.25" customHeight="1">
      <c r="A264" s="3215" t="s">
        <v>305</v>
      </c>
      <c r="B264" s="3215" t="s">
        <v>299</v>
      </c>
      <c r="C264" s="3215">
        <v>6190</v>
      </c>
      <c r="D264" s="3215">
        <v>6150</v>
      </c>
      <c r="E264" s="3215">
        <v>7660</v>
      </c>
      <c r="F264" s="3215">
        <v>1160</v>
      </c>
      <c r="G264" s="3215">
        <v>3770</v>
      </c>
    </row>
    <row r="265" spans="1:7" s="3204" customFormat="1" ht="14.25" customHeight="1">
      <c r="A265" s="3215" t="s">
        <v>305</v>
      </c>
      <c r="B265" s="3215" t="s">
        <v>3130</v>
      </c>
      <c r="C265" s="3215"/>
      <c r="D265" s="3215"/>
      <c r="E265" s="3215"/>
      <c r="F265" s="3215">
        <v>1500</v>
      </c>
      <c r="G265" s="3215"/>
    </row>
    <row r="266" spans="1:7" s="3204" customFormat="1" ht="14.25" customHeight="1">
      <c r="A266" s="3215" t="s">
        <v>305</v>
      </c>
      <c r="B266" s="3215" t="s">
        <v>3131</v>
      </c>
      <c r="C266" s="3215"/>
      <c r="D266" s="3215"/>
      <c r="E266" s="3215"/>
      <c r="F266" s="3215">
        <v>1500</v>
      </c>
      <c r="G266" s="3215"/>
    </row>
    <row r="267" spans="1:7" s="3204" customFormat="1" ht="14.25" customHeight="1">
      <c r="A267" s="3215" t="s">
        <v>305</v>
      </c>
      <c r="B267" s="3215" t="s">
        <v>3132</v>
      </c>
      <c r="C267" s="3215"/>
      <c r="D267" s="3215"/>
      <c r="E267" s="3215"/>
      <c r="F267" s="3215">
        <v>1500</v>
      </c>
      <c r="G267" s="3215"/>
    </row>
    <row r="268" spans="1:7" s="3204" customFormat="1" ht="14.25" customHeight="1">
      <c r="A268" s="3215" t="s">
        <v>305</v>
      </c>
      <c r="B268" s="3215" t="s">
        <v>3133</v>
      </c>
      <c r="C268" s="3215"/>
      <c r="D268" s="3215"/>
      <c r="E268" s="3215"/>
      <c r="F268" s="3215">
        <v>1290</v>
      </c>
      <c r="G268" s="3215"/>
    </row>
    <row r="269" spans="1:7" s="3204" customFormat="1" ht="14.25" customHeight="1">
      <c r="A269" s="3215" t="s">
        <v>305</v>
      </c>
      <c r="B269" s="3215" t="s">
        <v>3134</v>
      </c>
      <c r="C269" s="3215"/>
      <c r="D269" s="3215"/>
      <c r="E269" s="3215"/>
      <c r="F269" s="3215">
        <v>1150</v>
      </c>
      <c r="G269" s="3215"/>
    </row>
    <row r="270" spans="1:7" s="3204" customFormat="1" ht="14.25" customHeight="1">
      <c r="A270" s="3215" t="s">
        <v>305</v>
      </c>
      <c r="B270" s="3215" t="s">
        <v>3135</v>
      </c>
      <c r="C270" s="3215"/>
      <c r="D270" s="3215"/>
      <c r="E270" s="3215"/>
      <c r="F270" s="3215">
        <v>1380</v>
      </c>
      <c r="G270" s="3215"/>
    </row>
    <row r="271" spans="1:7" s="3204" customFormat="1" ht="14.25" customHeight="1">
      <c r="A271" s="3215" t="s">
        <v>305</v>
      </c>
      <c r="B271" s="3215" t="s">
        <v>3136</v>
      </c>
      <c r="C271" s="3215"/>
      <c r="D271" s="3215"/>
      <c r="E271" s="3215"/>
      <c r="F271" s="3215">
        <v>1460</v>
      </c>
      <c r="G271" s="3215"/>
    </row>
    <row r="272" spans="1:7" s="3204" customFormat="1" ht="14.25" customHeight="1">
      <c r="A272" s="3215" t="s">
        <v>305</v>
      </c>
      <c r="B272" s="3215" t="s">
        <v>3137</v>
      </c>
      <c r="C272" s="3215"/>
      <c r="D272" s="3215"/>
      <c r="E272" s="3215"/>
      <c r="F272" s="3215">
        <v>1460</v>
      </c>
      <c r="G272" s="3215"/>
    </row>
    <row r="273" spans="1:7" s="3204" customFormat="1" ht="14.25" customHeight="1">
      <c r="A273" s="3215" t="s">
        <v>305</v>
      </c>
      <c r="B273" s="3215" t="s">
        <v>3030</v>
      </c>
      <c r="C273" s="3215"/>
      <c r="D273" s="3215"/>
      <c r="E273" s="3215"/>
      <c r="F273" s="3215">
        <v>1490</v>
      </c>
      <c r="G273" s="3215"/>
    </row>
    <row r="274" spans="1:7" s="3204" customFormat="1" ht="14.25" customHeight="1">
      <c r="A274" s="3215" t="s">
        <v>305</v>
      </c>
      <c r="B274" s="3215" t="s">
        <v>3138</v>
      </c>
      <c r="C274" s="3215"/>
      <c r="D274" s="3215"/>
      <c r="E274" s="3215"/>
      <c r="F274" s="3215">
        <v>1490</v>
      </c>
      <c r="G274" s="3215"/>
    </row>
    <row r="275" spans="1:7" s="3204" customFormat="1" ht="14.25" customHeight="1">
      <c r="A275" s="3215" t="s">
        <v>305</v>
      </c>
      <c r="B275" s="3215" t="s">
        <v>3139</v>
      </c>
      <c r="C275" s="3215"/>
      <c r="D275" s="3215"/>
      <c r="E275" s="3215"/>
      <c r="F275" s="3215">
        <v>1220</v>
      </c>
      <c r="G275" s="3215"/>
    </row>
    <row r="276" spans="1:7" s="3204" customFormat="1" ht="14.25" customHeight="1" thickBot="1">
      <c r="A276" s="3223" t="s">
        <v>305</v>
      </c>
      <c r="B276" s="3225" t="s">
        <v>3140</v>
      </c>
      <c r="C276" s="3226"/>
      <c r="D276" s="3226"/>
      <c r="E276" s="3226"/>
      <c r="F276" s="3226">
        <v>1380</v>
      </c>
      <c r="G276" s="3226"/>
    </row>
    <row r="277" spans="1:7" s="3204" customFormat="1" ht="14.25" customHeight="1">
      <c r="A277" s="3220" t="s">
        <v>306</v>
      </c>
      <c r="B277" s="3211" t="s">
        <v>3141</v>
      </c>
      <c r="C277" s="3211">
        <v>5790</v>
      </c>
      <c r="D277" s="3211">
        <v>5740</v>
      </c>
      <c r="E277" s="3211">
        <v>6730</v>
      </c>
      <c r="F277" s="3211">
        <v>1110</v>
      </c>
      <c r="G277" s="3227">
        <v>3460</v>
      </c>
    </row>
    <row r="278" spans="1:7" s="3204" customFormat="1" ht="14.25" customHeight="1">
      <c r="A278" s="3215" t="s">
        <v>306</v>
      </c>
      <c r="B278" s="3215" t="s">
        <v>135</v>
      </c>
      <c r="C278" s="3215">
        <v>5740</v>
      </c>
      <c r="D278" s="3215">
        <v>5670</v>
      </c>
      <c r="E278" s="3215">
        <v>6680</v>
      </c>
      <c r="F278" s="3215">
        <v>1070</v>
      </c>
      <c r="G278" s="3228">
        <v>3420</v>
      </c>
    </row>
    <row r="279" spans="1:7" s="3204" customFormat="1" ht="14.25" customHeight="1">
      <c r="A279" s="3215" t="s">
        <v>306</v>
      </c>
      <c r="B279" s="3215" t="s">
        <v>3142</v>
      </c>
      <c r="C279" s="3215">
        <v>4760</v>
      </c>
      <c r="D279" s="3215">
        <v>4720</v>
      </c>
      <c r="E279" s="3215">
        <v>5540</v>
      </c>
      <c r="F279" s="3215">
        <v>810</v>
      </c>
      <c r="G279" s="3228">
        <v>2850</v>
      </c>
    </row>
    <row r="280" spans="1:7" s="3204" customFormat="1" ht="14.25" customHeight="1">
      <c r="A280" s="3215" t="s">
        <v>306</v>
      </c>
      <c r="B280" s="3215" t="s">
        <v>3143</v>
      </c>
      <c r="C280" s="3215">
        <v>4010</v>
      </c>
      <c r="D280" s="3215">
        <v>3950</v>
      </c>
      <c r="E280" s="3215">
        <v>4710</v>
      </c>
      <c r="F280" s="3215">
        <v>800</v>
      </c>
      <c r="G280" s="3228">
        <v>2390</v>
      </c>
    </row>
    <row r="281" spans="1:7" s="3204" customFormat="1" ht="14.25" customHeight="1">
      <c r="A281" s="3215" t="s">
        <v>306</v>
      </c>
      <c r="B281" s="3215" t="s">
        <v>3144</v>
      </c>
      <c r="C281" s="3215">
        <v>4480</v>
      </c>
      <c r="D281" s="3215">
        <v>4420</v>
      </c>
      <c r="E281" s="3215">
        <v>5230</v>
      </c>
      <c r="F281" s="3215">
        <v>870</v>
      </c>
      <c r="G281" s="3228">
        <v>2660</v>
      </c>
    </row>
    <row r="282" spans="1:7" s="3204" customFormat="1" ht="14.25" customHeight="1">
      <c r="A282" s="3215" t="s">
        <v>306</v>
      </c>
      <c r="B282" s="3215" t="s">
        <v>3145</v>
      </c>
      <c r="C282" s="3215">
        <v>5360</v>
      </c>
      <c r="D282" s="3215">
        <v>5300</v>
      </c>
      <c r="E282" s="3215">
        <v>6190</v>
      </c>
      <c r="F282" s="3215">
        <v>950</v>
      </c>
      <c r="G282" s="3228">
        <v>3190</v>
      </c>
    </row>
    <row r="283" spans="1:7" s="3204" customFormat="1" ht="14.25" customHeight="1">
      <c r="A283" s="3215" t="s">
        <v>306</v>
      </c>
      <c r="B283" s="3215" t="s">
        <v>174</v>
      </c>
      <c r="C283" s="3215">
        <v>4950</v>
      </c>
      <c r="D283" s="3215">
        <v>4900</v>
      </c>
      <c r="E283" s="3215">
        <v>5720</v>
      </c>
      <c r="F283" s="3215">
        <v>920</v>
      </c>
      <c r="G283" s="3228">
        <v>2950</v>
      </c>
    </row>
    <row r="284" spans="1:7" s="3204" customFormat="1" ht="14.25" customHeight="1">
      <c r="A284" s="3215" t="s">
        <v>306</v>
      </c>
      <c r="B284" s="3215" t="s">
        <v>182</v>
      </c>
      <c r="C284" s="3215">
        <v>5610</v>
      </c>
      <c r="D284" s="3215">
        <v>5560</v>
      </c>
      <c r="E284" s="3215">
        <v>6520</v>
      </c>
      <c r="F284" s="3215">
        <v>1030</v>
      </c>
      <c r="G284" s="3228">
        <v>3360</v>
      </c>
    </row>
    <row r="285" spans="1:7" s="3204" customFormat="1" ht="14.25" customHeight="1">
      <c r="A285" s="3215" t="s">
        <v>306</v>
      </c>
      <c r="B285" s="3215" t="s">
        <v>192</v>
      </c>
      <c r="C285" s="3215">
        <v>5340</v>
      </c>
      <c r="D285" s="3215">
        <v>5290</v>
      </c>
      <c r="E285" s="3215">
        <v>6170</v>
      </c>
      <c r="F285" s="3215">
        <v>1080</v>
      </c>
      <c r="G285" s="3228">
        <v>3180</v>
      </c>
    </row>
    <row r="286" spans="1:7" s="3204" customFormat="1" ht="14.25" customHeight="1">
      <c r="A286" s="3215" t="s">
        <v>306</v>
      </c>
      <c r="B286" s="3215" t="s">
        <v>199</v>
      </c>
      <c r="C286" s="3215">
        <v>4890</v>
      </c>
      <c r="D286" s="3215">
        <v>4840</v>
      </c>
      <c r="E286" s="3215">
        <v>5640</v>
      </c>
      <c r="F286" s="3215">
        <v>960</v>
      </c>
      <c r="G286" s="3228">
        <v>2910</v>
      </c>
    </row>
    <row r="287" spans="1:7" s="3204" customFormat="1" ht="14.25" customHeight="1">
      <c r="A287" s="3215" t="s">
        <v>306</v>
      </c>
      <c r="B287" s="3215" t="s">
        <v>3146</v>
      </c>
      <c r="C287" s="3215">
        <v>4960</v>
      </c>
      <c r="D287" s="3215">
        <v>4920</v>
      </c>
      <c r="E287" s="3215">
        <v>5730</v>
      </c>
      <c r="F287" s="3215">
        <v>930</v>
      </c>
      <c r="G287" s="3228">
        <v>2960</v>
      </c>
    </row>
    <row r="288" spans="1:7" s="3204" customFormat="1" ht="14.25" customHeight="1">
      <c r="A288" s="3215" t="s">
        <v>306</v>
      </c>
      <c r="B288" s="3215" t="s">
        <v>219</v>
      </c>
      <c r="C288" s="3215">
        <v>4350</v>
      </c>
      <c r="D288" s="3215">
        <v>4300</v>
      </c>
      <c r="E288" s="3215">
        <v>4900</v>
      </c>
      <c r="F288" s="3215">
        <v>820</v>
      </c>
      <c r="G288" s="3228">
        <v>2590</v>
      </c>
    </row>
    <row r="289" spans="1:7" s="3204" customFormat="1" ht="14.25" customHeight="1">
      <c r="A289" s="3215" t="s">
        <v>306</v>
      </c>
      <c r="B289" s="3215" t="s">
        <v>3147</v>
      </c>
      <c r="C289" s="3215">
        <v>5230</v>
      </c>
      <c r="D289" s="3215">
        <v>5170</v>
      </c>
      <c r="E289" s="3215">
        <v>6060</v>
      </c>
      <c r="F289" s="3215">
        <v>900</v>
      </c>
      <c r="G289" s="3228">
        <v>3120</v>
      </c>
    </row>
    <row r="290" spans="1:7" s="3204" customFormat="1" ht="14.25" customHeight="1">
      <c r="A290" s="3215" t="s">
        <v>306</v>
      </c>
      <c r="B290" s="3215" t="s">
        <v>242</v>
      </c>
      <c r="C290" s="3215">
        <v>5550</v>
      </c>
      <c r="D290" s="3215">
        <v>5500</v>
      </c>
      <c r="E290" s="3215">
        <v>6440</v>
      </c>
      <c r="F290" s="3215">
        <v>960</v>
      </c>
      <c r="G290" s="3228">
        <v>3320</v>
      </c>
    </row>
    <row r="291" spans="1:7" s="3204" customFormat="1" ht="14.25" customHeight="1">
      <c r="A291" s="3215" t="s">
        <v>306</v>
      </c>
      <c r="B291" s="3215" t="s">
        <v>250</v>
      </c>
      <c r="C291" s="3215">
        <v>5440</v>
      </c>
      <c r="D291" s="3215">
        <v>5400</v>
      </c>
      <c r="E291" s="3215">
        <v>6320</v>
      </c>
      <c r="F291" s="3215">
        <v>930</v>
      </c>
      <c r="G291" s="3228">
        <v>3250</v>
      </c>
    </row>
    <row r="292" spans="1:7" s="3204" customFormat="1" ht="14.25" customHeight="1">
      <c r="A292" s="3215" t="s">
        <v>306</v>
      </c>
      <c r="B292" s="3215" t="s">
        <v>256</v>
      </c>
      <c r="C292" s="3215">
        <v>5400</v>
      </c>
      <c r="D292" s="3215">
        <v>5360</v>
      </c>
      <c r="E292" s="3215">
        <v>6270</v>
      </c>
      <c r="F292" s="3215">
        <v>1040</v>
      </c>
      <c r="G292" s="3228">
        <v>3230</v>
      </c>
    </row>
    <row r="293" spans="1:7" s="3204" customFormat="1" ht="14.25" customHeight="1">
      <c r="A293" s="3215" t="s">
        <v>306</v>
      </c>
      <c r="B293" s="3215" t="s">
        <v>2922</v>
      </c>
      <c r="C293" s="3215">
        <v>5320</v>
      </c>
      <c r="D293" s="3215">
        <v>5270</v>
      </c>
      <c r="E293" s="3215">
        <v>6160</v>
      </c>
      <c r="F293" s="3215">
        <v>990</v>
      </c>
      <c r="G293" s="3228">
        <v>3170</v>
      </c>
    </row>
    <row r="294" spans="1:7" s="3204" customFormat="1" ht="14.25" customHeight="1">
      <c r="A294" s="3215" t="s">
        <v>306</v>
      </c>
      <c r="B294" s="3215" t="s">
        <v>3148</v>
      </c>
      <c r="C294" s="3215">
        <v>5260</v>
      </c>
      <c r="D294" s="3215">
        <v>5210</v>
      </c>
      <c r="E294" s="3215">
        <v>6100</v>
      </c>
      <c r="F294" s="3215">
        <v>950</v>
      </c>
      <c r="G294" s="3228">
        <v>3150</v>
      </c>
    </row>
    <row r="295" spans="1:7" s="3204" customFormat="1" ht="14.25" customHeight="1">
      <c r="A295" s="3215" t="s">
        <v>306</v>
      </c>
      <c r="B295" s="3215" t="s">
        <v>290</v>
      </c>
      <c r="C295" s="3215">
        <v>5610</v>
      </c>
      <c r="D295" s="3215">
        <v>5570</v>
      </c>
      <c r="E295" s="3215">
        <v>6530</v>
      </c>
      <c r="F295" s="3215">
        <v>960</v>
      </c>
      <c r="G295" s="3228">
        <v>3360</v>
      </c>
    </row>
    <row r="296" spans="1:7" s="3204" customFormat="1" ht="14.25" customHeight="1">
      <c r="A296" s="3215" t="s">
        <v>306</v>
      </c>
      <c r="B296" s="3215" t="s">
        <v>293</v>
      </c>
      <c r="C296" s="3215">
        <v>5540</v>
      </c>
      <c r="D296" s="3215">
        <v>5490</v>
      </c>
      <c r="E296" s="3215">
        <v>6430</v>
      </c>
      <c r="F296" s="3215">
        <v>980</v>
      </c>
      <c r="G296" s="3228">
        <v>3310</v>
      </c>
    </row>
    <row r="297" spans="1:7" s="3204" customFormat="1" ht="14.25" customHeight="1">
      <c r="A297" s="3215" t="s">
        <v>306</v>
      </c>
      <c r="B297" s="3215" t="s">
        <v>295</v>
      </c>
      <c r="C297" s="3215">
        <v>5480</v>
      </c>
      <c r="D297" s="3215">
        <v>5420</v>
      </c>
      <c r="E297" s="3215">
        <v>6370</v>
      </c>
      <c r="F297" s="3215">
        <v>990</v>
      </c>
      <c r="G297" s="3228">
        <v>3270</v>
      </c>
    </row>
    <row r="298" spans="1:7" s="3204" customFormat="1" ht="14.25" customHeight="1">
      <c r="A298" s="3215" t="s">
        <v>306</v>
      </c>
      <c r="B298" s="3215" t="s">
        <v>298</v>
      </c>
      <c r="C298" s="3215">
        <v>5090</v>
      </c>
      <c r="D298" s="3215">
        <v>5050</v>
      </c>
      <c r="E298" s="3215">
        <v>5910</v>
      </c>
      <c r="F298" s="3215">
        <v>900</v>
      </c>
      <c r="G298" s="3228">
        <v>3040</v>
      </c>
    </row>
    <row r="299" spans="1:7" s="3204" customFormat="1" ht="14.25" customHeight="1">
      <c r="A299" s="3215" t="s">
        <v>306</v>
      </c>
      <c r="B299" s="3224" t="s">
        <v>2941</v>
      </c>
      <c r="C299" s="3215">
        <v>5430</v>
      </c>
      <c r="D299" s="3215">
        <v>5380</v>
      </c>
      <c r="E299" s="3215">
        <v>6280</v>
      </c>
      <c r="F299" s="3215">
        <v>1000</v>
      </c>
      <c r="G299" s="3228">
        <v>3240</v>
      </c>
    </row>
    <row r="300" spans="1:7" s="3204" customFormat="1" ht="14.25" customHeight="1">
      <c r="A300" s="3215" t="s">
        <v>306</v>
      </c>
      <c r="B300" s="3224" t="s">
        <v>271</v>
      </c>
      <c r="C300" s="3215">
        <v>4740</v>
      </c>
      <c r="D300" s="3215">
        <v>4680</v>
      </c>
      <c r="E300" s="3215">
        <v>5450</v>
      </c>
      <c r="F300" s="3215">
        <v>900</v>
      </c>
      <c r="G300" s="3228">
        <v>2830</v>
      </c>
    </row>
    <row r="301" spans="1:7" s="3204" customFormat="1" ht="14.25" customHeight="1">
      <c r="A301" s="3215" t="s">
        <v>306</v>
      </c>
      <c r="B301" s="3224" t="s">
        <v>276</v>
      </c>
      <c r="C301" s="3215">
        <v>4870</v>
      </c>
      <c r="D301" s="3215">
        <v>4810</v>
      </c>
      <c r="E301" s="3215">
        <v>5560</v>
      </c>
      <c r="F301" s="3215">
        <v>990</v>
      </c>
      <c r="G301" s="3228">
        <v>2910</v>
      </c>
    </row>
    <row r="302" spans="1:7" s="3204" customFormat="1" ht="14.25" customHeight="1">
      <c r="A302" s="3215" t="s">
        <v>306</v>
      </c>
      <c r="B302" s="3215" t="s">
        <v>3149</v>
      </c>
      <c r="C302" s="3215">
        <v>5520</v>
      </c>
      <c r="D302" s="3215">
        <v>5470</v>
      </c>
      <c r="E302" s="3215">
        <v>6410</v>
      </c>
      <c r="F302" s="3215">
        <v>950</v>
      </c>
      <c r="G302" s="3228">
        <v>3300</v>
      </c>
    </row>
    <row r="303" spans="1:7" s="3204" customFormat="1" ht="14.25" customHeight="1">
      <c r="A303" s="3215" t="s">
        <v>306</v>
      </c>
      <c r="B303" s="3215" t="s">
        <v>2961</v>
      </c>
      <c r="C303" s="3215">
        <v>5630</v>
      </c>
      <c r="D303" s="3215">
        <v>5590</v>
      </c>
      <c r="E303" s="3215">
        <v>6550</v>
      </c>
      <c r="F303" s="3215">
        <v>1010</v>
      </c>
      <c r="G303" s="3228">
        <v>3370</v>
      </c>
    </row>
    <row r="304" spans="1:7" s="3204" customFormat="1" ht="14.25" customHeight="1">
      <c r="A304" s="3215" t="s">
        <v>306</v>
      </c>
      <c r="B304" s="3215" t="s">
        <v>2968</v>
      </c>
      <c r="C304" s="3215">
        <v>5680</v>
      </c>
      <c r="D304" s="3215">
        <v>5620</v>
      </c>
      <c r="E304" s="3215">
        <v>6620</v>
      </c>
      <c r="F304" s="3215">
        <v>1050</v>
      </c>
      <c r="G304" s="3228">
        <v>3390</v>
      </c>
    </row>
    <row r="305" spans="1:7" s="3204" customFormat="1" ht="14.25" customHeight="1">
      <c r="A305" s="3215" t="s">
        <v>306</v>
      </c>
      <c r="B305" s="3215" t="s">
        <v>2974</v>
      </c>
      <c r="C305" s="3215">
        <v>5590</v>
      </c>
      <c r="D305" s="3215">
        <v>5530</v>
      </c>
      <c r="E305" s="3215">
        <v>6460</v>
      </c>
      <c r="F305" s="3215">
        <v>900</v>
      </c>
      <c r="G305" s="3228">
        <v>3340</v>
      </c>
    </row>
    <row r="306" spans="1:7" s="3204" customFormat="1" ht="14.25" customHeight="1">
      <c r="A306" s="3215" t="s">
        <v>306</v>
      </c>
      <c r="B306" s="3215" t="s">
        <v>3150</v>
      </c>
      <c r="C306" s="3215">
        <v>5560</v>
      </c>
      <c r="D306" s="3215">
        <v>5510</v>
      </c>
      <c r="E306" s="3215">
        <v>6440</v>
      </c>
      <c r="F306" s="3215">
        <v>900</v>
      </c>
      <c r="G306" s="3228">
        <v>3320</v>
      </c>
    </row>
    <row r="307" spans="1:7" s="3204" customFormat="1" ht="14.25" customHeight="1">
      <c r="A307" s="3215" t="s">
        <v>306</v>
      </c>
      <c r="B307" s="3215" t="s">
        <v>2986</v>
      </c>
      <c r="C307" s="3215">
        <v>5650</v>
      </c>
      <c r="D307" s="3215">
        <v>5600</v>
      </c>
      <c r="E307" s="3215">
        <v>6590</v>
      </c>
      <c r="F307" s="3215">
        <v>930</v>
      </c>
      <c r="G307" s="3228">
        <v>3380</v>
      </c>
    </row>
    <row r="308" spans="1:7" s="3204" customFormat="1" ht="14.25" customHeight="1">
      <c r="A308" s="3215" t="s">
        <v>306</v>
      </c>
      <c r="B308" s="3215" t="s">
        <v>3151</v>
      </c>
      <c r="C308" s="3215">
        <v>5620</v>
      </c>
      <c r="D308" s="3215">
        <v>5580</v>
      </c>
      <c r="E308" s="3215">
        <v>6540</v>
      </c>
      <c r="F308" s="3215">
        <v>910</v>
      </c>
      <c r="G308" s="3228">
        <v>3370</v>
      </c>
    </row>
    <row r="309" spans="1:7" s="3204" customFormat="1" ht="14.25" customHeight="1">
      <c r="A309" s="3215" t="s">
        <v>306</v>
      </c>
      <c r="B309" s="3215" t="s">
        <v>3152</v>
      </c>
      <c r="C309" s="3215">
        <v>5060</v>
      </c>
      <c r="D309" s="3215">
        <v>5020</v>
      </c>
      <c r="E309" s="3215">
        <v>6370</v>
      </c>
      <c r="F309" s="3215">
        <v>800</v>
      </c>
      <c r="G309" s="3228">
        <v>3020</v>
      </c>
    </row>
    <row r="310" spans="1:7" s="3204" customFormat="1" ht="14.25" customHeight="1">
      <c r="A310" s="3215" t="s">
        <v>306</v>
      </c>
      <c r="B310" s="3215" t="s">
        <v>3001</v>
      </c>
      <c r="C310" s="3215">
        <v>5150</v>
      </c>
      <c r="D310" s="3215">
        <v>5110</v>
      </c>
      <c r="E310" s="3215">
        <v>6500</v>
      </c>
      <c r="F310" s="3215">
        <v>880</v>
      </c>
      <c r="G310" s="3228">
        <v>3080</v>
      </c>
    </row>
    <row r="311" spans="1:7" s="3204" customFormat="1" ht="14.25" customHeight="1">
      <c r="A311" s="3215" t="s">
        <v>306</v>
      </c>
      <c r="B311" s="3215" t="s">
        <v>3153</v>
      </c>
      <c r="C311" s="3215">
        <v>4750</v>
      </c>
      <c r="D311" s="3215">
        <v>4710</v>
      </c>
      <c r="E311" s="3215">
        <v>5510</v>
      </c>
      <c r="F311" s="3215">
        <v>880</v>
      </c>
      <c r="G311" s="3228">
        <v>2840</v>
      </c>
    </row>
    <row r="312" spans="1:7" s="3204" customFormat="1" ht="14.25" customHeight="1">
      <c r="A312" s="3215" t="s">
        <v>306</v>
      </c>
      <c r="B312" s="3215" t="s">
        <v>3011</v>
      </c>
      <c r="C312" s="3215">
        <v>4690</v>
      </c>
      <c r="D312" s="3215">
        <v>4640</v>
      </c>
      <c r="E312" s="3215">
        <v>5420</v>
      </c>
      <c r="F312" s="3215">
        <v>800</v>
      </c>
      <c r="G312" s="3228">
        <v>2800</v>
      </c>
    </row>
    <row r="313" spans="1:7" s="3204" customFormat="1" ht="14.25" customHeight="1">
      <c r="A313" s="3215" t="s">
        <v>306</v>
      </c>
      <c r="B313" s="3215" t="s">
        <v>3016</v>
      </c>
      <c r="C313" s="3215">
        <v>4810</v>
      </c>
      <c r="D313" s="3215">
        <v>4760</v>
      </c>
      <c r="E313" s="3215">
        <v>5550</v>
      </c>
      <c r="F313" s="3215">
        <v>920</v>
      </c>
      <c r="G313" s="3228">
        <v>2870</v>
      </c>
    </row>
    <row r="314" spans="1:7" s="3204" customFormat="1" ht="14.25" customHeight="1">
      <c r="A314" s="3215" t="s">
        <v>306</v>
      </c>
      <c r="B314" s="3215" t="s">
        <v>3154</v>
      </c>
      <c r="C314" s="3215"/>
      <c r="D314" s="3215"/>
      <c r="E314" s="3215"/>
      <c r="F314" s="3215">
        <v>1020</v>
      </c>
      <c r="G314" s="3228"/>
    </row>
    <row r="315" spans="1:7" s="3204" customFormat="1" ht="14.25" customHeight="1">
      <c r="A315" s="3215" t="s">
        <v>306</v>
      </c>
      <c r="B315" s="3215" t="s">
        <v>3155</v>
      </c>
      <c r="C315" s="3215"/>
      <c r="D315" s="3215"/>
      <c r="E315" s="3215"/>
      <c r="F315" s="3215">
        <v>1050</v>
      </c>
      <c r="G315" s="3228"/>
    </row>
    <row r="316" spans="1:7" s="3204" customFormat="1" ht="14.25" customHeight="1">
      <c r="A316" s="3215" t="s">
        <v>306</v>
      </c>
      <c r="B316" s="3215" t="s">
        <v>3031</v>
      </c>
      <c r="C316" s="3215"/>
      <c r="D316" s="3215"/>
      <c r="E316" s="3215"/>
      <c r="F316" s="3215">
        <v>900</v>
      </c>
      <c r="G316" s="3228"/>
    </row>
    <row r="317" spans="1:7" s="3204" customFormat="1" ht="14.25" customHeight="1">
      <c r="A317" s="3215" t="s">
        <v>306</v>
      </c>
      <c r="B317" s="3215" t="s">
        <v>3156</v>
      </c>
      <c r="C317" s="3215"/>
      <c r="D317" s="3215"/>
      <c r="E317" s="3215"/>
      <c r="F317" s="3215">
        <v>920</v>
      </c>
      <c r="G317" s="3228"/>
    </row>
    <row r="318" spans="1:7" s="3204" customFormat="1" ht="14.25" customHeight="1">
      <c r="A318" s="3215" t="s">
        <v>306</v>
      </c>
      <c r="B318" s="3215" t="s">
        <v>3157</v>
      </c>
      <c r="C318" s="3215"/>
      <c r="D318" s="3215"/>
      <c r="E318" s="3215"/>
      <c r="F318" s="3215">
        <v>1080</v>
      </c>
      <c r="G318" s="3228"/>
    </row>
    <row r="319" spans="1:7" s="3204" customFormat="1" ht="14.25" customHeight="1">
      <c r="A319" s="3215" t="s">
        <v>306</v>
      </c>
      <c r="B319" s="3215" t="s">
        <v>3044</v>
      </c>
      <c r="C319" s="3215"/>
      <c r="D319" s="3215"/>
      <c r="E319" s="3215"/>
      <c r="F319" s="3215">
        <v>1020</v>
      </c>
      <c r="G319" s="3228"/>
    </row>
    <row r="320" spans="1:7" s="3204" customFormat="1" ht="14.25" customHeight="1">
      <c r="A320" s="3215" t="s">
        <v>306</v>
      </c>
      <c r="B320" s="3215" t="s">
        <v>3047</v>
      </c>
      <c r="C320" s="3215"/>
      <c r="D320" s="3215"/>
      <c r="E320" s="3215"/>
      <c r="F320" s="3215">
        <v>1050</v>
      </c>
      <c r="G320" s="3228"/>
    </row>
    <row r="321" spans="1:7" s="3204" customFormat="1" ht="14.25" customHeight="1">
      <c r="A321" s="3215" t="s">
        <v>306</v>
      </c>
      <c r="B321" s="3215" t="s">
        <v>3049</v>
      </c>
      <c r="C321" s="3215"/>
      <c r="D321" s="3215"/>
      <c r="E321" s="3215"/>
      <c r="F321" s="3215">
        <v>960</v>
      </c>
      <c r="G321" s="3228"/>
    </row>
    <row r="322" spans="1:7" s="3204" customFormat="1" ht="14.25" customHeight="1">
      <c r="A322" s="3215" t="s">
        <v>306</v>
      </c>
      <c r="B322" s="3215" t="s">
        <v>3051</v>
      </c>
      <c r="C322" s="3215"/>
      <c r="D322" s="3215"/>
      <c r="E322" s="3215"/>
      <c r="F322" s="3215">
        <v>960</v>
      </c>
      <c r="G322" s="3228"/>
    </row>
    <row r="323" spans="1:7" s="3204" customFormat="1" ht="14.25" customHeight="1">
      <c r="A323" s="3215" t="s">
        <v>306</v>
      </c>
      <c r="B323" s="3215" t="s">
        <v>3053</v>
      </c>
      <c r="C323" s="3215"/>
      <c r="D323" s="3215"/>
      <c r="E323" s="3215"/>
      <c r="F323" s="3215">
        <v>880</v>
      </c>
      <c r="G323" s="3228"/>
    </row>
    <row r="324" spans="1:7" s="3204" customFormat="1" ht="14.25" customHeight="1">
      <c r="A324" s="3215" t="s">
        <v>306</v>
      </c>
      <c r="B324" s="3215" t="s">
        <v>3055</v>
      </c>
      <c r="C324" s="3215"/>
      <c r="D324" s="3215"/>
      <c r="E324" s="3215"/>
      <c r="F324" s="3215">
        <v>930</v>
      </c>
      <c r="G324" s="3228"/>
    </row>
    <row r="325" spans="1:7" s="3204" customFormat="1" ht="14.25" customHeight="1">
      <c r="A325" s="3215" t="s">
        <v>306</v>
      </c>
      <c r="B325" s="3216" t="s">
        <v>3057</v>
      </c>
      <c r="C325" s="3215"/>
      <c r="D325" s="3215"/>
      <c r="E325" s="3215"/>
      <c r="F325" s="3215">
        <v>900</v>
      </c>
      <c r="G325" s="3228"/>
    </row>
    <row r="326" spans="1:7" s="3204" customFormat="1" ht="14.25" customHeight="1" thickBot="1">
      <c r="A326" s="3229" t="s">
        <v>306</v>
      </c>
      <c r="B326" s="3222" t="s">
        <v>3059</v>
      </c>
      <c r="C326" s="3222"/>
      <c r="D326" s="3222"/>
      <c r="E326" s="3222"/>
      <c r="F326" s="3222">
        <v>790</v>
      </c>
      <c r="G326" s="3230"/>
    </row>
    <row r="327" spans="1:7" s="3204" customFormat="1" ht="14.25" customHeight="1">
      <c r="A327" s="3220" t="s">
        <v>307</v>
      </c>
      <c r="B327" s="3211" t="s">
        <v>3158</v>
      </c>
      <c r="C327" s="3215">
        <v>3750</v>
      </c>
      <c r="D327" s="3215">
        <v>3710</v>
      </c>
      <c r="E327" s="3215">
        <v>4080</v>
      </c>
      <c r="F327" s="3215">
        <v>860</v>
      </c>
      <c r="G327" s="3215">
        <v>2210</v>
      </c>
    </row>
    <row r="328" spans="1:7" s="3204" customFormat="1" ht="14.25" customHeight="1">
      <c r="A328" s="3215" t="s">
        <v>307</v>
      </c>
      <c r="B328" s="3215" t="s">
        <v>136</v>
      </c>
      <c r="C328" s="3215">
        <v>3330</v>
      </c>
      <c r="D328" s="3215">
        <v>3290</v>
      </c>
      <c r="E328" s="3215">
        <v>3610</v>
      </c>
      <c r="F328" s="3215">
        <v>850</v>
      </c>
      <c r="G328" s="3215">
        <v>1960</v>
      </c>
    </row>
    <row r="329" spans="1:7" s="3204" customFormat="1" ht="14.25" customHeight="1">
      <c r="A329" s="3215" t="s">
        <v>307</v>
      </c>
      <c r="B329" s="3215" t="s">
        <v>3159</v>
      </c>
      <c r="C329" s="3215">
        <v>2730</v>
      </c>
      <c r="D329" s="3215">
        <v>2690</v>
      </c>
      <c r="E329" s="3215">
        <v>3100</v>
      </c>
      <c r="F329" s="3215">
        <v>660</v>
      </c>
      <c r="G329" s="3215">
        <v>1610</v>
      </c>
    </row>
    <row r="330" spans="1:7" s="3204" customFormat="1" ht="14.25" customHeight="1">
      <c r="A330" s="3215" t="s">
        <v>307</v>
      </c>
      <c r="B330" s="3215" t="s">
        <v>3160</v>
      </c>
      <c r="C330" s="3215">
        <v>3270</v>
      </c>
      <c r="D330" s="3215">
        <v>3240</v>
      </c>
      <c r="E330" s="3215">
        <v>3560</v>
      </c>
      <c r="F330" s="3215">
        <v>680</v>
      </c>
      <c r="G330" s="3215">
        <v>1940</v>
      </c>
    </row>
    <row r="331" spans="1:7" s="3204" customFormat="1" ht="14.25" customHeight="1">
      <c r="A331" s="3215" t="s">
        <v>307</v>
      </c>
      <c r="B331" s="3215" t="s">
        <v>161</v>
      </c>
      <c r="C331" s="3215">
        <v>3770</v>
      </c>
      <c r="D331" s="3215">
        <v>3740</v>
      </c>
      <c r="E331" s="3215">
        <v>4110</v>
      </c>
      <c r="F331" s="3215">
        <v>730</v>
      </c>
      <c r="G331" s="3215">
        <v>2230</v>
      </c>
    </row>
    <row r="332" spans="1:7" s="3204" customFormat="1" ht="14.25" customHeight="1">
      <c r="A332" s="3215" t="s">
        <v>307</v>
      </c>
      <c r="B332" s="3215" t="s">
        <v>2893</v>
      </c>
      <c r="C332" s="3215">
        <v>3520</v>
      </c>
      <c r="D332" s="3215">
        <v>3480</v>
      </c>
      <c r="E332" s="3215">
        <v>3830</v>
      </c>
      <c r="F332" s="3215">
        <v>720</v>
      </c>
      <c r="G332" s="3215">
        <v>2090</v>
      </c>
    </row>
    <row r="333" spans="1:7" s="3204" customFormat="1" ht="14.25" customHeight="1">
      <c r="A333" s="3215" t="s">
        <v>307</v>
      </c>
      <c r="B333" s="3215" t="s">
        <v>3161</v>
      </c>
      <c r="C333" s="3215">
        <v>3840</v>
      </c>
      <c r="D333" s="3215">
        <v>3800</v>
      </c>
      <c r="E333" s="3215">
        <v>4200</v>
      </c>
      <c r="F333" s="3215">
        <v>760</v>
      </c>
      <c r="G333" s="3215">
        <v>2270</v>
      </c>
    </row>
    <row r="334" spans="1:7" s="3204" customFormat="1" ht="14.25" customHeight="1">
      <c r="A334" s="3215" t="s">
        <v>307</v>
      </c>
      <c r="B334" s="3215" t="s">
        <v>183</v>
      </c>
      <c r="C334" s="3215">
        <v>3960</v>
      </c>
      <c r="D334" s="3215">
        <v>3910</v>
      </c>
      <c r="E334" s="3215">
        <v>4340</v>
      </c>
      <c r="F334" s="3215">
        <v>780</v>
      </c>
      <c r="G334" s="3215">
        <v>2340</v>
      </c>
    </row>
    <row r="335" spans="1:7" s="3204" customFormat="1" ht="14.25" customHeight="1">
      <c r="A335" s="3215" t="s">
        <v>307</v>
      </c>
      <c r="B335" s="3215" t="s">
        <v>193</v>
      </c>
      <c r="C335" s="3215">
        <v>3710</v>
      </c>
      <c r="D335" s="3215">
        <v>3670</v>
      </c>
      <c r="E335" s="3215">
        <v>4030</v>
      </c>
      <c r="F335" s="3215">
        <v>750</v>
      </c>
      <c r="G335" s="3215">
        <v>2200</v>
      </c>
    </row>
    <row r="336" spans="1:7" s="3204" customFormat="1" ht="14.25" customHeight="1">
      <c r="A336" s="3215" t="s">
        <v>307</v>
      </c>
      <c r="B336" s="3215" t="s">
        <v>2903</v>
      </c>
      <c r="C336" s="3215">
        <v>3570</v>
      </c>
      <c r="D336" s="3215">
        <v>3530</v>
      </c>
      <c r="E336" s="3215">
        <v>3880</v>
      </c>
      <c r="F336" s="3215">
        <v>770</v>
      </c>
      <c r="G336" s="3215">
        <v>2110</v>
      </c>
    </row>
    <row r="337" spans="1:10" s="3204" customFormat="1" ht="14.25" customHeight="1">
      <c r="A337" s="3215" t="s">
        <v>307</v>
      </c>
      <c r="B337" s="3215" t="s">
        <v>3162</v>
      </c>
      <c r="C337" s="3215">
        <v>3780</v>
      </c>
      <c r="D337" s="3215">
        <v>3750</v>
      </c>
      <c r="E337" s="3215">
        <v>4130</v>
      </c>
      <c r="F337" s="3215">
        <v>750</v>
      </c>
      <c r="G337" s="3215">
        <v>2240</v>
      </c>
    </row>
    <row r="338" spans="1:10" s="3204" customFormat="1" ht="14.25" customHeight="1">
      <c r="A338" s="3215" t="s">
        <v>307</v>
      </c>
      <c r="B338" s="3215" t="s">
        <v>220</v>
      </c>
      <c r="C338" s="3215">
        <v>3600</v>
      </c>
      <c r="D338" s="3215">
        <v>3570</v>
      </c>
      <c r="E338" s="3215">
        <v>3920</v>
      </c>
      <c r="F338" s="3215">
        <v>790</v>
      </c>
      <c r="G338" s="3215">
        <v>2140</v>
      </c>
    </row>
    <row r="339" spans="1:10" s="3204" customFormat="1" ht="14.25" customHeight="1">
      <c r="A339" s="3215" t="s">
        <v>307</v>
      </c>
      <c r="B339" s="3215" t="s">
        <v>228</v>
      </c>
      <c r="C339" s="3215">
        <v>3540</v>
      </c>
      <c r="D339" s="3215">
        <v>3500</v>
      </c>
      <c r="E339" s="3215">
        <v>3850</v>
      </c>
      <c r="F339" s="3215">
        <v>780</v>
      </c>
      <c r="G339" s="3215">
        <v>2100</v>
      </c>
    </row>
    <row r="340" spans="1:10" s="3204" customFormat="1" ht="14.25" customHeight="1">
      <c r="A340" s="3215" t="s">
        <v>307</v>
      </c>
      <c r="B340" s="3215" t="s">
        <v>3163</v>
      </c>
      <c r="C340" s="3215">
        <v>3850</v>
      </c>
      <c r="D340" s="3215">
        <v>3810</v>
      </c>
      <c r="E340" s="3215">
        <v>4210</v>
      </c>
      <c r="F340" s="3215">
        <v>750</v>
      </c>
      <c r="G340" s="3215">
        <v>2280</v>
      </c>
    </row>
    <row r="341" spans="1:10" s="3204" customFormat="1" ht="14.25" customHeight="1">
      <c r="A341" s="3215" t="s">
        <v>307</v>
      </c>
      <c r="B341" s="3215" t="s">
        <v>207</v>
      </c>
      <c r="C341" s="3215">
        <v>3780</v>
      </c>
      <c r="D341" s="3215">
        <v>3750</v>
      </c>
      <c r="E341" s="3215">
        <v>4140</v>
      </c>
      <c r="F341" s="3215">
        <v>720</v>
      </c>
      <c r="G341" s="3215">
        <v>2240</v>
      </c>
    </row>
    <row r="342" spans="1:10" s="3204" customFormat="1" ht="14.25" customHeight="1">
      <c r="A342" s="3215" t="s">
        <v>307</v>
      </c>
      <c r="B342" s="3215" t="s">
        <v>3164</v>
      </c>
      <c r="C342" s="3215">
        <v>3670</v>
      </c>
      <c r="D342" s="3215">
        <v>3620</v>
      </c>
      <c r="E342" s="3215">
        <v>3990</v>
      </c>
      <c r="F342" s="3215">
        <v>760</v>
      </c>
      <c r="G342" s="3215">
        <v>2170</v>
      </c>
    </row>
    <row r="343" spans="1:10" s="3204" customFormat="1" ht="14.25" customHeight="1">
      <c r="A343" s="3215" t="s">
        <v>307</v>
      </c>
      <c r="B343" s="3215" t="s">
        <v>257</v>
      </c>
      <c r="C343" s="3215">
        <v>3760</v>
      </c>
      <c r="D343" s="3215">
        <v>3720</v>
      </c>
      <c r="E343" s="3215">
        <v>4090</v>
      </c>
      <c r="F343" s="3215">
        <v>780</v>
      </c>
      <c r="G343" s="3215">
        <v>2220</v>
      </c>
    </row>
    <row r="344" spans="1:10" s="3204" customFormat="1" ht="14.25" customHeight="1">
      <c r="A344" s="3215" t="s">
        <v>307</v>
      </c>
      <c r="B344" s="3215" t="s">
        <v>265</v>
      </c>
      <c r="C344" s="3215">
        <v>3680</v>
      </c>
      <c r="D344" s="3215">
        <v>3640</v>
      </c>
      <c r="E344" s="3215">
        <v>4010</v>
      </c>
      <c r="F344" s="3215">
        <v>750</v>
      </c>
      <c r="G344" s="3215">
        <v>2180</v>
      </c>
    </row>
    <row r="345" spans="1:10">
      <c r="A345" s="3215" t="s">
        <v>307</v>
      </c>
      <c r="B345" s="3215" t="s">
        <v>2928</v>
      </c>
      <c r="C345" s="3215">
        <v>3190</v>
      </c>
      <c r="D345" s="3215">
        <v>3140</v>
      </c>
      <c r="E345" s="3215">
        <v>3450</v>
      </c>
      <c r="F345" s="3215">
        <v>720</v>
      </c>
      <c r="G345" s="3215">
        <v>1880</v>
      </c>
      <c r="J345" s="3204"/>
    </row>
    <row r="346" spans="1:10">
      <c r="A346" s="3215" t="s">
        <v>307</v>
      </c>
      <c r="B346" s="3215" t="s">
        <v>3165</v>
      </c>
      <c r="C346" s="3215">
        <v>3630</v>
      </c>
      <c r="D346" s="3215">
        <v>3590</v>
      </c>
      <c r="E346" s="3215">
        <v>3940</v>
      </c>
      <c r="F346" s="3215">
        <v>730</v>
      </c>
      <c r="G346" s="3215">
        <v>2150</v>
      </c>
      <c r="J346" s="3204"/>
    </row>
    <row r="347" spans="1:10">
      <c r="A347" s="3215" t="s">
        <v>307</v>
      </c>
      <c r="B347" s="3215" t="s">
        <v>243</v>
      </c>
      <c r="C347" s="3215">
        <v>3860</v>
      </c>
      <c r="D347" s="3215">
        <v>3820</v>
      </c>
      <c r="E347" s="3215">
        <v>4220</v>
      </c>
      <c r="F347" s="3215">
        <v>750</v>
      </c>
      <c r="G347" s="3215">
        <v>2280</v>
      </c>
      <c r="J347" s="3204"/>
    </row>
    <row r="348" spans="1:10">
      <c r="A348" s="3215" t="s">
        <v>307</v>
      </c>
      <c r="B348" s="3215" t="s">
        <v>2937</v>
      </c>
      <c r="C348" s="3215">
        <v>4000</v>
      </c>
      <c r="D348" s="3215">
        <v>3950</v>
      </c>
      <c r="E348" s="3215">
        <v>4430</v>
      </c>
      <c r="F348" s="3215">
        <v>760</v>
      </c>
      <c r="G348" s="3215">
        <v>2360</v>
      </c>
      <c r="J348" s="3204"/>
    </row>
    <row r="349" spans="1:10">
      <c r="A349" s="3215" t="s">
        <v>307</v>
      </c>
      <c r="B349" s="3215" t="s">
        <v>2942</v>
      </c>
      <c r="C349" s="3215">
        <v>3820</v>
      </c>
      <c r="D349" s="3215">
        <v>3780</v>
      </c>
      <c r="E349" s="3215">
        <v>4170</v>
      </c>
      <c r="F349" s="3215">
        <v>710</v>
      </c>
      <c r="G349" s="3215">
        <v>2260</v>
      </c>
      <c r="J349" s="3204"/>
    </row>
    <row r="350" spans="1:10">
      <c r="A350" s="3215" t="s">
        <v>307</v>
      </c>
      <c r="B350" s="3215" t="s">
        <v>3166</v>
      </c>
      <c r="C350" s="3215">
        <v>3760</v>
      </c>
      <c r="D350" s="3215">
        <v>3730</v>
      </c>
      <c r="E350" s="3215">
        <v>4100</v>
      </c>
      <c r="F350" s="3215">
        <v>800</v>
      </c>
      <c r="G350" s="3215">
        <v>2230</v>
      </c>
      <c r="J350" s="3204"/>
    </row>
    <row r="351" spans="1:10">
      <c r="A351" s="3215" t="s">
        <v>307</v>
      </c>
      <c r="B351" s="3215" t="s">
        <v>2950</v>
      </c>
      <c r="C351" s="3215">
        <v>3610</v>
      </c>
      <c r="D351" s="3215">
        <v>3580</v>
      </c>
      <c r="E351" s="3215">
        <v>3930</v>
      </c>
      <c r="F351" s="3215">
        <v>700</v>
      </c>
      <c r="G351" s="3215">
        <v>2140</v>
      </c>
      <c r="J351" s="3204"/>
    </row>
    <row r="352" spans="1:10">
      <c r="A352" s="3215" t="s">
        <v>307</v>
      </c>
      <c r="B352" s="3215" t="s">
        <v>2955</v>
      </c>
      <c r="C352" s="3215">
        <v>3670</v>
      </c>
      <c r="D352" s="3215">
        <v>3630</v>
      </c>
      <c r="E352" s="3215">
        <v>4000</v>
      </c>
      <c r="F352" s="3215">
        <v>750</v>
      </c>
      <c r="G352" s="3215">
        <v>2180</v>
      </c>
    </row>
    <row r="353" spans="1:7" s="3208" customFormat="1">
      <c r="A353" s="3215" t="s">
        <v>307</v>
      </c>
      <c r="B353" s="3215" t="s">
        <v>3167</v>
      </c>
      <c r="C353" s="3215">
        <v>3190</v>
      </c>
      <c r="D353" s="3215">
        <v>3150</v>
      </c>
      <c r="E353" s="3215">
        <v>3640</v>
      </c>
      <c r="F353" s="3215">
        <v>630</v>
      </c>
      <c r="G353" s="3215">
        <v>1890</v>
      </c>
    </row>
    <row r="354" spans="1:7" s="3208" customFormat="1">
      <c r="A354" s="3215" t="s">
        <v>307</v>
      </c>
      <c r="B354" s="3215" t="s">
        <v>280</v>
      </c>
      <c r="C354" s="3215">
        <v>3450</v>
      </c>
      <c r="D354" s="3215">
        <v>3420</v>
      </c>
      <c r="E354" s="3215">
        <v>3960</v>
      </c>
      <c r="F354" s="3215">
        <v>660</v>
      </c>
      <c r="G354" s="3215">
        <v>2050</v>
      </c>
    </row>
    <row r="355" spans="1:7" s="3208" customFormat="1">
      <c r="A355" s="3215" t="s">
        <v>307</v>
      </c>
      <c r="B355" s="3215" t="s">
        <v>2975</v>
      </c>
      <c r="C355" s="3215">
        <v>3650</v>
      </c>
      <c r="D355" s="3215">
        <v>3610</v>
      </c>
      <c r="E355" s="3215">
        <v>4200</v>
      </c>
      <c r="F355" s="3215">
        <v>640</v>
      </c>
      <c r="G355" s="3215">
        <v>2160</v>
      </c>
    </row>
    <row r="356" spans="1:7" s="3208" customFormat="1">
      <c r="A356" s="3215" t="s">
        <v>307</v>
      </c>
      <c r="B356" s="3215" t="s">
        <v>2982</v>
      </c>
      <c r="C356" s="3215">
        <v>3260</v>
      </c>
      <c r="D356" s="3215">
        <v>3230</v>
      </c>
      <c r="E356" s="3215">
        <v>3740</v>
      </c>
      <c r="F356" s="3215">
        <v>600</v>
      </c>
      <c r="G356" s="3215">
        <v>1930</v>
      </c>
    </row>
    <row r="357" spans="1:7" s="3208" customFormat="1" ht="12" thickBot="1">
      <c r="A357" s="3223" t="s">
        <v>307</v>
      </c>
      <c r="B357" s="3226" t="s">
        <v>3168</v>
      </c>
      <c r="C357" s="3226">
        <v>3690</v>
      </c>
      <c r="D357" s="3226">
        <v>3650</v>
      </c>
      <c r="E357" s="3226">
        <v>4020</v>
      </c>
      <c r="F357" s="3226">
        <v>700</v>
      </c>
      <c r="G357" s="3226">
        <v>2190</v>
      </c>
    </row>
    <row r="358" spans="1:7" s="3208" customFormat="1">
      <c r="A358" s="3220" t="s">
        <v>3169</v>
      </c>
      <c r="B358" s="3211" t="s">
        <v>3170</v>
      </c>
      <c r="C358" s="3211">
        <v>2080</v>
      </c>
      <c r="D358" s="3211">
        <v>2040</v>
      </c>
      <c r="E358" s="3211">
        <v>2010</v>
      </c>
      <c r="F358" s="3211">
        <v>530</v>
      </c>
      <c r="G358" s="3227">
        <v>1230</v>
      </c>
    </row>
    <row r="359" spans="1:7" s="3208" customFormat="1">
      <c r="A359" s="3215" t="s">
        <v>3169</v>
      </c>
      <c r="B359" s="3215" t="s">
        <v>3171</v>
      </c>
      <c r="C359" s="3215">
        <v>1850</v>
      </c>
      <c r="D359" s="3215">
        <v>1820</v>
      </c>
      <c r="E359" s="3215">
        <v>1780</v>
      </c>
      <c r="F359" s="3215">
        <v>520</v>
      </c>
      <c r="G359" s="3228">
        <v>1100</v>
      </c>
    </row>
    <row r="360" spans="1:7" s="3208" customFormat="1">
      <c r="A360" s="3215" t="s">
        <v>3169</v>
      </c>
      <c r="B360" s="3215" t="s">
        <v>3172</v>
      </c>
      <c r="C360" s="3215">
        <v>2020</v>
      </c>
      <c r="D360" s="3215">
        <v>1990</v>
      </c>
      <c r="E360" s="3215">
        <v>1950</v>
      </c>
      <c r="F360" s="3215">
        <v>500</v>
      </c>
      <c r="G360" s="3228">
        <v>1200</v>
      </c>
    </row>
    <row r="361" spans="1:7" s="3208" customFormat="1">
      <c r="A361" s="3215" t="s">
        <v>3169</v>
      </c>
      <c r="B361" s="3215" t="s">
        <v>153</v>
      </c>
      <c r="C361" s="3215">
        <v>2260</v>
      </c>
      <c r="D361" s="3215">
        <v>2220</v>
      </c>
      <c r="E361" s="3215">
        <v>2180</v>
      </c>
      <c r="F361" s="3215">
        <v>580</v>
      </c>
      <c r="G361" s="3228">
        <v>1340</v>
      </c>
    </row>
    <row r="362" spans="1:7" s="3208" customFormat="1">
      <c r="A362" s="3215" t="s">
        <v>3169</v>
      </c>
      <c r="B362" s="3215" t="s">
        <v>3173</v>
      </c>
      <c r="C362" s="3215">
        <v>2650</v>
      </c>
      <c r="D362" s="3215">
        <v>2610</v>
      </c>
      <c r="E362" s="3215">
        <v>2570</v>
      </c>
      <c r="F362" s="3215">
        <v>630</v>
      </c>
      <c r="G362" s="3228">
        <v>1570</v>
      </c>
    </row>
    <row r="363" spans="1:7" s="3208" customFormat="1">
      <c r="A363" s="3215" t="s">
        <v>3169</v>
      </c>
      <c r="B363" s="3215" t="s">
        <v>2894</v>
      </c>
      <c r="C363" s="3215">
        <v>2390</v>
      </c>
      <c r="D363" s="3215">
        <v>2360</v>
      </c>
      <c r="E363" s="3215">
        <v>2320</v>
      </c>
      <c r="F363" s="3215">
        <v>600</v>
      </c>
      <c r="G363" s="3228">
        <v>1420</v>
      </c>
    </row>
    <row r="364" spans="1:7" s="3208" customFormat="1">
      <c r="A364" s="3215" t="s">
        <v>3169</v>
      </c>
      <c r="B364" s="3215" t="s">
        <v>3174</v>
      </c>
      <c r="C364" s="3215">
        <v>2050</v>
      </c>
      <c r="D364" s="3215">
        <v>2030</v>
      </c>
      <c r="E364" s="3215">
        <v>1990</v>
      </c>
      <c r="F364" s="3215">
        <v>550</v>
      </c>
      <c r="G364" s="3228">
        <v>1220</v>
      </c>
    </row>
    <row r="365" spans="1:7" s="3208" customFormat="1">
      <c r="A365" s="3215" t="s">
        <v>3169</v>
      </c>
      <c r="B365" s="3215" t="s">
        <v>200</v>
      </c>
      <c r="C365" s="3215">
        <v>2140</v>
      </c>
      <c r="D365" s="3215">
        <v>2100</v>
      </c>
      <c r="E365" s="3215">
        <v>2060</v>
      </c>
      <c r="F365" s="3215">
        <v>540</v>
      </c>
      <c r="G365" s="3228">
        <v>1270</v>
      </c>
    </row>
    <row r="366" spans="1:7" s="3208" customFormat="1">
      <c r="A366" s="3215" t="s">
        <v>3169</v>
      </c>
      <c r="B366" s="3215" t="s">
        <v>2901</v>
      </c>
      <c r="C366" s="3215">
        <v>2410</v>
      </c>
      <c r="D366" s="3215">
        <v>2370</v>
      </c>
      <c r="E366" s="3215">
        <v>2330</v>
      </c>
      <c r="F366" s="3215">
        <v>570</v>
      </c>
      <c r="G366" s="3228">
        <v>1440</v>
      </c>
    </row>
    <row r="367" spans="1:7" s="3208" customFormat="1">
      <c r="A367" s="3215" t="s">
        <v>3169</v>
      </c>
      <c r="B367" s="3215" t="s">
        <v>3175</v>
      </c>
      <c r="C367" s="3215">
        <v>2300</v>
      </c>
      <c r="D367" s="3215">
        <v>2260</v>
      </c>
      <c r="E367" s="3215">
        <v>2220</v>
      </c>
      <c r="F367" s="3215">
        <v>560</v>
      </c>
      <c r="G367" s="3228">
        <v>1370</v>
      </c>
    </row>
    <row r="368" spans="1:7" s="3208" customFormat="1">
      <c r="A368" s="3215" t="s">
        <v>3169</v>
      </c>
      <c r="B368" s="3215" t="s">
        <v>3176</v>
      </c>
      <c r="C368" s="3215">
        <v>2430</v>
      </c>
      <c r="D368" s="3215">
        <v>2390</v>
      </c>
      <c r="E368" s="3215">
        <v>2350</v>
      </c>
      <c r="F368" s="3215">
        <v>570</v>
      </c>
      <c r="G368" s="3228">
        <v>1450</v>
      </c>
    </row>
    <row r="369" spans="1:7" s="3208" customFormat="1">
      <c r="A369" s="3215" t="s">
        <v>3169</v>
      </c>
      <c r="B369" s="3215" t="s">
        <v>214</v>
      </c>
      <c r="C369" s="3215">
        <v>2320</v>
      </c>
      <c r="D369" s="3215">
        <v>2290</v>
      </c>
      <c r="E369" s="3215">
        <v>2250</v>
      </c>
      <c r="F369" s="3215">
        <v>550</v>
      </c>
      <c r="G369" s="3228">
        <v>1380</v>
      </c>
    </row>
    <row r="370" spans="1:7" s="3208" customFormat="1">
      <c r="A370" s="3215" t="s">
        <v>3169</v>
      </c>
      <c r="B370" s="3215" t="s">
        <v>221</v>
      </c>
      <c r="C370" s="3215">
        <v>2190</v>
      </c>
      <c r="D370" s="3215">
        <v>2170</v>
      </c>
      <c r="E370" s="3215">
        <v>2130</v>
      </c>
      <c r="F370" s="3215">
        <v>530</v>
      </c>
      <c r="G370" s="3228">
        <v>1310</v>
      </c>
    </row>
    <row r="371" spans="1:7" s="3208" customFormat="1">
      <c r="A371" s="3215" t="s">
        <v>3169</v>
      </c>
      <c r="B371" s="3215" t="s">
        <v>229</v>
      </c>
      <c r="C371" s="3215">
        <v>2460</v>
      </c>
      <c r="D371" s="3215">
        <v>2420</v>
      </c>
      <c r="E371" s="3215">
        <v>2370</v>
      </c>
      <c r="F371" s="3215">
        <v>560</v>
      </c>
      <c r="G371" s="3228">
        <v>1470</v>
      </c>
    </row>
    <row r="372" spans="1:7" s="3208" customFormat="1">
      <c r="A372" s="3215" t="s">
        <v>3169</v>
      </c>
      <c r="B372" s="3215" t="s">
        <v>3177</v>
      </c>
      <c r="C372" s="3215">
        <v>2250</v>
      </c>
      <c r="D372" s="3215">
        <v>2210</v>
      </c>
      <c r="E372" s="3215">
        <v>2180</v>
      </c>
      <c r="F372" s="3215">
        <v>550</v>
      </c>
      <c r="G372" s="3228">
        <v>1340</v>
      </c>
    </row>
    <row r="373" spans="1:7" s="3208" customFormat="1">
      <c r="A373" s="3215" t="s">
        <v>3169</v>
      </c>
      <c r="B373" s="3215" t="s">
        <v>258</v>
      </c>
      <c r="C373" s="3215">
        <v>2210</v>
      </c>
      <c r="D373" s="3215">
        <v>2190</v>
      </c>
      <c r="E373" s="3215">
        <v>2150</v>
      </c>
      <c r="F373" s="3215">
        <v>530</v>
      </c>
      <c r="G373" s="3228">
        <v>1320</v>
      </c>
    </row>
    <row r="374" spans="1:7" s="3208" customFormat="1">
      <c r="A374" s="3215" t="s">
        <v>3169</v>
      </c>
      <c r="B374" s="3215" t="s">
        <v>266</v>
      </c>
      <c r="C374" s="3215">
        <v>2320</v>
      </c>
      <c r="D374" s="3215">
        <v>2280</v>
      </c>
      <c r="E374" s="3215">
        <v>2230</v>
      </c>
      <c r="F374" s="3215">
        <v>580</v>
      </c>
      <c r="G374" s="3228">
        <v>1380</v>
      </c>
    </row>
    <row r="375" spans="1:7" s="3208" customFormat="1">
      <c r="A375" s="3215" t="s">
        <v>3169</v>
      </c>
      <c r="B375" s="3215" t="s">
        <v>3178</v>
      </c>
      <c r="C375" s="3215">
        <v>2090</v>
      </c>
      <c r="D375" s="3215">
        <v>2050</v>
      </c>
      <c r="E375" s="3215">
        <v>2020</v>
      </c>
      <c r="F375" s="3215">
        <v>520</v>
      </c>
      <c r="G375" s="3228">
        <v>1240</v>
      </c>
    </row>
    <row r="376" spans="1:7" s="3208" customFormat="1">
      <c r="A376" s="3215" t="s">
        <v>3169</v>
      </c>
      <c r="B376" s="3215" t="s">
        <v>277</v>
      </c>
      <c r="C376" s="3215">
        <v>2010</v>
      </c>
      <c r="D376" s="3215">
        <v>1980</v>
      </c>
      <c r="E376" s="3215">
        <v>1940</v>
      </c>
      <c r="F376" s="3215">
        <v>540</v>
      </c>
      <c r="G376" s="3228">
        <v>1190</v>
      </c>
    </row>
    <row r="377" spans="1:7" s="3208" customFormat="1" ht="12" thickBot="1">
      <c r="A377" s="3223" t="s">
        <v>3169</v>
      </c>
      <c r="B377" s="3226" t="s">
        <v>2931</v>
      </c>
      <c r="C377" s="3226">
        <v>1930</v>
      </c>
      <c r="D377" s="3226">
        <v>1890</v>
      </c>
      <c r="E377" s="3226">
        <v>1860</v>
      </c>
      <c r="F377" s="3226">
        <v>530</v>
      </c>
      <c r="G377" s="3231">
        <v>1150</v>
      </c>
    </row>
    <row r="378" spans="1:7" s="3208" customFormat="1">
      <c r="A378" s="3232" t="s">
        <v>3179</v>
      </c>
      <c r="B378" s="3211" t="s">
        <v>3180</v>
      </c>
      <c r="C378" s="3211">
        <v>1520</v>
      </c>
      <c r="D378" s="3211">
        <v>1490</v>
      </c>
      <c r="E378" s="3211">
        <v>1460</v>
      </c>
      <c r="F378" s="3211">
        <v>460</v>
      </c>
      <c r="G378" s="3227">
        <v>940</v>
      </c>
    </row>
    <row r="379" spans="1:7" s="3208" customFormat="1">
      <c r="A379" s="3233" t="s">
        <v>3179</v>
      </c>
      <c r="B379" s="3215" t="s">
        <v>3181</v>
      </c>
      <c r="C379" s="3215">
        <v>1500</v>
      </c>
      <c r="D379" s="3215">
        <v>1470</v>
      </c>
      <c r="E379" s="3215">
        <v>1430</v>
      </c>
      <c r="F379" s="3215">
        <v>460</v>
      </c>
      <c r="G379" s="3228">
        <v>920</v>
      </c>
    </row>
    <row r="380" spans="1:7" s="3208" customFormat="1">
      <c r="A380" s="3233" t="s">
        <v>3179</v>
      </c>
      <c r="B380" s="3215" t="s">
        <v>3182</v>
      </c>
      <c r="C380" s="3215">
        <v>1620</v>
      </c>
      <c r="D380" s="3215">
        <v>1590</v>
      </c>
      <c r="E380" s="3215">
        <v>1560</v>
      </c>
      <c r="F380" s="3215">
        <v>480</v>
      </c>
      <c r="G380" s="3228">
        <v>1000</v>
      </c>
    </row>
    <row r="381" spans="1:7" s="3208" customFormat="1">
      <c r="A381" s="3233" t="s">
        <v>3179</v>
      </c>
      <c r="B381" s="3215" t="s">
        <v>3183</v>
      </c>
      <c r="C381" s="3215">
        <v>1460</v>
      </c>
      <c r="D381" s="3215">
        <v>1430</v>
      </c>
      <c r="E381" s="3215">
        <v>1390</v>
      </c>
      <c r="F381" s="3215">
        <v>450</v>
      </c>
      <c r="G381" s="3228">
        <v>900</v>
      </c>
    </row>
    <row r="382" spans="1:7" s="3208" customFormat="1">
      <c r="A382" s="3233" t="s">
        <v>3179</v>
      </c>
      <c r="B382" s="3215" t="s">
        <v>3184</v>
      </c>
      <c r="C382" s="3215">
        <v>1310</v>
      </c>
      <c r="D382" s="3215">
        <v>1280</v>
      </c>
      <c r="E382" s="3215">
        <v>1250</v>
      </c>
      <c r="F382" s="3215">
        <v>440</v>
      </c>
      <c r="G382" s="3228">
        <v>800</v>
      </c>
    </row>
    <row r="383" spans="1:7" s="3208" customFormat="1">
      <c r="A383" s="3233" t="s">
        <v>3179</v>
      </c>
      <c r="B383" s="3215" t="s">
        <v>3185</v>
      </c>
      <c r="C383" s="3215">
        <v>1260</v>
      </c>
      <c r="D383" s="3215">
        <v>1230</v>
      </c>
      <c r="E383" s="3215">
        <v>1200</v>
      </c>
      <c r="F383" s="3215">
        <v>420</v>
      </c>
      <c r="G383" s="3228">
        <v>770</v>
      </c>
    </row>
    <row r="384" spans="1:7" s="3208" customFormat="1" ht="12" thickBot="1">
      <c r="A384" s="3234" t="s">
        <v>3179</v>
      </c>
      <c r="B384" s="3222" t="s">
        <v>3186</v>
      </c>
      <c r="C384" s="3222">
        <v>1170</v>
      </c>
      <c r="D384" s="3222">
        <v>1140</v>
      </c>
      <c r="E384" s="3222">
        <v>1120</v>
      </c>
      <c r="F384" s="3222">
        <v>400</v>
      </c>
      <c r="G384" s="323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1" customWidth="1"/>
    <col min="2" max="2" width="20" style="3271" customWidth="1"/>
    <col min="3" max="7" width="8.875" style="3235"/>
    <col min="8" max="16384" width="8.875" style="3236"/>
  </cols>
  <sheetData>
    <row r="1" spans="1:7">
      <c r="A1" s="3860" t="s">
        <v>3187</v>
      </c>
      <c r="B1" s="3860"/>
    </row>
    <row r="2" spans="1:7" ht="14.25" thickBot="1">
      <c r="A2" s="3237"/>
      <c r="B2" s="3237"/>
    </row>
    <row r="3" spans="1:7" ht="14.25" thickBot="1">
      <c r="A3" s="3237"/>
      <c r="B3" s="3237"/>
      <c r="C3" s="3238" t="s">
        <v>2813</v>
      </c>
      <c r="D3" s="3238" t="s">
        <v>2873</v>
      </c>
      <c r="E3" s="3238" t="s">
        <v>2815</v>
      </c>
      <c r="F3" s="3238" t="s">
        <v>2874</v>
      </c>
      <c r="G3" s="3238" t="s">
        <v>2633</v>
      </c>
    </row>
    <row r="4" spans="1:7" ht="14.25" thickBot="1">
      <c r="A4" s="3239" t="s">
        <v>2872</v>
      </c>
      <c r="B4" s="3240" t="s">
        <v>2878</v>
      </c>
      <c r="C4" s="3238"/>
      <c r="D4" s="3238"/>
      <c r="E4" s="3238"/>
      <c r="F4" s="3238"/>
      <c r="G4" s="3238"/>
    </row>
    <row r="5" spans="1:7">
      <c r="A5" s="3241" t="s">
        <v>2846</v>
      </c>
      <c r="B5" s="3242" t="s">
        <v>2860</v>
      </c>
      <c r="C5" s="3243">
        <v>9.8000000000000004E-2</v>
      </c>
      <c r="D5" s="3243">
        <v>8.6999999999999994E-2</v>
      </c>
      <c r="E5" s="3243">
        <v>8.6999999999999994E-2</v>
      </c>
      <c r="F5" s="3243">
        <v>9.8000000000000004E-2</v>
      </c>
      <c r="G5" s="3244">
        <v>9.5000000000000001E-2</v>
      </c>
    </row>
    <row r="6" spans="1:7">
      <c r="A6" s="3245" t="s">
        <v>144</v>
      </c>
      <c r="B6" s="3246" t="s">
        <v>2875</v>
      </c>
      <c r="C6" s="3247">
        <v>9.8000000000000004E-2</v>
      </c>
      <c r="D6" s="3247">
        <v>9.8000000000000004E-2</v>
      </c>
      <c r="E6" s="3247">
        <v>9.8000000000000004E-2</v>
      </c>
      <c r="F6" s="3247">
        <v>0.1</v>
      </c>
      <c r="G6" s="3248">
        <v>9.9000000000000005E-2</v>
      </c>
    </row>
    <row r="7" spans="1:7">
      <c r="A7" s="3245" t="s">
        <v>144</v>
      </c>
      <c r="B7" s="3246" t="s">
        <v>137</v>
      </c>
      <c r="C7" s="3247">
        <v>9.7000000000000003E-2</v>
      </c>
      <c r="D7" s="3247">
        <v>9.7000000000000003E-2</v>
      </c>
      <c r="E7" s="3247">
        <v>9.6000000000000002E-2</v>
      </c>
      <c r="F7" s="3247">
        <v>0.1</v>
      </c>
      <c r="G7" s="3248">
        <v>9.8000000000000004E-2</v>
      </c>
    </row>
    <row r="8" spans="1:7">
      <c r="A8" s="3245" t="s">
        <v>144</v>
      </c>
      <c r="B8" s="3246" t="s">
        <v>145</v>
      </c>
      <c r="C8" s="3247">
        <v>8.1000000000000003E-2</v>
      </c>
      <c r="D8" s="3247">
        <v>8.2000000000000003E-2</v>
      </c>
      <c r="E8" s="3247">
        <v>7.0000000000000007E-2</v>
      </c>
      <c r="F8" s="3247">
        <v>9.6000000000000002E-2</v>
      </c>
      <c r="G8" s="3248">
        <v>8.8999999999999996E-2</v>
      </c>
    </row>
    <row r="9" spans="1:7" ht="14.25" thickBot="1">
      <c r="A9" s="3249" t="s">
        <v>144</v>
      </c>
      <c r="B9" s="3250" t="s">
        <v>154</v>
      </c>
      <c r="C9" s="3251">
        <v>0.1</v>
      </c>
      <c r="D9" s="3251">
        <v>0.1</v>
      </c>
      <c r="E9" s="3251">
        <v>0.1</v>
      </c>
      <c r="F9" s="3252"/>
      <c r="G9" s="3253">
        <v>0.1</v>
      </c>
    </row>
    <row r="10" spans="1:7">
      <c r="A10" s="3241" t="s">
        <v>184</v>
      </c>
      <c r="B10" s="3242" t="s">
        <v>2861</v>
      </c>
      <c r="C10" s="3243">
        <v>6.7000000000000004E-2</v>
      </c>
      <c r="D10" s="3243">
        <v>7.9000000000000001E-2</v>
      </c>
      <c r="E10" s="3243">
        <v>7.9000000000000001E-2</v>
      </c>
      <c r="F10" s="3243">
        <v>0.1</v>
      </c>
      <c r="G10" s="3244">
        <v>9.0999999999999998E-2</v>
      </c>
    </row>
    <row r="11" spans="1:7">
      <c r="A11" s="3245" t="s">
        <v>184</v>
      </c>
      <c r="B11" s="3246" t="s">
        <v>128</v>
      </c>
      <c r="C11" s="3247">
        <v>0.05</v>
      </c>
      <c r="D11" s="3247">
        <v>5.2999999999999999E-2</v>
      </c>
      <c r="E11" s="3247">
        <v>6.3E-2</v>
      </c>
      <c r="F11" s="3247">
        <v>0.1</v>
      </c>
      <c r="G11" s="3248">
        <v>7.1999999999999995E-2</v>
      </c>
    </row>
    <row r="12" spans="1:7">
      <c r="A12" s="3245" t="s">
        <v>184</v>
      </c>
      <c r="B12" s="3246" t="s">
        <v>111</v>
      </c>
      <c r="C12" s="3247">
        <v>5.2999999999999999E-2</v>
      </c>
      <c r="D12" s="3247">
        <v>0.09</v>
      </c>
      <c r="E12" s="3247">
        <v>7.1999999999999995E-2</v>
      </c>
      <c r="F12" s="3247">
        <v>0.1</v>
      </c>
      <c r="G12" s="3248">
        <v>9.7000000000000003E-2</v>
      </c>
    </row>
    <row r="13" spans="1:7">
      <c r="A13" s="3245" t="s">
        <v>184</v>
      </c>
      <c r="B13" s="3246" t="s">
        <v>146</v>
      </c>
      <c r="C13" s="3247">
        <v>9.7000000000000003E-2</v>
      </c>
      <c r="D13" s="3247">
        <v>9.1999999999999998E-2</v>
      </c>
      <c r="E13" s="3247">
        <v>9.5000000000000001E-2</v>
      </c>
      <c r="F13" s="3247">
        <v>0.1</v>
      </c>
      <c r="G13" s="3248">
        <v>9.7000000000000003E-2</v>
      </c>
    </row>
    <row r="14" spans="1:7">
      <c r="A14" s="3245" t="s">
        <v>184</v>
      </c>
      <c r="B14" s="3246" t="s">
        <v>155</v>
      </c>
      <c r="C14" s="3247">
        <v>9.7000000000000003E-2</v>
      </c>
      <c r="D14" s="3247">
        <v>9.7000000000000003E-2</v>
      </c>
      <c r="E14" s="3247">
        <v>9.7000000000000003E-2</v>
      </c>
      <c r="F14" s="3247">
        <v>0.1</v>
      </c>
      <c r="G14" s="3248">
        <v>9.8000000000000004E-2</v>
      </c>
    </row>
    <row r="15" spans="1:7">
      <c r="A15" s="3245" t="s">
        <v>184</v>
      </c>
      <c r="B15" s="3246" t="s">
        <v>162</v>
      </c>
      <c r="C15" s="3247">
        <v>9.8000000000000004E-2</v>
      </c>
      <c r="D15" s="3247">
        <v>9.0999999999999998E-2</v>
      </c>
      <c r="E15" s="3247">
        <v>0.06</v>
      </c>
      <c r="F15" s="3247">
        <v>0.1</v>
      </c>
      <c r="G15" s="3248">
        <v>9.7000000000000003E-2</v>
      </c>
    </row>
    <row r="16" spans="1:7">
      <c r="A16" s="3245" t="s">
        <v>184</v>
      </c>
      <c r="B16" s="3246" t="s">
        <v>168</v>
      </c>
      <c r="C16" s="3247">
        <v>9.8000000000000004E-2</v>
      </c>
      <c r="D16" s="3247">
        <v>9.7000000000000003E-2</v>
      </c>
      <c r="E16" s="3247">
        <v>9.5000000000000001E-2</v>
      </c>
      <c r="F16" s="3247">
        <v>0.1</v>
      </c>
      <c r="G16" s="3248">
        <v>9.9000000000000005E-2</v>
      </c>
    </row>
    <row r="17" spans="1:7">
      <c r="A17" s="3245" t="s">
        <v>184</v>
      </c>
      <c r="B17" s="3246" t="s">
        <v>175</v>
      </c>
      <c r="C17" s="3247">
        <v>8.8999999999999996E-2</v>
      </c>
      <c r="D17" s="3247">
        <v>9.1999999999999998E-2</v>
      </c>
      <c r="E17" s="3247">
        <v>6.0999999999999999E-2</v>
      </c>
      <c r="F17" s="3247">
        <v>0.1</v>
      </c>
      <c r="G17" s="3248">
        <v>9.7000000000000003E-2</v>
      </c>
    </row>
    <row r="18" spans="1:7">
      <c r="A18" s="3245" t="s">
        <v>184</v>
      </c>
      <c r="B18" s="3246" t="s">
        <v>185</v>
      </c>
      <c r="C18" s="3247">
        <v>9.8000000000000004E-2</v>
      </c>
      <c r="D18" s="3247">
        <v>9.8000000000000004E-2</v>
      </c>
      <c r="E18" s="3247">
        <v>9.8000000000000004E-2</v>
      </c>
      <c r="F18" s="3254"/>
      <c r="G18" s="3248">
        <v>9.9000000000000005E-2</v>
      </c>
    </row>
    <row r="19" spans="1:7">
      <c r="A19" s="3245" t="s">
        <v>184</v>
      </c>
      <c r="B19" s="3246" t="s">
        <v>194</v>
      </c>
      <c r="C19" s="3247">
        <v>9.9000000000000005E-2</v>
      </c>
      <c r="D19" s="3247">
        <v>7.3999999999999996E-2</v>
      </c>
      <c r="E19" s="3247">
        <v>8.1000000000000003E-2</v>
      </c>
      <c r="F19" s="3254"/>
      <c r="G19" s="3248">
        <v>9.2999999999999999E-2</v>
      </c>
    </row>
    <row r="20" spans="1:7">
      <c r="A20" s="3245" t="s">
        <v>184</v>
      </c>
      <c r="B20" s="3246" t="s">
        <v>201</v>
      </c>
      <c r="C20" s="3247">
        <v>0.1</v>
      </c>
      <c r="D20" s="3247">
        <v>8.8999999999999996E-2</v>
      </c>
      <c r="E20" s="3247">
        <v>8.8999999999999996E-2</v>
      </c>
      <c r="F20" s="3254"/>
      <c r="G20" s="3248">
        <v>9.5000000000000001E-2</v>
      </c>
    </row>
    <row r="21" spans="1:7">
      <c r="A21" s="3245" t="s">
        <v>184</v>
      </c>
      <c r="B21" s="3246" t="s">
        <v>208</v>
      </c>
      <c r="C21" s="3247">
        <v>0.1</v>
      </c>
      <c r="D21" s="3247">
        <v>9.0999999999999998E-2</v>
      </c>
      <c r="E21" s="3247">
        <v>8.2000000000000003E-2</v>
      </c>
      <c r="F21" s="3254"/>
      <c r="G21" s="3248">
        <v>9.7000000000000003E-2</v>
      </c>
    </row>
    <row r="22" spans="1:7">
      <c r="A22" s="3245" t="s">
        <v>184</v>
      </c>
      <c r="B22" s="3246" t="s">
        <v>2911</v>
      </c>
      <c r="C22" s="3247">
        <v>9.5000000000000001E-2</v>
      </c>
      <c r="D22" s="3247">
        <v>9.9000000000000005E-2</v>
      </c>
      <c r="E22" s="3247">
        <v>9.8000000000000004E-2</v>
      </c>
      <c r="F22" s="3254"/>
      <c r="G22" s="3248">
        <v>0.1</v>
      </c>
    </row>
    <row r="23" spans="1:7">
      <c r="A23" s="3245" t="s">
        <v>184</v>
      </c>
      <c r="B23" s="3246" t="s">
        <v>222</v>
      </c>
      <c r="C23" s="3247">
        <v>9.9000000000000005E-2</v>
      </c>
      <c r="D23" s="3247">
        <v>0.1</v>
      </c>
      <c r="E23" s="3247">
        <v>0.1</v>
      </c>
      <c r="F23" s="3254"/>
      <c r="G23" s="3248">
        <v>0.1</v>
      </c>
    </row>
    <row r="24" spans="1:7">
      <c r="A24" s="3245" t="s">
        <v>184</v>
      </c>
      <c r="B24" s="3246" t="s">
        <v>230</v>
      </c>
      <c r="C24" s="3247">
        <v>9.5000000000000001E-2</v>
      </c>
      <c r="D24" s="3247">
        <v>0.1</v>
      </c>
      <c r="E24" s="3247">
        <v>9.8000000000000004E-2</v>
      </c>
      <c r="F24" s="3254"/>
      <c r="G24" s="3248">
        <v>0.1</v>
      </c>
    </row>
    <row r="25" spans="1:7">
      <c r="A25" s="3245" t="s">
        <v>184</v>
      </c>
      <c r="B25" s="3246" t="s">
        <v>235</v>
      </c>
      <c r="C25" s="3247">
        <v>0.05</v>
      </c>
      <c r="D25" s="3247">
        <v>9.6000000000000002E-2</v>
      </c>
      <c r="E25" s="3247">
        <v>9.6000000000000002E-2</v>
      </c>
      <c r="F25" s="3254"/>
      <c r="G25" s="3248">
        <v>9.6000000000000002E-2</v>
      </c>
    </row>
    <row r="26" spans="1:7">
      <c r="A26" s="3245" t="s">
        <v>184</v>
      </c>
      <c r="B26" s="3246" t="s">
        <v>244</v>
      </c>
      <c r="C26" s="3247">
        <v>6.3E-2</v>
      </c>
      <c r="D26" s="3247">
        <v>9.9000000000000005E-2</v>
      </c>
      <c r="E26" s="3247">
        <v>9.8000000000000004E-2</v>
      </c>
      <c r="F26" s="3254"/>
      <c r="G26" s="3248">
        <v>0.1</v>
      </c>
    </row>
    <row r="27" spans="1:7">
      <c r="A27" s="3245" t="s">
        <v>184</v>
      </c>
      <c r="B27" s="3246" t="s">
        <v>251</v>
      </c>
      <c r="C27" s="3247">
        <v>5.1999999999999998E-2</v>
      </c>
      <c r="D27" s="3247">
        <v>9.5000000000000001E-2</v>
      </c>
      <c r="E27" s="3247">
        <v>6.4000000000000001E-2</v>
      </c>
      <c r="F27" s="3254"/>
      <c r="G27" s="3248">
        <v>9.7000000000000003E-2</v>
      </c>
    </row>
    <row r="28" spans="1:7">
      <c r="A28" s="3245" t="s">
        <v>184</v>
      </c>
      <c r="B28" s="3246" t="s">
        <v>259</v>
      </c>
      <c r="C28" s="3254"/>
      <c r="D28" s="3247">
        <v>6.3E-2</v>
      </c>
      <c r="E28" s="3247">
        <v>5.1999999999999998E-2</v>
      </c>
      <c r="F28" s="3254"/>
      <c r="G28" s="3248">
        <v>6.3E-2</v>
      </c>
    </row>
    <row r="29" spans="1:7" ht="14.25" thickBot="1">
      <c r="A29" s="3249" t="s">
        <v>184</v>
      </c>
      <c r="B29" s="3250" t="s">
        <v>2929</v>
      </c>
      <c r="C29" s="3255"/>
      <c r="D29" s="3251">
        <v>5.1999999999999998E-2</v>
      </c>
      <c r="E29" s="3251">
        <v>7.0000000000000007E-2</v>
      </c>
      <c r="F29" s="3255"/>
      <c r="G29" s="3253">
        <v>7.0999999999999994E-2</v>
      </c>
    </row>
    <row r="30" spans="1:7">
      <c r="A30" s="3256" t="s">
        <v>296</v>
      </c>
      <c r="B30" s="3242" t="s">
        <v>2862</v>
      </c>
      <c r="C30" s="3243">
        <v>6.6000000000000003E-2</v>
      </c>
      <c r="D30" s="3243">
        <v>6.6000000000000003E-2</v>
      </c>
      <c r="E30" s="3243">
        <v>5.7000000000000002E-2</v>
      </c>
      <c r="F30" s="3243">
        <v>0.1</v>
      </c>
      <c r="G30" s="3244">
        <v>6.8000000000000005E-2</v>
      </c>
    </row>
    <row r="31" spans="1:7">
      <c r="A31" s="3257" t="s">
        <v>296</v>
      </c>
      <c r="B31" s="3246" t="s">
        <v>129</v>
      </c>
      <c r="C31" s="3247">
        <v>5.5E-2</v>
      </c>
      <c r="D31" s="3247">
        <v>8.2000000000000003E-2</v>
      </c>
      <c r="E31" s="3247">
        <v>6.4000000000000001E-2</v>
      </c>
      <c r="F31" s="3247">
        <v>0.1</v>
      </c>
      <c r="G31" s="3248">
        <v>9.5000000000000001E-2</v>
      </c>
    </row>
    <row r="32" spans="1:7">
      <c r="A32" s="3257" t="s">
        <v>296</v>
      </c>
      <c r="B32" s="3246" t="s">
        <v>138</v>
      </c>
      <c r="C32" s="3247">
        <v>8.2000000000000003E-2</v>
      </c>
      <c r="D32" s="3247">
        <v>8.6999999999999994E-2</v>
      </c>
      <c r="E32" s="3247">
        <v>9.5000000000000001E-2</v>
      </c>
      <c r="F32" s="3247">
        <v>0.1</v>
      </c>
      <c r="G32" s="3248">
        <v>9.6000000000000002E-2</v>
      </c>
    </row>
    <row r="33" spans="1:7">
      <c r="A33" s="3257" t="s">
        <v>296</v>
      </c>
      <c r="B33" s="3246" t="s">
        <v>147</v>
      </c>
      <c r="C33" s="3247">
        <v>9.9000000000000005E-2</v>
      </c>
      <c r="D33" s="3247">
        <v>9.1999999999999998E-2</v>
      </c>
      <c r="E33" s="3247">
        <v>8.6999999999999994E-2</v>
      </c>
      <c r="F33" s="3247">
        <v>0.1</v>
      </c>
      <c r="G33" s="3248">
        <v>9.7000000000000003E-2</v>
      </c>
    </row>
    <row r="34" spans="1:7">
      <c r="A34" s="3257" t="s">
        <v>296</v>
      </c>
      <c r="B34" s="3246" t="s">
        <v>156</v>
      </c>
      <c r="C34" s="3247">
        <v>8.4000000000000005E-2</v>
      </c>
      <c r="D34" s="3247">
        <v>9.7000000000000003E-2</v>
      </c>
      <c r="E34" s="3247">
        <v>7.0999999999999994E-2</v>
      </c>
      <c r="F34" s="3247">
        <v>0.1</v>
      </c>
      <c r="G34" s="3248">
        <v>9.8000000000000004E-2</v>
      </c>
    </row>
    <row r="35" spans="1:7">
      <c r="A35" s="3257" t="s">
        <v>296</v>
      </c>
      <c r="B35" s="3246" t="s">
        <v>163</v>
      </c>
      <c r="C35" s="3247">
        <v>8.3000000000000004E-2</v>
      </c>
      <c r="D35" s="3247">
        <v>9.7000000000000003E-2</v>
      </c>
      <c r="E35" s="3247">
        <v>6.0999999999999999E-2</v>
      </c>
      <c r="F35" s="3247">
        <v>0.1</v>
      </c>
      <c r="G35" s="3248">
        <v>9.9000000000000005E-2</v>
      </c>
    </row>
    <row r="36" spans="1:7">
      <c r="A36" s="3257" t="s">
        <v>296</v>
      </c>
      <c r="B36" s="3246" t="s">
        <v>169</v>
      </c>
      <c r="C36" s="3247">
        <v>9.7000000000000003E-2</v>
      </c>
      <c r="D36" s="3247">
        <v>9.7000000000000003E-2</v>
      </c>
      <c r="E36" s="3247">
        <v>7.8E-2</v>
      </c>
      <c r="F36" s="3247">
        <v>0.1</v>
      </c>
      <c r="G36" s="3248">
        <v>9.9000000000000005E-2</v>
      </c>
    </row>
    <row r="37" spans="1:7">
      <c r="A37" s="3257" t="s">
        <v>296</v>
      </c>
      <c r="B37" s="3246" t="s">
        <v>176</v>
      </c>
      <c r="C37" s="3247">
        <v>9.7000000000000003E-2</v>
      </c>
      <c r="D37" s="3247">
        <v>9.5000000000000001E-2</v>
      </c>
      <c r="E37" s="3247">
        <v>7.8E-2</v>
      </c>
      <c r="F37" s="3247">
        <v>0.1</v>
      </c>
      <c r="G37" s="3248">
        <v>9.7000000000000003E-2</v>
      </c>
    </row>
    <row r="38" spans="1:7">
      <c r="A38" s="3257" t="s">
        <v>296</v>
      </c>
      <c r="B38" s="3246" t="s">
        <v>186</v>
      </c>
      <c r="C38" s="3247">
        <v>9.7000000000000003E-2</v>
      </c>
      <c r="D38" s="3247">
        <v>7.6999999999999999E-2</v>
      </c>
      <c r="E38" s="3247">
        <v>7.0000000000000007E-2</v>
      </c>
      <c r="F38" s="3247">
        <v>0.1</v>
      </c>
      <c r="G38" s="3248">
        <v>7.6999999999999999E-2</v>
      </c>
    </row>
    <row r="39" spans="1:7">
      <c r="A39" s="3257" t="s">
        <v>296</v>
      </c>
      <c r="B39" s="3246" t="s">
        <v>195</v>
      </c>
      <c r="C39" s="3247">
        <v>9.5000000000000001E-2</v>
      </c>
      <c r="D39" s="3247">
        <v>7.6999999999999999E-2</v>
      </c>
      <c r="E39" s="3247">
        <v>6.6000000000000003E-2</v>
      </c>
      <c r="F39" s="3247">
        <v>0.1</v>
      </c>
      <c r="G39" s="3248">
        <v>8.5999999999999993E-2</v>
      </c>
    </row>
    <row r="40" spans="1:7">
      <c r="A40" s="3257" t="s">
        <v>296</v>
      </c>
      <c r="B40" s="3246" t="s">
        <v>202</v>
      </c>
      <c r="C40" s="3247">
        <v>7.6999999999999999E-2</v>
      </c>
      <c r="D40" s="3247">
        <v>7.8E-2</v>
      </c>
      <c r="E40" s="3247">
        <v>8.2000000000000003E-2</v>
      </c>
      <c r="F40" s="3258"/>
      <c r="G40" s="3248">
        <v>7.8E-2</v>
      </c>
    </row>
    <row r="41" spans="1:7">
      <c r="A41" s="3257" t="s">
        <v>296</v>
      </c>
      <c r="B41" s="3246" t="s">
        <v>209</v>
      </c>
      <c r="C41" s="3247">
        <v>7.8E-2</v>
      </c>
      <c r="D41" s="3247">
        <v>7.8E-2</v>
      </c>
      <c r="E41" s="3247">
        <v>8.2000000000000003E-2</v>
      </c>
      <c r="F41" s="3258"/>
      <c r="G41" s="3248">
        <v>8.5999999999999993E-2</v>
      </c>
    </row>
    <row r="42" spans="1:7">
      <c r="A42" s="3257" t="s">
        <v>296</v>
      </c>
      <c r="B42" s="3246" t="s">
        <v>215</v>
      </c>
      <c r="C42" s="3247">
        <v>7.8E-2</v>
      </c>
      <c r="D42" s="3247">
        <v>9.6000000000000002E-2</v>
      </c>
      <c r="E42" s="3247">
        <v>7.1999999999999995E-2</v>
      </c>
      <c r="F42" s="3258"/>
      <c r="G42" s="3248">
        <v>9.8000000000000004E-2</v>
      </c>
    </row>
    <row r="43" spans="1:7">
      <c r="A43" s="3257" t="s">
        <v>2848</v>
      </c>
      <c r="B43" s="3246" t="s">
        <v>223</v>
      </c>
      <c r="C43" s="3247">
        <v>7.8E-2</v>
      </c>
      <c r="D43" s="3247">
        <v>9.9000000000000005E-2</v>
      </c>
      <c r="E43" s="3247">
        <v>9.6000000000000002E-2</v>
      </c>
      <c r="F43" s="3258"/>
      <c r="G43" s="3248">
        <v>0.1</v>
      </c>
    </row>
    <row r="44" spans="1:7">
      <c r="A44" s="3257" t="s">
        <v>296</v>
      </c>
      <c r="B44" s="3246" t="s">
        <v>231</v>
      </c>
      <c r="C44" s="3247">
        <v>9.6000000000000002E-2</v>
      </c>
      <c r="D44" s="3247">
        <v>0.1</v>
      </c>
      <c r="E44" s="3247">
        <v>9.8000000000000004E-2</v>
      </c>
      <c r="F44" s="3258"/>
      <c r="G44" s="3248">
        <v>0.1</v>
      </c>
    </row>
    <row r="45" spans="1:7">
      <c r="A45" s="3257" t="s">
        <v>296</v>
      </c>
      <c r="B45" s="3246" t="s">
        <v>236</v>
      </c>
      <c r="C45" s="3247">
        <v>9.9000000000000005E-2</v>
      </c>
      <c r="D45" s="3247">
        <v>9.8000000000000004E-2</v>
      </c>
      <c r="E45" s="3247">
        <v>9.5000000000000001E-2</v>
      </c>
      <c r="F45" s="3258"/>
      <c r="G45" s="3248">
        <v>9.8000000000000004E-2</v>
      </c>
    </row>
    <row r="46" spans="1:7">
      <c r="A46" s="3257" t="s">
        <v>296</v>
      </c>
      <c r="B46" s="3246" t="s">
        <v>245</v>
      </c>
      <c r="C46" s="3247">
        <v>0.1</v>
      </c>
      <c r="D46" s="3247">
        <v>9.9000000000000005E-2</v>
      </c>
      <c r="E46" s="3247">
        <v>9.6000000000000002E-2</v>
      </c>
      <c r="F46" s="3258"/>
      <c r="G46" s="3248">
        <v>0.1</v>
      </c>
    </row>
    <row r="47" spans="1:7">
      <c r="A47" s="3257" t="s">
        <v>296</v>
      </c>
      <c r="B47" s="3246" t="s">
        <v>252</v>
      </c>
      <c r="C47" s="3247">
        <v>9.8000000000000004E-2</v>
      </c>
      <c r="D47" s="3247">
        <v>8.6999999999999994E-2</v>
      </c>
      <c r="E47" s="3247">
        <v>5.8999999999999997E-2</v>
      </c>
      <c r="F47" s="3258"/>
      <c r="G47" s="3248">
        <v>9.6000000000000002E-2</v>
      </c>
    </row>
    <row r="48" spans="1:7">
      <c r="A48" s="3257" t="s">
        <v>296</v>
      </c>
      <c r="B48" s="3246" t="s">
        <v>260</v>
      </c>
      <c r="C48" s="3247">
        <v>9.9000000000000005E-2</v>
      </c>
      <c r="D48" s="3247">
        <v>9.8000000000000004E-2</v>
      </c>
      <c r="E48" s="3247">
        <v>9.5000000000000001E-2</v>
      </c>
      <c r="F48" s="3258"/>
      <c r="G48" s="3248">
        <v>9.8000000000000004E-2</v>
      </c>
    </row>
    <row r="49" spans="1:7">
      <c r="A49" s="3257" t="s">
        <v>296</v>
      </c>
      <c r="B49" s="3246" t="s">
        <v>267</v>
      </c>
      <c r="C49" s="3247">
        <v>8.7999999999999995E-2</v>
      </c>
      <c r="D49" s="3247">
        <v>9.9000000000000005E-2</v>
      </c>
      <c r="E49" s="3247">
        <v>7.0000000000000007E-2</v>
      </c>
      <c r="F49" s="3258"/>
      <c r="G49" s="3248">
        <v>0.1</v>
      </c>
    </row>
    <row r="50" spans="1:7">
      <c r="A50" s="3257" t="s">
        <v>296</v>
      </c>
      <c r="B50" s="3246" t="s">
        <v>2932</v>
      </c>
      <c r="C50" s="3247">
        <v>9.8000000000000004E-2</v>
      </c>
      <c r="D50" s="3247">
        <v>7.2999999999999995E-2</v>
      </c>
      <c r="E50" s="3247">
        <v>7.0999999999999994E-2</v>
      </c>
      <c r="F50" s="3258"/>
      <c r="G50" s="3248">
        <v>7.2999999999999995E-2</v>
      </c>
    </row>
    <row r="51" spans="1:7">
      <c r="A51" s="3257" t="s">
        <v>296</v>
      </c>
      <c r="B51" s="3246" t="s">
        <v>2934</v>
      </c>
      <c r="C51" s="3247">
        <v>9.9000000000000005E-2</v>
      </c>
      <c r="D51" s="3247">
        <v>8.5000000000000006E-2</v>
      </c>
      <c r="E51" s="3247">
        <v>6.3E-2</v>
      </c>
      <c r="F51" s="3258"/>
      <c r="G51" s="3248">
        <v>9.6000000000000002E-2</v>
      </c>
    </row>
    <row r="52" spans="1:7">
      <c r="A52" s="3257" t="s">
        <v>296</v>
      </c>
      <c r="B52" s="3246" t="s">
        <v>2938</v>
      </c>
      <c r="C52" s="3247">
        <v>7.3999999999999996E-2</v>
      </c>
      <c r="D52" s="3247">
        <v>9.6000000000000002E-2</v>
      </c>
      <c r="E52" s="3247">
        <v>0.05</v>
      </c>
      <c r="F52" s="3258"/>
      <c r="G52" s="3248">
        <v>9.8000000000000004E-2</v>
      </c>
    </row>
    <row r="53" spans="1:7">
      <c r="A53" s="3257" t="s">
        <v>296</v>
      </c>
      <c r="B53" s="3246" t="s">
        <v>2943</v>
      </c>
      <c r="C53" s="3247">
        <v>8.5999999999999993E-2</v>
      </c>
      <c r="D53" s="3258"/>
      <c r="E53" s="3247">
        <v>9.1999999999999998E-2</v>
      </c>
      <c r="F53" s="3258"/>
      <c r="G53" s="3259"/>
    </row>
    <row r="54" spans="1:7" ht="14.25" thickBot="1">
      <c r="A54" s="3260" t="s">
        <v>296</v>
      </c>
      <c r="B54" s="3250" t="s">
        <v>2946</v>
      </c>
      <c r="C54" s="3251">
        <v>9.6000000000000002E-2</v>
      </c>
      <c r="D54" s="3252"/>
      <c r="E54" s="3261"/>
      <c r="F54" s="3252"/>
      <c r="G54" s="3262"/>
    </row>
    <row r="55" spans="1:7">
      <c r="A55" s="3256" t="s">
        <v>110</v>
      </c>
      <c r="B55" s="3242" t="s">
        <v>2863</v>
      </c>
      <c r="C55" s="3243">
        <v>9.6000000000000002E-2</v>
      </c>
      <c r="D55" s="3243">
        <v>8.4000000000000005E-2</v>
      </c>
      <c r="E55" s="3243">
        <v>9.1999999999999998E-2</v>
      </c>
      <c r="F55" s="3243">
        <v>0.1</v>
      </c>
      <c r="G55" s="3244">
        <v>9.5000000000000001E-2</v>
      </c>
    </row>
    <row r="56" spans="1:7">
      <c r="A56" s="3257" t="s">
        <v>110</v>
      </c>
      <c r="B56" s="3246" t="s">
        <v>130</v>
      </c>
      <c r="C56" s="3247">
        <v>8.4000000000000005E-2</v>
      </c>
      <c r="D56" s="3247">
        <v>9.1999999999999998E-2</v>
      </c>
      <c r="E56" s="3247">
        <v>9.5000000000000001E-2</v>
      </c>
      <c r="F56" s="3247">
        <v>9.1999999999999998E-2</v>
      </c>
      <c r="G56" s="3248">
        <v>9.6000000000000002E-2</v>
      </c>
    </row>
    <row r="57" spans="1:7">
      <c r="A57" s="3257" t="s">
        <v>110</v>
      </c>
      <c r="B57" s="3246" t="s">
        <v>139</v>
      </c>
      <c r="C57" s="3247">
        <v>9.9000000000000005E-2</v>
      </c>
      <c r="D57" s="3247">
        <v>9.6000000000000002E-2</v>
      </c>
      <c r="E57" s="3247">
        <v>9.1999999999999998E-2</v>
      </c>
      <c r="F57" s="3247">
        <v>0.1</v>
      </c>
      <c r="G57" s="3248">
        <v>9.8000000000000004E-2</v>
      </c>
    </row>
    <row r="58" spans="1:7">
      <c r="A58" s="3257" t="s">
        <v>110</v>
      </c>
      <c r="B58" s="3246" t="s">
        <v>148</v>
      </c>
      <c r="C58" s="3247">
        <v>9.8000000000000004E-2</v>
      </c>
      <c r="D58" s="3247">
        <v>9.5000000000000001E-2</v>
      </c>
      <c r="E58" s="3247">
        <v>5.7000000000000002E-2</v>
      </c>
      <c r="F58" s="3247">
        <v>0.1</v>
      </c>
      <c r="G58" s="3248">
        <v>9.6000000000000002E-2</v>
      </c>
    </row>
    <row r="59" spans="1:7">
      <c r="A59" s="3257" t="s">
        <v>110</v>
      </c>
      <c r="B59" s="3246" t="s">
        <v>157</v>
      </c>
      <c r="C59" s="3247">
        <v>9.5000000000000001E-2</v>
      </c>
      <c r="D59" s="3247">
        <v>0.1</v>
      </c>
      <c r="E59" s="3247">
        <v>7.4999999999999997E-2</v>
      </c>
      <c r="F59" s="3247">
        <v>0.1</v>
      </c>
      <c r="G59" s="3248">
        <v>0.1</v>
      </c>
    </row>
    <row r="60" spans="1:7">
      <c r="A60" s="3257" t="s">
        <v>110</v>
      </c>
      <c r="B60" s="3246" t="s">
        <v>164</v>
      </c>
      <c r="C60" s="3247">
        <v>0.1</v>
      </c>
      <c r="D60" s="3247">
        <v>9.7000000000000003E-2</v>
      </c>
      <c r="E60" s="3247">
        <v>0.1</v>
      </c>
      <c r="F60" s="3247">
        <v>0.1</v>
      </c>
      <c r="G60" s="3248">
        <v>9.7000000000000003E-2</v>
      </c>
    </row>
    <row r="61" spans="1:7">
      <c r="A61" s="3257" t="s">
        <v>110</v>
      </c>
      <c r="B61" s="3246" t="s">
        <v>170</v>
      </c>
      <c r="C61" s="3247">
        <v>9.7000000000000003E-2</v>
      </c>
      <c r="D61" s="3247">
        <v>0.1</v>
      </c>
      <c r="E61" s="3247">
        <v>9.2999999999999999E-2</v>
      </c>
      <c r="F61" s="3247">
        <v>0.1</v>
      </c>
      <c r="G61" s="3248">
        <v>0.1</v>
      </c>
    </row>
    <row r="62" spans="1:7">
      <c r="A62" s="3257" t="s">
        <v>110</v>
      </c>
      <c r="B62" s="3246" t="s">
        <v>177</v>
      </c>
      <c r="C62" s="3247">
        <v>0.1</v>
      </c>
      <c r="D62" s="3247">
        <v>9.7000000000000003E-2</v>
      </c>
      <c r="E62" s="3247">
        <v>8.8999999999999996E-2</v>
      </c>
      <c r="F62" s="3247">
        <v>0.1</v>
      </c>
      <c r="G62" s="3248">
        <v>9.8000000000000004E-2</v>
      </c>
    </row>
    <row r="63" spans="1:7">
      <c r="A63" s="3257" t="s">
        <v>110</v>
      </c>
      <c r="B63" s="3246" t="s">
        <v>187</v>
      </c>
      <c r="C63" s="3247">
        <v>9.7000000000000003E-2</v>
      </c>
      <c r="D63" s="3247">
        <v>9.7000000000000003E-2</v>
      </c>
      <c r="E63" s="3247">
        <v>9.9000000000000005E-2</v>
      </c>
      <c r="F63" s="3247">
        <v>0.1</v>
      </c>
      <c r="G63" s="3248">
        <v>9.7000000000000003E-2</v>
      </c>
    </row>
    <row r="64" spans="1:7">
      <c r="A64" s="3257" t="s">
        <v>110</v>
      </c>
      <c r="B64" s="3246" t="s">
        <v>196</v>
      </c>
      <c r="C64" s="3247">
        <v>9.7000000000000003E-2</v>
      </c>
      <c r="D64" s="3247">
        <v>7.3999999999999996E-2</v>
      </c>
      <c r="E64" s="3247">
        <v>7.8E-2</v>
      </c>
      <c r="F64" s="3247">
        <v>0.1</v>
      </c>
      <c r="G64" s="3248">
        <v>8.8999999999999996E-2</v>
      </c>
    </row>
    <row r="65" spans="1:7">
      <c r="A65" s="3257" t="s">
        <v>110</v>
      </c>
      <c r="B65" s="3246" t="s">
        <v>203</v>
      </c>
      <c r="C65" s="3247">
        <v>7.2999999999999995E-2</v>
      </c>
      <c r="D65" s="3247">
        <v>9.8000000000000004E-2</v>
      </c>
      <c r="E65" s="3247">
        <v>9.5000000000000001E-2</v>
      </c>
      <c r="F65" s="3247">
        <v>0.1</v>
      </c>
      <c r="G65" s="3248">
        <v>9.9000000000000005E-2</v>
      </c>
    </row>
    <row r="66" spans="1:7">
      <c r="A66" s="3257" t="s">
        <v>110</v>
      </c>
      <c r="B66" s="3246" t="s">
        <v>210</v>
      </c>
      <c r="C66" s="3247">
        <v>9.8000000000000004E-2</v>
      </c>
      <c r="D66" s="3247">
        <v>9.5000000000000001E-2</v>
      </c>
      <c r="E66" s="3247">
        <v>0.05</v>
      </c>
      <c r="F66" s="3247">
        <v>0.1</v>
      </c>
      <c r="G66" s="3248">
        <v>9.7000000000000003E-2</v>
      </c>
    </row>
    <row r="67" spans="1:7">
      <c r="A67" s="3257" t="s">
        <v>110</v>
      </c>
      <c r="B67" s="3246" t="s">
        <v>216</v>
      </c>
      <c r="C67" s="3247">
        <v>9.5000000000000001E-2</v>
      </c>
      <c r="D67" s="3247">
        <v>9.7000000000000003E-2</v>
      </c>
      <c r="E67" s="3247">
        <v>9.7000000000000003E-2</v>
      </c>
      <c r="F67" s="3247">
        <v>0.1</v>
      </c>
      <c r="G67" s="3248">
        <v>9.9000000000000005E-2</v>
      </c>
    </row>
    <row r="68" spans="1:7">
      <c r="A68" s="3257" t="s">
        <v>110</v>
      </c>
      <c r="B68" s="3246" t="s">
        <v>224</v>
      </c>
      <c r="C68" s="3247">
        <v>9.7000000000000003E-2</v>
      </c>
      <c r="D68" s="3247">
        <v>6.8000000000000005E-2</v>
      </c>
      <c r="E68" s="3247">
        <v>6.6000000000000003E-2</v>
      </c>
      <c r="F68" s="3247">
        <v>0.1</v>
      </c>
      <c r="G68" s="3248">
        <v>8.4000000000000005E-2</v>
      </c>
    </row>
    <row r="69" spans="1:7">
      <c r="A69" s="3257" t="s">
        <v>110</v>
      </c>
      <c r="B69" s="3246" t="s">
        <v>232</v>
      </c>
      <c r="C69" s="3247">
        <v>6.8000000000000005E-2</v>
      </c>
      <c r="D69" s="3247">
        <v>9.8000000000000004E-2</v>
      </c>
      <c r="E69" s="3247">
        <v>9.5000000000000001E-2</v>
      </c>
      <c r="F69" s="3247">
        <v>0.1</v>
      </c>
      <c r="G69" s="3248">
        <v>0.1</v>
      </c>
    </row>
    <row r="70" spans="1:7">
      <c r="A70" s="3257" t="s">
        <v>110</v>
      </c>
      <c r="B70" s="3246" t="s">
        <v>237</v>
      </c>
      <c r="C70" s="3247">
        <v>9.8000000000000004E-2</v>
      </c>
      <c r="D70" s="3247">
        <v>8.8999999999999996E-2</v>
      </c>
      <c r="E70" s="3247">
        <v>5.8999999999999997E-2</v>
      </c>
      <c r="F70" s="3247">
        <v>0.1</v>
      </c>
      <c r="G70" s="3248">
        <v>9.6000000000000002E-2</v>
      </c>
    </row>
    <row r="71" spans="1:7">
      <c r="A71" s="3257" t="s">
        <v>110</v>
      </c>
      <c r="B71" s="3246" t="s">
        <v>246</v>
      </c>
      <c r="C71" s="3247">
        <v>8.8999999999999996E-2</v>
      </c>
      <c r="D71" s="3247">
        <v>9.9000000000000005E-2</v>
      </c>
      <c r="E71" s="3247">
        <v>9.6000000000000002E-2</v>
      </c>
      <c r="F71" s="3247">
        <v>0.1</v>
      </c>
      <c r="G71" s="3248">
        <v>0.1</v>
      </c>
    </row>
    <row r="72" spans="1:7">
      <c r="A72" s="3257" t="s">
        <v>110</v>
      </c>
      <c r="B72" s="3246" t="s">
        <v>253</v>
      </c>
      <c r="C72" s="3247">
        <v>9.9000000000000005E-2</v>
      </c>
      <c r="D72" s="3247">
        <v>0.1</v>
      </c>
      <c r="E72" s="3247">
        <v>7.0000000000000007E-2</v>
      </c>
      <c r="F72" s="3258"/>
      <c r="G72" s="3248">
        <v>0.1</v>
      </c>
    </row>
    <row r="73" spans="1:7">
      <c r="A73" s="3257" t="s">
        <v>110</v>
      </c>
      <c r="B73" s="3246" t="s">
        <v>261</v>
      </c>
      <c r="C73" s="3247">
        <v>0.1</v>
      </c>
      <c r="D73" s="3247">
        <v>0.1</v>
      </c>
      <c r="E73" s="3247">
        <v>9.6000000000000002E-2</v>
      </c>
      <c r="F73" s="3258"/>
      <c r="G73" s="3248">
        <v>0.1</v>
      </c>
    </row>
    <row r="74" spans="1:7">
      <c r="A74" s="3257" t="s">
        <v>110</v>
      </c>
      <c r="B74" s="3246" t="s">
        <v>268</v>
      </c>
      <c r="C74" s="3247">
        <v>0.1</v>
      </c>
      <c r="D74" s="3247">
        <v>0.1</v>
      </c>
      <c r="E74" s="3247">
        <v>9.8000000000000004E-2</v>
      </c>
      <c r="F74" s="3258"/>
      <c r="G74" s="3248">
        <v>0.1</v>
      </c>
    </row>
    <row r="75" spans="1:7">
      <c r="A75" s="3257" t="s">
        <v>110</v>
      </c>
      <c r="B75" s="3246" t="s">
        <v>272</v>
      </c>
      <c r="C75" s="3247">
        <v>0.1</v>
      </c>
      <c r="D75" s="3247">
        <v>9.9000000000000005E-2</v>
      </c>
      <c r="E75" s="3247">
        <v>9.8000000000000004E-2</v>
      </c>
      <c r="F75" s="3258"/>
      <c r="G75" s="3248">
        <v>0.1</v>
      </c>
    </row>
    <row r="76" spans="1:7">
      <c r="A76" s="3257" t="s">
        <v>110</v>
      </c>
      <c r="B76" s="3246" t="s">
        <v>278</v>
      </c>
      <c r="C76" s="3247">
        <v>9.9000000000000005E-2</v>
      </c>
      <c r="D76" s="3247">
        <v>0.1</v>
      </c>
      <c r="E76" s="3247">
        <v>9.7000000000000003E-2</v>
      </c>
      <c r="F76" s="3258"/>
      <c r="G76" s="3248">
        <v>0.1</v>
      </c>
    </row>
    <row r="77" spans="1:7">
      <c r="A77" s="3257" t="s">
        <v>110</v>
      </c>
      <c r="B77" s="3246" t="s">
        <v>281</v>
      </c>
      <c r="C77" s="3247">
        <v>0.1</v>
      </c>
      <c r="D77" s="3247">
        <v>0.1</v>
      </c>
      <c r="E77" s="3247">
        <v>9.6000000000000002E-2</v>
      </c>
      <c r="F77" s="3258"/>
      <c r="G77" s="3248">
        <v>0.1</v>
      </c>
    </row>
    <row r="78" spans="1:7">
      <c r="A78" s="3257" t="s">
        <v>110</v>
      </c>
      <c r="B78" s="3246" t="s">
        <v>2944</v>
      </c>
      <c r="C78" s="3247">
        <v>0.1</v>
      </c>
      <c r="D78" s="3247">
        <v>8.5000000000000006E-2</v>
      </c>
      <c r="E78" s="3247">
        <v>9.6000000000000002E-2</v>
      </c>
      <c r="F78" s="3258"/>
      <c r="G78" s="3248">
        <v>9.6000000000000002E-2</v>
      </c>
    </row>
    <row r="79" spans="1:7">
      <c r="A79" s="3257" t="s">
        <v>110</v>
      </c>
      <c r="B79" s="3246" t="s">
        <v>2947</v>
      </c>
      <c r="C79" s="3247">
        <v>0.05</v>
      </c>
      <c r="D79" s="3247">
        <v>9.6000000000000002E-2</v>
      </c>
      <c r="E79" s="3247">
        <v>9.5000000000000001E-2</v>
      </c>
      <c r="F79" s="3258"/>
      <c r="G79" s="3248">
        <v>9.8000000000000004E-2</v>
      </c>
    </row>
    <row r="80" spans="1:7">
      <c r="A80" s="3257" t="s">
        <v>110</v>
      </c>
      <c r="B80" s="3246" t="s">
        <v>2951</v>
      </c>
      <c r="C80" s="3247">
        <v>8.5999999999999993E-2</v>
      </c>
      <c r="D80" s="3263"/>
      <c r="E80" s="3247">
        <v>0.1</v>
      </c>
      <c r="F80" s="3258"/>
      <c r="G80" s="3259"/>
    </row>
    <row r="81" spans="1:7">
      <c r="A81" s="3257" t="s">
        <v>110</v>
      </c>
      <c r="B81" s="3246" t="s">
        <v>2956</v>
      </c>
      <c r="C81" s="3247">
        <v>9.6000000000000002E-2</v>
      </c>
      <c r="D81" s="3258"/>
      <c r="E81" s="3247">
        <v>9.8000000000000004E-2</v>
      </c>
      <c r="F81" s="3258"/>
      <c r="G81" s="3259"/>
    </row>
    <row r="82" spans="1:7">
      <c r="A82" s="3257" t="s">
        <v>110</v>
      </c>
      <c r="B82" s="3246" t="s">
        <v>2963</v>
      </c>
      <c r="C82" s="3263"/>
      <c r="D82" s="3258"/>
      <c r="E82" s="3247">
        <v>7.6999999999999999E-2</v>
      </c>
      <c r="F82" s="3258"/>
      <c r="G82" s="3259"/>
    </row>
    <row r="83" spans="1:7">
      <c r="A83" s="3257" t="s">
        <v>110</v>
      </c>
      <c r="B83" s="3246" t="s">
        <v>2969</v>
      </c>
      <c r="C83" s="3258"/>
      <c r="D83" s="3258"/>
      <c r="E83" s="3258"/>
      <c r="F83" s="3247">
        <v>0.1</v>
      </c>
      <c r="G83" s="3264"/>
    </row>
    <row r="84" spans="1:7">
      <c r="A84" s="3257" t="s">
        <v>110</v>
      </c>
      <c r="B84" s="3246" t="s">
        <v>2976</v>
      </c>
      <c r="C84" s="3258"/>
      <c r="D84" s="3258"/>
      <c r="E84" s="3258"/>
      <c r="F84" s="3247">
        <v>0.1</v>
      </c>
      <c r="G84" s="3264"/>
    </row>
    <row r="85" spans="1:7">
      <c r="A85" s="3257" t="s">
        <v>110</v>
      </c>
      <c r="B85" s="3246" t="s">
        <v>2983</v>
      </c>
      <c r="C85" s="3258"/>
      <c r="D85" s="3258"/>
      <c r="E85" s="3258"/>
      <c r="F85" s="3247">
        <v>0.1</v>
      </c>
      <c r="G85" s="3264"/>
    </row>
    <row r="86" spans="1:7" ht="14.25" thickBot="1">
      <c r="A86" s="3260" t="s">
        <v>110</v>
      </c>
      <c r="B86" s="3250" t="s">
        <v>2988</v>
      </c>
      <c r="C86" s="3251">
        <v>9.8000000000000004E-2</v>
      </c>
      <c r="D86" s="3251">
        <v>9.8000000000000004E-2</v>
      </c>
      <c r="E86" s="3251">
        <v>9.6000000000000002E-2</v>
      </c>
      <c r="F86" s="3261"/>
      <c r="G86" s="3253">
        <v>0.1</v>
      </c>
    </row>
    <row r="87" spans="1:7">
      <c r="A87" s="3256" t="s">
        <v>303</v>
      </c>
      <c r="B87" s="3242" t="s">
        <v>2864</v>
      </c>
      <c r="C87" s="3243">
        <v>0.1</v>
      </c>
      <c r="D87" s="3243">
        <v>0.1</v>
      </c>
      <c r="E87" s="3243">
        <v>9.8000000000000004E-2</v>
      </c>
      <c r="F87" s="3243">
        <v>0.1</v>
      </c>
      <c r="G87" s="3244">
        <v>0.1</v>
      </c>
    </row>
    <row r="88" spans="1:7">
      <c r="A88" s="3257" t="s">
        <v>303</v>
      </c>
      <c r="B88" s="3246" t="s">
        <v>131</v>
      </c>
      <c r="C88" s="3247">
        <v>9.0999999999999998E-2</v>
      </c>
      <c r="D88" s="3247">
        <v>9.1999999999999998E-2</v>
      </c>
      <c r="E88" s="3247">
        <v>0.1</v>
      </c>
      <c r="F88" s="3247">
        <v>0.1</v>
      </c>
      <c r="G88" s="3248">
        <v>9.6000000000000002E-2</v>
      </c>
    </row>
    <row r="89" spans="1:7">
      <c r="A89" s="3257" t="s">
        <v>303</v>
      </c>
      <c r="B89" s="3246" t="s">
        <v>140</v>
      </c>
      <c r="C89" s="3247">
        <v>0.1</v>
      </c>
      <c r="D89" s="3247">
        <v>0.1</v>
      </c>
      <c r="E89" s="3247">
        <v>6.7000000000000004E-2</v>
      </c>
      <c r="F89" s="3247">
        <v>9.2999999999999999E-2</v>
      </c>
      <c r="G89" s="3248">
        <v>0.1</v>
      </c>
    </row>
    <row r="90" spans="1:7">
      <c r="A90" s="3257" t="s">
        <v>303</v>
      </c>
      <c r="B90" s="3246" t="s">
        <v>149</v>
      </c>
      <c r="C90" s="3247">
        <v>9.6000000000000002E-2</v>
      </c>
      <c r="D90" s="3247">
        <v>9.6000000000000002E-2</v>
      </c>
      <c r="E90" s="3247">
        <v>0.1</v>
      </c>
      <c r="F90" s="3247">
        <v>0.1</v>
      </c>
      <c r="G90" s="3248">
        <v>9.8000000000000004E-2</v>
      </c>
    </row>
    <row r="91" spans="1:7">
      <c r="A91" s="3257" t="s">
        <v>303</v>
      </c>
      <c r="B91" s="3246" t="s">
        <v>158</v>
      </c>
      <c r="C91" s="3247">
        <v>7.6999999999999999E-2</v>
      </c>
      <c r="D91" s="3247">
        <v>7.6999999999999999E-2</v>
      </c>
      <c r="E91" s="3247">
        <v>9.6000000000000002E-2</v>
      </c>
      <c r="F91" s="3247">
        <v>0.1</v>
      </c>
      <c r="G91" s="3248">
        <v>7.6999999999999999E-2</v>
      </c>
    </row>
    <row r="92" spans="1:7">
      <c r="A92" s="3257" t="s">
        <v>303</v>
      </c>
      <c r="B92" s="3246" t="s">
        <v>165</v>
      </c>
      <c r="C92" s="3247">
        <v>0.1</v>
      </c>
      <c r="D92" s="3247">
        <v>0.1</v>
      </c>
      <c r="E92" s="3247">
        <v>9.1999999999999998E-2</v>
      </c>
      <c r="F92" s="3247">
        <v>0.1</v>
      </c>
      <c r="G92" s="3248">
        <v>0.1</v>
      </c>
    </row>
    <row r="93" spans="1:7">
      <c r="A93" s="3257" t="s">
        <v>303</v>
      </c>
      <c r="B93" s="3246" t="s">
        <v>171</v>
      </c>
      <c r="C93" s="3247">
        <v>9.8000000000000004E-2</v>
      </c>
      <c r="D93" s="3247">
        <v>9.8000000000000004E-2</v>
      </c>
      <c r="E93" s="3247">
        <v>9.6000000000000002E-2</v>
      </c>
      <c r="F93" s="3247">
        <v>0.1</v>
      </c>
      <c r="G93" s="3248">
        <v>9.9000000000000005E-2</v>
      </c>
    </row>
    <row r="94" spans="1:7">
      <c r="A94" s="3257" t="s">
        <v>303</v>
      </c>
      <c r="B94" s="3246" t="s">
        <v>178</v>
      </c>
      <c r="C94" s="3247">
        <v>8.7999999999999995E-2</v>
      </c>
      <c r="D94" s="3247">
        <v>8.7999999999999995E-2</v>
      </c>
      <c r="E94" s="3247">
        <v>9.6000000000000002E-2</v>
      </c>
      <c r="F94" s="3247">
        <v>0.1</v>
      </c>
      <c r="G94" s="3248">
        <v>8.7999999999999995E-2</v>
      </c>
    </row>
    <row r="95" spans="1:7">
      <c r="A95" s="3257" t="s">
        <v>303</v>
      </c>
      <c r="B95" s="3246" t="s">
        <v>188</v>
      </c>
      <c r="C95" s="3247">
        <v>9.6000000000000002E-2</v>
      </c>
      <c r="D95" s="3247">
        <v>9.6000000000000002E-2</v>
      </c>
      <c r="E95" s="3247">
        <v>0.1</v>
      </c>
      <c r="F95" s="3247">
        <v>0.1</v>
      </c>
      <c r="G95" s="3248">
        <v>9.8000000000000004E-2</v>
      </c>
    </row>
    <row r="96" spans="1:7">
      <c r="A96" s="3257" t="s">
        <v>303</v>
      </c>
      <c r="B96" s="3246" t="s">
        <v>197</v>
      </c>
      <c r="C96" s="3247">
        <v>9.7000000000000003E-2</v>
      </c>
      <c r="D96" s="3247">
        <v>9.7000000000000003E-2</v>
      </c>
      <c r="E96" s="3247">
        <v>0.1</v>
      </c>
      <c r="F96" s="3247">
        <v>0.1</v>
      </c>
      <c r="G96" s="3248">
        <v>9.8000000000000004E-2</v>
      </c>
    </row>
    <row r="97" spans="1:7">
      <c r="A97" s="3257" t="s">
        <v>303</v>
      </c>
      <c r="B97" s="3246" t="s">
        <v>204</v>
      </c>
      <c r="C97" s="3247">
        <v>9.6000000000000002E-2</v>
      </c>
      <c r="D97" s="3247">
        <v>9.6000000000000002E-2</v>
      </c>
      <c r="E97" s="3247">
        <v>9.9000000000000005E-2</v>
      </c>
      <c r="F97" s="3247">
        <v>0.1</v>
      </c>
      <c r="G97" s="3248">
        <v>9.8000000000000004E-2</v>
      </c>
    </row>
    <row r="98" spans="1:7">
      <c r="A98" s="3257" t="s">
        <v>303</v>
      </c>
      <c r="B98" s="3246" t="s">
        <v>211</v>
      </c>
      <c r="C98" s="3247">
        <v>9.8000000000000004E-2</v>
      </c>
      <c r="D98" s="3247">
        <v>9.8000000000000004E-2</v>
      </c>
      <c r="E98" s="3247">
        <v>0.1</v>
      </c>
      <c r="F98" s="3247">
        <v>0.1</v>
      </c>
      <c r="G98" s="3248">
        <v>9.9000000000000005E-2</v>
      </c>
    </row>
    <row r="99" spans="1:7">
      <c r="A99" s="3257" t="s">
        <v>303</v>
      </c>
      <c r="B99" s="3246" t="s">
        <v>217</v>
      </c>
      <c r="C99" s="3247">
        <v>9.6000000000000002E-2</v>
      </c>
      <c r="D99" s="3247">
        <v>9.6000000000000002E-2</v>
      </c>
      <c r="E99" s="3247">
        <v>0.1</v>
      </c>
      <c r="F99" s="3247">
        <v>0.1</v>
      </c>
      <c r="G99" s="3248">
        <v>9.7000000000000003E-2</v>
      </c>
    </row>
    <row r="100" spans="1:7">
      <c r="A100" s="3257" t="s">
        <v>303</v>
      </c>
      <c r="B100" s="3246" t="s">
        <v>225</v>
      </c>
      <c r="C100" s="3247">
        <v>0.1</v>
      </c>
      <c r="D100" s="3247">
        <v>0.1</v>
      </c>
      <c r="E100" s="3247">
        <v>9.7000000000000003E-2</v>
      </c>
      <c r="F100" s="3247">
        <v>9.8000000000000004E-2</v>
      </c>
      <c r="G100" s="3248">
        <v>0.1</v>
      </c>
    </row>
    <row r="101" spans="1:7">
      <c r="A101" s="3257" t="s">
        <v>303</v>
      </c>
      <c r="B101" s="3246" t="s">
        <v>233</v>
      </c>
      <c r="C101" s="3247">
        <v>0.1</v>
      </c>
      <c r="D101" s="3247">
        <v>0.1</v>
      </c>
      <c r="E101" s="3247">
        <v>9.5000000000000001E-2</v>
      </c>
      <c r="F101" s="3247">
        <v>0.1</v>
      </c>
      <c r="G101" s="3248">
        <v>0.1</v>
      </c>
    </row>
    <row r="102" spans="1:7">
      <c r="A102" s="3257" t="s">
        <v>303</v>
      </c>
      <c r="B102" s="3246" t="s">
        <v>238</v>
      </c>
      <c r="C102" s="3247">
        <v>0.1</v>
      </c>
      <c r="D102" s="3247">
        <v>0.1</v>
      </c>
      <c r="E102" s="3247">
        <v>9.9000000000000005E-2</v>
      </c>
      <c r="F102" s="3247">
        <v>9.7000000000000003E-2</v>
      </c>
      <c r="G102" s="3248">
        <v>0.1</v>
      </c>
    </row>
    <row r="103" spans="1:7">
      <c r="A103" s="3257" t="s">
        <v>303</v>
      </c>
      <c r="B103" s="3246" t="s">
        <v>247</v>
      </c>
      <c r="C103" s="3247">
        <v>0.1</v>
      </c>
      <c r="D103" s="3247">
        <v>0.1</v>
      </c>
      <c r="E103" s="3247">
        <v>9.8000000000000004E-2</v>
      </c>
      <c r="F103" s="3247">
        <v>0.1</v>
      </c>
      <c r="G103" s="3248">
        <v>0.1</v>
      </c>
    </row>
    <row r="104" spans="1:7">
      <c r="A104" s="3257" t="s">
        <v>303</v>
      </c>
      <c r="B104" s="3246" t="s">
        <v>254</v>
      </c>
      <c r="C104" s="3247">
        <v>0.1</v>
      </c>
      <c r="D104" s="3247">
        <v>0.1</v>
      </c>
      <c r="E104" s="3247">
        <v>9.8000000000000004E-2</v>
      </c>
      <c r="F104" s="3247">
        <v>0.1</v>
      </c>
      <c r="G104" s="3248">
        <v>0.1</v>
      </c>
    </row>
    <row r="105" spans="1:7">
      <c r="A105" s="3257" t="s">
        <v>303</v>
      </c>
      <c r="B105" s="3246" t="s">
        <v>262</v>
      </c>
      <c r="C105" s="3247">
        <v>9.8000000000000004E-2</v>
      </c>
      <c r="D105" s="3247">
        <v>9.8000000000000004E-2</v>
      </c>
      <c r="E105" s="3247">
        <v>9.8000000000000004E-2</v>
      </c>
      <c r="F105" s="3247">
        <v>0.1</v>
      </c>
      <c r="G105" s="3248">
        <v>9.9000000000000005E-2</v>
      </c>
    </row>
    <row r="106" spans="1:7">
      <c r="A106" s="3257" t="s">
        <v>303</v>
      </c>
      <c r="B106" s="3246" t="s">
        <v>269</v>
      </c>
      <c r="C106" s="3247">
        <v>9.7000000000000003E-2</v>
      </c>
      <c r="D106" s="3247">
        <v>9.7000000000000003E-2</v>
      </c>
      <c r="E106" s="3247">
        <v>9.7000000000000003E-2</v>
      </c>
      <c r="F106" s="3247">
        <v>0.1</v>
      </c>
      <c r="G106" s="3248">
        <v>9.9000000000000005E-2</v>
      </c>
    </row>
    <row r="107" spans="1:7">
      <c r="A107" s="3257" t="s">
        <v>303</v>
      </c>
      <c r="B107" s="3246" t="s">
        <v>273</v>
      </c>
      <c r="C107" s="3247">
        <v>0.1</v>
      </c>
      <c r="D107" s="3247">
        <v>0.1</v>
      </c>
      <c r="E107" s="3247">
        <v>8.5999999999999993E-2</v>
      </c>
      <c r="F107" s="3247">
        <v>0.09</v>
      </c>
      <c r="G107" s="3248">
        <v>0.1</v>
      </c>
    </row>
    <row r="108" spans="1:7">
      <c r="A108" s="3257" t="s">
        <v>303</v>
      </c>
      <c r="B108" s="3246" t="s">
        <v>279</v>
      </c>
      <c r="C108" s="3247">
        <v>0.1</v>
      </c>
      <c r="D108" s="3247">
        <v>0.1</v>
      </c>
      <c r="E108" s="3247">
        <v>9.6000000000000002E-2</v>
      </c>
      <c r="F108" s="3258"/>
      <c r="G108" s="3248">
        <v>0.1</v>
      </c>
    </row>
    <row r="109" spans="1:7">
      <c r="A109" s="3257" t="s">
        <v>303</v>
      </c>
      <c r="B109" s="3246" t="s">
        <v>282</v>
      </c>
      <c r="C109" s="3247">
        <v>0.1</v>
      </c>
      <c r="D109" s="3247">
        <v>0.1</v>
      </c>
      <c r="E109" s="3247">
        <v>0.1</v>
      </c>
      <c r="F109" s="3258"/>
      <c r="G109" s="3248">
        <v>0.1</v>
      </c>
    </row>
    <row r="110" spans="1:7">
      <c r="A110" s="3257" t="s">
        <v>303</v>
      </c>
      <c r="B110" s="3246" t="s">
        <v>284</v>
      </c>
      <c r="C110" s="3247">
        <v>0.1</v>
      </c>
      <c r="D110" s="3247">
        <v>0.1</v>
      </c>
      <c r="E110" s="3247">
        <v>0.1</v>
      </c>
      <c r="F110" s="3258"/>
      <c r="G110" s="3248">
        <v>0.1</v>
      </c>
    </row>
    <row r="111" spans="1:7">
      <c r="A111" s="3257" t="s">
        <v>303</v>
      </c>
      <c r="B111" s="3246" t="s">
        <v>287</v>
      </c>
      <c r="C111" s="3247">
        <v>0.1</v>
      </c>
      <c r="D111" s="3247">
        <v>0.1</v>
      </c>
      <c r="E111" s="3247">
        <v>9.5000000000000001E-2</v>
      </c>
      <c r="F111" s="3258"/>
      <c r="G111" s="3248">
        <v>0.1</v>
      </c>
    </row>
    <row r="112" spans="1:7">
      <c r="A112" s="3257" t="s">
        <v>303</v>
      </c>
      <c r="B112" s="3246" t="s">
        <v>291</v>
      </c>
      <c r="C112" s="3247">
        <v>9.7000000000000003E-2</v>
      </c>
      <c r="D112" s="3247">
        <v>9.7000000000000003E-2</v>
      </c>
      <c r="E112" s="3247">
        <v>0.05</v>
      </c>
      <c r="F112" s="3258"/>
      <c r="G112" s="3248">
        <v>9.8000000000000004E-2</v>
      </c>
    </row>
    <row r="113" spans="1:7">
      <c r="A113" s="3257" t="s">
        <v>303</v>
      </c>
      <c r="B113" s="3246" t="s">
        <v>2957</v>
      </c>
      <c r="C113" s="3247">
        <v>0.1</v>
      </c>
      <c r="D113" s="3247">
        <v>0.1</v>
      </c>
      <c r="E113" s="3258"/>
      <c r="F113" s="3258"/>
      <c r="G113" s="3248">
        <v>0.1</v>
      </c>
    </row>
    <row r="114" spans="1:7">
      <c r="A114" s="3257" t="s">
        <v>303</v>
      </c>
      <c r="B114" s="3246" t="s">
        <v>2964</v>
      </c>
      <c r="C114" s="3247">
        <v>9.7000000000000003E-2</v>
      </c>
      <c r="D114" s="3247">
        <v>9.7000000000000003E-2</v>
      </c>
      <c r="E114" s="3258"/>
      <c r="F114" s="3258"/>
      <c r="G114" s="3248">
        <v>9.9000000000000005E-2</v>
      </c>
    </row>
    <row r="115" spans="1:7">
      <c r="A115" s="3257" t="s">
        <v>303</v>
      </c>
      <c r="B115" s="3246" t="s">
        <v>2970</v>
      </c>
      <c r="C115" s="3247">
        <v>0.1</v>
      </c>
      <c r="D115" s="3247">
        <v>0.1</v>
      </c>
      <c r="E115" s="3258"/>
      <c r="F115" s="3258"/>
      <c r="G115" s="3248">
        <v>0.1</v>
      </c>
    </row>
    <row r="116" spans="1:7">
      <c r="A116" s="3257" t="s">
        <v>303</v>
      </c>
      <c r="B116" s="3246" t="s">
        <v>2977</v>
      </c>
      <c r="C116" s="3247">
        <v>0.1</v>
      </c>
      <c r="D116" s="3247">
        <v>0.1</v>
      </c>
      <c r="E116" s="3258"/>
      <c r="F116" s="3258"/>
      <c r="G116" s="3248">
        <v>0.1</v>
      </c>
    </row>
    <row r="117" spans="1:7">
      <c r="A117" s="3257" t="s">
        <v>303</v>
      </c>
      <c r="B117" s="3246" t="s">
        <v>2984</v>
      </c>
      <c r="C117" s="3247">
        <v>9.7000000000000003E-2</v>
      </c>
      <c r="D117" s="3247">
        <v>9.7000000000000003E-2</v>
      </c>
      <c r="E117" s="3258"/>
      <c r="F117" s="3258"/>
      <c r="G117" s="3248">
        <v>9.7000000000000003E-2</v>
      </c>
    </row>
    <row r="118" spans="1:7">
      <c r="A118" s="3257" t="s">
        <v>303</v>
      </c>
      <c r="B118" s="3246" t="s">
        <v>2989</v>
      </c>
      <c r="C118" s="3247">
        <v>0.1</v>
      </c>
      <c r="D118" s="3247">
        <v>0.1</v>
      </c>
      <c r="E118" s="3258"/>
      <c r="F118" s="3258"/>
      <c r="G118" s="3248">
        <v>0.1</v>
      </c>
    </row>
    <row r="119" spans="1:7">
      <c r="A119" s="3257" t="s">
        <v>303</v>
      </c>
      <c r="B119" s="3246" t="s">
        <v>2993</v>
      </c>
      <c r="C119" s="3247">
        <v>5.0999999999999997E-2</v>
      </c>
      <c r="D119" s="3247">
        <v>5.1999999999999998E-2</v>
      </c>
      <c r="E119" s="3258"/>
      <c r="F119" s="3263"/>
      <c r="G119" s="3248">
        <v>0.06</v>
      </c>
    </row>
    <row r="120" spans="1:7">
      <c r="A120" s="3257" t="s">
        <v>303</v>
      </c>
      <c r="B120" s="3246" t="s">
        <v>2997</v>
      </c>
      <c r="C120" s="3258"/>
      <c r="D120" s="3258"/>
      <c r="E120" s="3258"/>
      <c r="F120" s="3247">
        <v>0.1</v>
      </c>
      <c r="G120" s="3264"/>
    </row>
    <row r="121" spans="1:7">
      <c r="A121" s="3257" t="s">
        <v>303</v>
      </c>
      <c r="B121" s="3246" t="s">
        <v>3002</v>
      </c>
      <c r="C121" s="3258"/>
      <c r="D121" s="3258"/>
      <c r="E121" s="3258"/>
      <c r="F121" s="3247">
        <v>0.1</v>
      </c>
      <c r="G121" s="3264"/>
    </row>
    <row r="122" spans="1:7">
      <c r="A122" s="3257" t="s">
        <v>303</v>
      </c>
      <c r="B122" s="3246" t="s">
        <v>3007</v>
      </c>
      <c r="C122" s="3247">
        <v>0.1</v>
      </c>
      <c r="D122" s="3247">
        <v>0.1</v>
      </c>
      <c r="E122" s="3247">
        <v>9.8000000000000004E-2</v>
      </c>
      <c r="F122" s="3247">
        <v>0.1</v>
      </c>
      <c r="G122" s="3248">
        <v>0.1</v>
      </c>
    </row>
    <row r="123" spans="1:7">
      <c r="A123" s="3257" t="s">
        <v>303</v>
      </c>
      <c r="B123" s="3246" t="s">
        <v>3012</v>
      </c>
      <c r="C123" s="3247">
        <v>0.1</v>
      </c>
      <c r="D123" s="3247">
        <v>0.1</v>
      </c>
      <c r="E123" s="3247">
        <v>9.8000000000000004E-2</v>
      </c>
      <c r="F123" s="3247">
        <v>0.1</v>
      </c>
      <c r="G123" s="3248">
        <v>0.1</v>
      </c>
    </row>
    <row r="124" spans="1:7">
      <c r="A124" s="3257" t="s">
        <v>303</v>
      </c>
      <c r="B124" s="3246" t="s">
        <v>3017</v>
      </c>
      <c r="C124" s="3247">
        <v>0.1</v>
      </c>
      <c r="D124" s="3247">
        <v>0.1</v>
      </c>
      <c r="E124" s="3247">
        <v>9.8000000000000004E-2</v>
      </c>
      <c r="F124" s="3263"/>
      <c r="G124" s="3248">
        <v>0.1</v>
      </c>
    </row>
    <row r="125" spans="1:7">
      <c r="A125" s="3257" t="s">
        <v>303</v>
      </c>
      <c r="B125" s="3246" t="s">
        <v>3022</v>
      </c>
      <c r="C125" s="3247">
        <v>9.8000000000000004E-2</v>
      </c>
      <c r="D125" s="3247">
        <v>9.8000000000000004E-2</v>
      </c>
      <c r="E125" s="3247">
        <v>9.6000000000000002E-2</v>
      </c>
      <c r="F125" s="3263"/>
      <c r="G125" s="3248">
        <v>0.1</v>
      </c>
    </row>
    <row r="126" spans="1:7" ht="14.25" thickBot="1">
      <c r="A126" s="3260" t="s">
        <v>303</v>
      </c>
      <c r="B126" s="3250" t="s">
        <v>3188</v>
      </c>
      <c r="C126" s="3251">
        <v>0.1</v>
      </c>
      <c r="D126" s="3251">
        <v>0.1</v>
      </c>
      <c r="E126" s="3251">
        <v>9.8000000000000004E-2</v>
      </c>
      <c r="F126" s="3251">
        <v>0.1</v>
      </c>
      <c r="G126" s="3253">
        <v>0.1</v>
      </c>
    </row>
    <row r="127" spans="1:7">
      <c r="A127" s="3256" t="s">
        <v>29</v>
      </c>
      <c r="B127" s="3242" t="s">
        <v>2865</v>
      </c>
      <c r="C127" s="3243">
        <v>0.121</v>
      </c>
      <c r="D127" s="3243">
        <v>0.121</v>
      </c>
      <c r="E127" s="3243">
        <v>0.107</v>
      </c>
      <c r="F127" s="3243">
        <v>0.13</v>
      </c>
      <c r="G127" s="3244">
        <v>0.122</v>
      </c>
    </row>
    <row r="128" spans="1:7">
      <c r="A128" s="3257" t="s">
        <v>29</v>
      </c>
      <c r="B128" s="3246" t="s">
        <v>132</v>
      </c>
      <c r="C128" s="3247">
        <v>0.11600000000000001</v>
      </c>
      <c r="D128" s="3247">
        <v>0.11700000000000001</v>
      </c>
      <c r="E128" s="3247">
        <v>0.104</v>
      </c>
      <c r="F128" s="3247">
        <v>0.13</v>
      </c>
      <c r="G128" s="3248">
        <v>0.11700000000000001</v>
      </c>
    </row>
    <row r="129" spans="1:7">
      <c r="A129" s="3257" t="s">
        <v>29</v>
      </c>
      <c r="B129" s="3246" t="s">
        <v>141</v>
      </c>
      <c r="C129" s="3247">
        <v>0.107</v>
      </c>
      <c r="D129" s="3247">
        <v>0.108</v>
      </c>
      <c r="E129" s="3247">
        <v>0.1</v>
      </c>
      <c r="F129" s="3247">
        <v>0.13</v>
      </c>
      <c r="G129" s="3248">
        <v>0.11700000000000001</v>
      </c>
    </row>
    <row r="130" spans="1:7">
      <c r="A130" s="3257" t="s">
        <v>29</v>
      </c>
      <c r="B130" s="3246" t="s">
        <v>150</v>
      </c>
      <c r="C130" s="3247">
        <v>0.13</v>
      </c>
      <c r="D130" s="3247">
        <v>0.13</v>
      </c>
      <c r="E130" s="3247">
        <v>0.126</v>
      </c>
      <c r="F130" s="3247">
        <v>0.13</v>
      </c>
      <c r="G130" s="3248">
        <v>0.13</v>
      </c>
    </row>
    <row r="131" spans="1:7">
      <c r="A131" s="3257" t="s">
        <v>29</v>
      </c>
      <c r="B131" s="3246" t="s">
        <v>159</v>
      </c>
      <c r="C131" s="3247">
        <v>0.13</v>
      </c>
      <c r="D131" s="3247">
        <v>0.13</v>
      </c>
      <c r="E131" s="3247">
        <v>0.13</v>
      </c>
      <c r="F131" s="3247">
        <v>0.13</v>
      </c>
      <c r="G131" s="3248">
        <v>0.13</v>
      </c>
    </row>
    <row r="132" spans="1:7">
      <c r="A132" s="3257" t="s">
        <v>29</v>
      </c>
      <c r="B132" s="3246" t="s">
        <v>166</v>
      </c>
      <c r="C132" s="3247">
        <v>0.13</v>
      </c>
      <c r="D132" s="3247">
        <v>0.13</v>
      </c>
      <c r="E132" s="3247">
        <v>0.126</v>
      </c>
      <c r="F132" s="3247">
        <v>0.13</v>
      </c>
      <c r="G132" s="3248">
        <v>0.13</v>
      </c>
    </row>
    <row r="133" spans="1:7">
      <c r="A133" s="3257" t="s">
        <v>29</v>
      </c>
      <c r="B133" s="3246" t="s">
        <v>172</v>
      </c>
      <c r="C133" s="3247">
        <v>0.111</v>
      </c>
      <c r="D133" s="3247">
        <v>0.111</v>
      </c>
      <c r="E133" s="3247">
        <v>0.10199999999999999</v>
      </c>
      <c r="F133" s="3247">
        <v>0.13</v>
      </c>
      <c r="G133" s="3248">
        <v>0.121</v>
      </c>
    </row>
    <row r="134" spans="1:7">
      <c r="A134" s="3257" t="s">
        <v>29</v>
      </c>
      <c r="B134" s="3246" t="s">
        <v>179</v>
      </c>
      <c r="C134" s="3247">
        <v>0.121</v>
      </c>
      <c r="D134" s="3247">
        <v>0.121</v>
      </c>
      <c r="E134" s="3247">
        <v>0.1</v>
      </c>
      <c r="F134" s="3247">
        <v>0.13</v>
      </c>
      <c r="G134" s="3248">
        <v>0.123</v>
      </c>
    </row>
    <row r="135" spans="1:7">
      <c r="A135" s="3257" t="s">
        <v>29</v>
      </c>
      <c r="B135" s="3246" t="s">
        <v>189</v>
      </c>
      <c r="C135" s="3247">
        <v>0.105</v>
      </c>
      <c r="D135" s="3247">
        <v>0.106</v>
      </c>
      <c r="E135" s="3247">
        <v>0.1</v>
      </c>
      <c r="F135" s="3247">
        <v>0.13</v>
      </c>
      <c r="G135" s="3248">
        <v>0.115</v>
      </c>
    </row>
    <row r="136" spans="1:7">
      <c r="A136" s="3257" t="s">
        <v>29</v>
      </c>
      <c r="B136" s="3246" t="s">
        <v>198</v>
      </c>
      <c r="C136" s="3247">
        <v>0.127</v>
      </c>
      <c r="D136" s="3247">
        <v>0.127</v>
      </c>
      <c r="E136" s="3247">
        <v>0.121</v>
      </c>
      <c r="F136" s="3247">
        <v>0.123</v>
      </c>
      <c r="G136" s="3248">
        <v>0.129</v>
      </c>
    </row>
    <row r="137" spans="1:7">
      <c r="A137" s="3257" t="s">
        <v>29</v>
      </c>
      <c r="B137" s="3246" t="s">
        <v>205</v>
      </c>
      <c r="C137" s="3247">
        <v>0.13</v>
      </c>
      <c r="D137" s="3247">
        <v>0.13</v>
      </c>
      <c r="E137" s="3247">
        <v>0.129</v>
      </c>
      <c r="F137" s="3247">
        <v>0.13</v>
      </c>
      <c r="G137" s="3248">
        <v>0.13</v>
      </c>
    </row>
    <row r="138" spans="1:7">
      <c r="A138" s="3257" t="s">
        <v>29</v>
      </c>
      <c r="B138" s="3246" t="s">
        <v>212</v>
      </c>
      <c r="C138" s="3247">
        <v>0.13</v>
      </c>
      <c r="D138" s="3247">
        <v>0.13</v>
      </c>
      <c r="E138" s="3247">
        <v>0.125</v>
      </c>
      <c r="F138" s="3247">
        <v>0.13</v>
      </c>
      <c r="G138" s="3248">
        <v>0.13</v>
      </c>
    </row>
    <row r="139" spans="1:7">
      <c r="A139" s="3257" t="s">
        <v>29</v>
      </c>
      <c r="B139" s="3246" t="s">
        <v>218</v>
      </c>
      <c r="C139" s="3247">
        <v>0.13</v>
      </c>
      <c r="D139" s="3247">
        <v>0.13</v>
      </c>
      <c r="E139" s="3247">
        <v>0.126</v>
      </c>
      <c r="F139" s="3247">
        <v>0.13</v>
      </c>
      <c r="G139" s="3248">
        <v>0.13</v>
      </c>
    </row>
    <row r="140" spans="1:7">
      <c r="A140" s="3257" t="s">
        <v>29</v>
      </c>
      <c r="B140" s="3246" t="s">
        <v>226</v>
      </c>
      <c r="C140" s="3247">
        <v>0.1</v>
      </c>
      <c r="D140" s="3247">
        <v>0.1</v>
      </c>
      <c r="E140" s="3247">
        <v>0.1</v>
      </c>
      <c r="F140" s="3247">
        <v>0.123</v>
      </c>
      <c r="G140" s="3248">
        <v>0.107</v>
      </c>
    </row>
    <row r="141" spans="1:7">
      <c r="A141" s="3257" t="s">
        <v>29</v>
      </c>
      <c r="B141" s="3246" t="s">
        <v>234</v>
      </c>
      <c r="C141" s="3247">
        <v>0.127</v>
      </c>
      <c r="D141" s="3247">
        <v>0.127</v>
      </c>
      <c r="E141" s="3247">
        <v>0.122</v>
      </c>
      <c r="F141" s="3247">
        <v>0.1</v>
      </c>
      <c r="G141" s="3248">
        <v>0.129</v>
      </c>
    </row>
    <row r="142" spans="1:7">
      <c r="A142" s="3257" t="s">
        <v>29</v>
      </c>
      <c r="B142" s="3246" t="s">
        <v>239</v>
      </c>
      <c r="C142" s="3247">
        <v>0.121</v>
      </c>
      <c r="D142" s="3247">
        <v>0.122</v>
      </c>
      <c r="E142" s="3247">
        <v>0.1</v>
      </c>
      <c r="F142" s="3247">
        <v>0.123</v>
      </c>
      <c r="G142" s="3248">
        <v>0.123</v>
      </c>
    </row>
    <row r="143" spans="1:7">
      <c r="A143" s="3257" t="s">
        <v>29</v>
      </c>
      <c r="B143" s="3246" t="s">
        <v>248</v>
      </c>
      <c r="C143" s="3247">
        <v>0.1</v>
      </c>
      <c r="D143" s="3247">
        <v>0.1</v>
      </c>
      <c r="E143" s="3247">
        <v>0.1</v>
      </c>
      <c r="F143" s="3247">
        <v>0.13</v>
      </c>
      <c r="G143" s="3248">
        <v>0.1</v>
      </c>
    </row>
    <row r="144" spans="1:7">
      <c r="A144" s="3257" t="s">
        <v>29</v>
      </c>
      <c r="B144" s="3246" t="s">
        <v>255</v>
      </c>
      <c r="C144" s="3247">
        <v>0.106</v>
      </c>
      <c r="D144" s="3247">
        <v>0.105</v>
      </c>
      <c r="E144" s="3247">
        <v>0.1</v>
      </c>
      <c r="F144" s="3247">
        <v>0.13</v>
      </c>
      <c r="G144" s="3248">
        <v>0.11799999999999999</v>
      </c>
    </row>
    <row r="145" spans="1:7">
      <c r="A145" s="3257" t="s">
        <v>29</v>
      </c>
      <c r="B145" s="3246" t="s">
        <v>263</v>
      </c>
      <c r="C145" s="3247">
        <v>0.123</v>
      </c>
      <c r="D145" s="3247">
        <v>0.123</v>
      </c>
      <c r="E145" s="3247">
        <v>0.11700000000000001</v>
      </c>
      <c r="F145" s="3247">
        <v>0.13</v>
      </c>
      <c r="G145" s="3248">
        <v>0.126</v>
      </c>
    </row>
    <row r="146" spans="1:7">
      <c r="A146" s="3257" t="s">
        <v>29</v>
      </c>
      <c r="B146" s="3246" t="s">
        <v>270</v>
      </c>
      <c r="C146" s="3247">
        <v>0.127</v>
      </c>
      <c r="D146" s="3247">
        <v>0.127</v>
      </c>
      <c r="E146" s="3247">
        <v>0.12</v>
      </c>
      <c r="F146" s="3258"/>
      <c r="G146" s="3248">
        <v>0.129</v>
      </c>
    </row>
    <row r="147" spans="1:7">
      <c r="A147" s="3257" t="s">
        <v>29</v>
      </c>
      <c r="B147" s="3246" t="s">
        <v>274</v>
      </c>
      <c r="C147" s="3247">
        <v>0.13</v>
      </c>
      <c r="D147" s="3247">
        <v>0.13</v>
      </c>
      <c r="E147" s="3247">
        <v>0.126</v>
      </c>
      <c r="F147" s="3258"/>
      <c r="G147" s="3248">
        <v>0.13</v>
      </c>
    </row>
    <row r="148" spans="1:7">
      <c r="A148" s="3257" t="s">
        <v>29</v>
      </c>
      <c r="B148" s="3246" t="s">
        <v>2935</v>
      </c>
      <c r="C148" s="3247">
        <v>0.13</v>
      </c>
      <c r="D148" s="3247">
        <v>0.13</v>
      </c>
      <c r="E148" s="3247">
        <v>0.13</v>
      </c>
      <c r="F148" s="3258"/>
      <c r="G148" s="3248">
        <v>0.13</v>
      </c>
    </row>
    <row r="149" spans="1:7">
      <c r="A149" s="3257" t="s">
        <v>29</v>
      </c>
      <c r="B149" s="3246" t="s">
        <v>2939</v>
      </c>
      <c r="C149" s="3247">
        <v>0.13</v>
      </c>
      <c r="D149" s="3247">
        <v>0.13</v>
      </c>
      <c r="E149" s="3247">
        <v>0.13</v>
      </c>
      <c r="F149" s="3247">
        <v>0.13</v>
      </c>
      <c r="G149" s="3248">
        <v>0.13</v>
      </c>
    </row>
    <row r="150" spans="1:7">
      <c r="A150" s="3257" t="s">
        <v>29</v>
      </c>
      <c r="B150" s="3246" t="s">
        <v>292</v>
      </c>
      <c r="C150" s="3247">
        <v>0.13</v>
      </c>
      <c r="D150" s="3247">
        <v>0.13</v>
      </c>
      <c r="E150" s="3247">
        <v>0.127</v>
      </c>
      <c r="F150" s="3247">
        <v>0.13</v>
      </c>
      <c r="G150" s="3248">
        <v>0.13</v>
      </c>
    </row>
    <row r="151" spans="1:7">
      <c r="A151" s="3257" t="s">
        <v>29</v>
      </c>
      <c r="B151" s="3246" t="s">
        <v>294</v>
      </c>
      <c r="C151" s="3247">
        <v>0.13</v>
      </c>
      <c r="D151" s="3247">
        <v>0.13</v>
      </c>
      <c r="E151" s="3247">
        <v>0.13</v>
      </c>
      <c r="F151" s="3247">
        <v>0.13</v>
      </c>
      <c r="G151" s="3248">
        <v>0.13</v>
      </c>
    </row>
    <row r="152" spans="1:7">
      <c r="A152" s="3257" t="s">
        <v>29</v>
      </c>
      <c r="B152" s="3246" t="s">
        <v>297</v>
      </c>
      <c r="C152" s="3247">
        <v>0.13</v>
      </c>
      <c r="D152" s="3247">
        <v>0.13</v>
      </c>
      <c r="E152" s="3247">
        <v>0.13</v>
      </c>
      <c r="F152" s="3247">
        <v>0.13</v>
      </c>
      <c r="G152" s="3248">
        <v>0.13</v>
      </c>
    </row>
    <row r="153" spans="1:7">
      <c r="A153" s="3257" t="s">
        <v>29</v>
      </c>
      <c r="B153" s="3246" t="s">
        <v>2958</v>
      </c>
      <c r="C153" s="3247">
        <v>0.13</v>
      </c>
      <c r="D153" s="3247">
        <v>0.13</v>
      </c>
      <c r="E153" s="3247">
        <v>0.13</v>
      </c>
      <c r="F153" s="3247">
        <v>0.13</v>
      </c>
      <c r="G153" s="3248">
        <v>0.13</v>
      </c>
    </row>
    <row r="154" spans="1:7">
      <c r="A154" s="3257" t="s">
        <v>29</v>
      </c>
      <c r="B154" s="3246" t="s">
        <v>2965</v>
      </c>
      <c r="C154" s="3247">
        <v>0.121</v>
      </c>
      <c r="D154" s="3247">
        <v>0.121</v>
      </c>
      <c r="E154" s="3247">
        <v>0.105</v>
      </c>
      <c r="F154" s="3247">
        <v>0.121</v>
      </c>
      <c r="G154" s="3248">
        <v>0.123</v>
      </c>
    </row>
    <row r="155" spans="1:7">
      <c r="A155" s="3257" t="s">
        <v>29</v>
      </c>
      <c r="B155" s="3246" t="s">
        <v>2971</v>
      </c>
      <c r="C155" s="3247">
        <v>0.1</v>
      </c>
      <c r="D155" s="3247">
        <v>0.1</v>
      </c>
      <c r="E155" s="3247">
        <v>0.1</v>
      </c>
      <c r="F155" s="3247">
        <v>0.1</v>
      </c>
      <c r="G155" s="3248">
        <v>0.1</v>
      </c>
    </row>
    <row r="156" spans="1:7">
      <c r="A156" s="3257" t="s">
        <v>29</v>
      </c>
      <c r="B156" s="3246" t="s">
        <v>2978</v>
      </c>
      <c r="C156" s="3247">
        <v>0.13</v>
      </c>
      <c r="D156" s="3247">
        <v>0.13</v>
      </c>
      <c r="E156" s="3247">
        <v>0.13</v>
      </c>
      <c r="F156" s="3247">
        <v>0.13</v>
      </c>
      <c r="G156" s="3248">
        <v>0.13</v>
      </c>
    </row>
    <row r="157" spans="1:7">
      <c r="A157" s="3257" t="s">
        <v>29</v>
      </c>
      <c r="B157" s="3246" t="s">
        <v>300</v>
      </c>
      <c r="C157" s="3247">
        <v>0.13</v>
      </c>
      <c r="D157" s="3247">
        <v>0.13</v>
      </c>
      <c r="E157" s="3247">
        <v>0.125</v>
      </c>
      <c r="F157" s="3247">
        <v>0.13</v>
      </c>
      <c r="G157" s="3248">
        <v>0.13</v>
      </c>
    </row>
    <row r="158" spans="1:7">
      <c r="A158" s="3257" t="s">
        <v>29</v>
      </c>
      <c r="B158" s="3246" t="s">
        <v>301</v>
      </c>
      <c r="C158" s="3247">
        <v>0.124</v>
      </c>
      <c r="D158" s="3247">
        <v>0.124</v>
      </c>
      <c r="E158" s="3247">
        <v>0.11700000000000001</v>
      </c>
      <c r="F158" s="3247">
        <v>0.121</v>
      </c>
      <c r="G158" s="3248">
        <v>0.124</v>
      </c>
    </row>
    <row r="159" spans="1:7">
      <c r="A159" s="3257" t="s">
        <v>29</v>
      </c>
      <c r="B159" s="3246" t="s">
        <v>302</v>
      </c>
      <c r="C159" s="3247">
        <v>0.127</v>
      </c>
      <c r="D159" s="3247">
        <v>0.127</v>
      </c>
      <c r="E159" s="3247">
        <v>0.122</v>
      </c>
      <c r="F159" s="3247">
        <v>0.13</v>
      </c>
      <c r="G159" s="3248">
        <v>0.129</v>
      </c>
    </row>
    <row r="160" spans="1:7">
      <c r="A160" s="3257" t="s">
        <v>29</v>
      </c>
      <c r="B160" s="3246" t="s">
        <v>2998</v>
      </c>
      <c r="C160" s="3247">
        <v>0.13</v>
      </c>
      <c r="D160" s="3247">
        <v>0.13</v>
      </c>
      <c r="E160" s="3247">
        <v>0.124</v>
      </c>
      <c r="F160" s="3247">
        <v>0.126</v>
      </c>
      <c r="G160" s="3248">
        <v>0.13</v>
      </c>
    </row>
    <row r="161" spans="1:7">
      <c r="A161" s="3257" t="s">
        <v>29</v>
      </c>
      <c r="B161" s="3246" t="s">
        <v>3003</v>
      </c>
      <c r="C161" s="3247">
        <v>0.13</v>
      </c>
      <c r="D161" s="3247">
        <v>0.13</v>
      </c>
      <c r="E161" s="3247">
        <v>0.124</v>
      </c>
      <c r="F161" s="3247">
        <v>0.127</v>
      </c>
      <c r="G161" s="3248">
        <v>0.13</v>
      </c>
    </row>
    <row r="162" spans="1:7">
      <c r="A162" s="3257" t="s">
        <v>29</v>
      </c>
      <c r="B162" s="3246" t="s">
        <v>3008</v>
      </c>
      <c r="C162" s="3247">
        <v>0.1</v>
      </c>
      <c r="D162" s="3247">
        <v>0.1</v>
      </c>
      <c r="E162" s="3247">
        <v>0.1</v>
      </c>
      <c r="F162" s="3247">
        <v>0.121</v>
      </c>
      <c r="G162" s="3248">
        <v>0.105</v>
      </c>
    </row>
    <row r="163" spans="1:7">
      <c r="A163" s="3257" t="s">
        <v>29</v>
      </c>
      <c r="B163" s="3246" t="s">
        <v>3013</v>
      </c>
      <c r="C163" s="3247">
        <v>0.1</v>
      </c>
      <c r="D163" s="3247">
        <v>0.1</v>
      </c>
      <c r="E163" s="3247">
        <v>0.1</v>
      </c>
      <c r="F163" s="3247">
        <v>0.1</v>
      </c>
      <c r="G163" s="3248">
        <v>0.1</v>
      </c>
    </row>
    <row r="164" spans="1:7">
      <c r="A164" s="3257" t="s">
        <v>29</v>
      </c>
      <c r="B164" s="3246" t="s">
        <v>3018</v>
      </c>
      <c r="C164" s="3263"/>
      <c r="D164" s="3263"/>
      <c r="E164" s="3263"/>
      <c r="F164" s="3247">
        <v>0.1</v>
      </c>
      <c r="G164" s="3259"/>
    </row>
    <row r="165" spans="1:7">
      <c r="A165" s="3257" t="s">
        <v>29</v>
      </c>
      <c r="B165" s="3246" t="s">
        <v>3189</v>
      </c>
      <c r="C165" s="3247">
        <v>0.126</v>
      </c>
      <c r="D165" s="3247">
        <v>0.126</v>
      </c>
      <c r="E165" s="3247">
        <v>0.11899999999999999</v>
      </c>
      <c r="F165" s="3247">
        <v>0.13</v>
      </c>
      <c r="G165" s="3248">
        <v>0.128</v>
      </c>
    </row>
    <row r="166" spans="1:7">
      <c r="A166" s="3257" t="s">
        <v>29</v>
      </c>
      <c r="B166" s="3246" t="s">
        <v>3028</v>
      </c>
      <c r="C166" s="3247">
        <v>0.129</v>
      </c>
      <c r="D166" s="3247">
        <v>0.129</v>
      </c>
      <c r="E166" s="3247">
        <v>0.123</v>
      </c>
      <c r="F166" s="3247">
        <v>0.128</v>
      </c>
      <c r="G166" s="3248">
        <v>0.13</v>
      </c>
    </row>
    <row r="167" spans="1:7">
      <c r="A167" s="3257" t="s">
        <v>29</v>
      </c>
      <c r="B167" s="3246" t="s">
        <v>3032</v>
      </c>
      <c r="C167" s="3247">
        <v>0.125</v>
      </c>
      <c r="D167" s="3247">
        <v>0.125</v>
      </c>
      <c r="E167" s="3247">
        <v>0.11700000000000001</v>
      </c>
      <c r="F167" s="3247">
        <v>0.13</v>
      </c>
      <c r="G167" s="3248">
        <v>0.126</v>
      </c>
    </row>
    <row r="168" spans="1:7">
      <c r="A168" s="3257" t="s">
        <v>29</v>
      </c>
      <c r="B168" s="3246" t="s">
        <v>3037</v>
      </c>
      <c r="C168" s="3247">
        <v>0.128</v>
      </c>
      <c r="D168" s="3247">
        <v>0.128</v>
      </c>
      <c r="E168" s="3247">
        <v>0.123</v>
      </c>
      <c r="F168" s="3258"/>
      <c r="G168" s="3248">
        <v>0.13</v>
      </c>
    </row>
    <row r="169" spans="1:7">
      <c r="A169" s="3257" t="s">
        <v>29</v>
      </c>
      <c r="B169" s="3246" t="s">
        <v>3190</v>
      </c>
      <c r="C169" s="3263"/>
      <c r="D169" s="3263"/>
      <c r="E169" s="3263"/>
      <c r="F169" s="3247">
        <v>0.05</v>
      </c>
      <c r="G169" s="3259"/>
    </row>
    <row r="170" spans="1:7">
      <c r="A170" s="3257" t="s">
        <v>29</v>
      </c>
      <c r="B170" s="3246" t="s">
        <v>3191</v>
      </c>
      <c r="C170" s="3263"/>
      <c r="D170" s="3263"/>
      <c r="E170" s="3263"/>
      <c r="F170" s="3247">
        <v>0.05</v>
      </c>
      <c r="G170" s="3259"/>
    </row>
    <row r="171" spans="1:7">
      <c r="A171" s="3257" t="s">
        <v>29</v>
      </c>
      <c r="B171" s="3246" t="s">
        <v>3192</v>
      </c>
      <c r="C171" s="3263"/>
      <c r="D171" s="3263"/>
      <c r="E171" s="3263"/>
      <c r="F171" s="3247">
        <v>0.05</v>
      </c>
      <c r="G171" s="3264"/>
    </row>
    <row r="172" spans="1:7">
      <c r="A172" s="3257" t="s">
        <v>29</v>
      </c>
      <c r="B172" s="3246" t="s">
        <v>3193</v>
      </c>
      <c r="C172" s="3263"/>
      <c r="D172" s="3263"/>
      <c r="E172" s="3263"/>
      <c r="F172" s="3247">
        <v>0.05</v>
      </c>
      <c r="G172" s="3264"/>
    </row>
    <row r="173" spans="1:7">
      <c r="A173" s="3257" t="s">
        <v>29</v>
      </c>
      <c r="B173" s="3246" t="s">
        <v>3194</v>
      </c>
      <c r="C173" s="3263"/>
      <c r="D173" s="3263"/>
      <c r="E173" s="3263"/>
      <c r="F173" s="3247">
        <v>0.05</v>
      </c>
      <c r="G173" s="3259"/>
    </row>
    <row r="174" spans="1:7">
      <c r="A174" s="3257" t="s">
        <v>29</v>
      </c>
      <c r="B174" s="3246" t="s">
        <v>3195</v>
      </c>
      <c r="C174" s="3263"/>
      <c r="D174" s="3263"/>
      <c r="E174" s="3263"/>
      <c r="F174" s="3247">
        <v>0.05</v>
      </c>
      <c r="G174" s="3259"/>
    </row>
    <row r="175" spans="1:7">
      <c r="A175" s="3257" t="s">
        <v>29</v>
      </c>
      <c r="B175" s="3246" t="s">
        <v>3196</v>
      </c>
      <c r="C175" s="3263"/>
      <c r="D175" s="3263"/>
      <c r="E175" s="3263"/>
      <c r="F175" s="3247">
        <v>0.05</v>
      </c>
      <c r="G175" s="3259"/>
    </row>
    <row r="176" spans="1:7">
      <c r="A176" s="3257" t="s">
        <v>29</v>
      </c>
      <c r="B176" s="3246" t="s">
        <v>3197</v>
      </c>
      <c r="C176" s="3263"/>
      <c r="D176" s="3263"/>
      <c r="E176" s="3263"/>
      <c r="F176" s="3247">
        <v>0.05</v>
      </c>
      <c r="G176" s="3259"/>
    </row>
    <row r="177" spans="1:7">
      <c r="A177" s="3257" t="s">
        <v>29</v>
      </c>
      <c r="B177" s="3246" t="s">
        <v>3198</v>
      </c>
      <c r="C177" s="3258"/>
      <c r="D177" s="3258"/>
      <c r="E177" s="3258"/>
      <c r="F177" s="3247">
        <v>0.05</v>
      </c>
      <c r="G177" s="3264"/>
    </row>
    <row r="178" spans="1:7">
      <c r="A178" s="3257" t="s">
        <v>29</v>
      </c>
      <c r="B178" s="3246" t="s">
        <v>3199</v>
      </c>
      <c r="C178" s="3258"/>
      <c r="D178" s="3258"/>
      <c r="E178" s="3258"/>
      <c r="F178" s="3247">
        <v>0.05</v>
      </c>
      <c r="G178" s="3264"/>
    </row>
    <row r="179" spans="1:7">
      <c r="A179" s="3257" t="s">
        <v>29</v>
      </c>
      <c r="B179" s="3246" t="s">
        <v>3200</v>
      </c>
      <c r="C179" s="3258"/>
      <c r="D179" s="3258"/>
      <c r="E179" s="3258"/>
      <c r="F179" s="3247">
        <v>0.05</v>
      </c>
      <c r="G179" s="3264"/>
    </row>
    <row r="180" spans="1:7">
      <c r="A180" s="3257" t="s">
        <v>29</v>
      </c>
      <c r="B180" s="3246" t="s">
        <v>3201</v>
      </c>
      <c r="C180" s="3258"/>
      <c r="D180" s="3258"/>
      <c r="E180" s="3258"/>
      <c r="F180" s="3247">
        <v>0.05</v>
      </c>
      <c r="G180" s="3264"/>
    </row>
    <row r="181" spans="1:7">
      <c r="A181" s="3257" t="s">
        <v>29</v>
      </c>
      <c r="B181" s="3246" t="s">
        <v>3202</v>
      </c>
      <c r="C181" s="3258"/>
      <c r="D181" s="3258"/>
      <c r="E181" s="3258"/>
      <c r="F181" s="3247">
        <v>0.05</v>
      </c>
      <c r="G181" s="3264"/>
    </row>
    <row r="182" spans="1:7">
      <c r="A182" s="3257" t="s">
        <v>29</v>
      </c>
      <c r="B182" s="3246" t="s">
        <v>3203</v>
      </c>
      <c r="C182" s="3258"/>
      <c r="D182" s="3258"/>
      <c r="E182" s="3258"/>
      <c r="F182" s="3247">
        <v>0.05</v>
      </c>
      <c r="G182" s="3264"/>
    </row>
    <row r="183" spans="1:7">
      <c r="A183" s="3257" t="s">
        <v>29</v>
      </c>
      <c r="B183" s="3246" t="s">
        <v>3204</v>
      </c>
      <c r="C183" s="3258"/>
      <c r="D183" s="3258"/>
      <c r="E183" s="3258"/>
      <c r="F183" s="3247">
        <v>0.05</v>
      </c>
      <c r="G183" s="3264"/>
    </row>
    <row r="184" spans="1:7">
      <c r="A184" s="3257" t="s">
        <v>29</v>
      </c>
      <c r="B184" s="3246" t="s">
        <v>3205</v>
      </c>
      <c r="C184" s="3258"/>
      <c r="D184" s="3258"/>
      <c r="E184" s="3258"/>
      <c r="F184" s="3247">
        <v>0.05</v>
      </c>
      <c r="G184" s="3264"/>
    </row>
    <row r="185" spans="1:7">
      <c r="A185" s="3257" t="s">
        <v>29</v>
      </c>
      <c r="B185" s="3246" t="s">
        <v>3206</v>
      </c>
      <c r="C185" s="3258"/>
      <c r="D185" s="3258"/>
      <c r="E185" s="3258"/>
      <c r="F185" s="3247">
        <v>0.05</v>
      </c>
      <c r="G185" s="3264"/>
    </row>
    <row r="186" spans="1:7">
      <c r="A186" s="3257" t="s">
        <v>29</v>
      </c>
      <c r="B186" s="3246" t="s">
        <v>3207</v>
      </c>
      <c r="C186" s="3258"/>
      <c r="D186" s="3258"/>
      <c r="E186" s="3258"/>
      <c r="F186" s="3247">
        <v>0.05</v>
      </c>
      <c r="G186" s="3264"/>
    </row>
    <row r="187" spans="1:7">
      <c r="A187" s="3257" t="s">
        <v>29</v>
      </c>
      <c r="B187" s="3246" t="s">
        <v>3208</v>
      </c>
      <c r="C187" s="3258"/>
      <c r="D187" s="3258"/>
      <c r="E187" s="3258"/>
      <c r="F187" s="3247">
        <v>0.05</v>
      </c>
      <c r="G187" s="3264"/>
    </row>
    <row r="188" spans="1:7">
      <c r="A188" s="3257" t="s">
        <v>29</v>
      </c>
      <c r="B188" s="3246" t="s">
        <v>3209</v>
      </c>
      <c r="C188" s="3258"/>
      <c r="D188" s="3258"/>
      <c r="E188" s="3258"/>
      <c r="F188" s="3247">
        <v>0.05</v>
      </c>
      <c r="G188" s="3264"/>
    </row>
    <row r="189" spans="1:7" ht="14.25" thickBot="1">
      <c r="A189" s="3260" t="s">
        <v>29</v>
      </c>
      <c r="B189" s="3250" t="s">
        <v>3210</v>
      </c>
      <c r="C189" s="3252"/>
      <c r="D189" s="3252"/>
      <c r="E189" s="3252"/>
      <c r="F189" s="3251">
        <v>0.05</v>
      </c>
      <c r="G189" s="3265"/>
    </row>
    <row r="190" spans="1:7">
      <c r="A190" s="3256" t="s">
        <v>304</v>
      </c>
      <c r="B190" s="3242" t="s">
        <v>2866</v>
      </c>
      <c r="C190" s="3243">
        <v>0.124</v>
      </c>
      <c r="D190" s="3243">
        <v>0.124</v>
      </c>
      <c r="E190" s="3243">
        <v>0.129</v>
      </c>
      <c r="F190" s="3243">
        <v>0.13</v>
      </c>
      <c r="G190" s="3244">
        <v>0.127</v>
      </c>
    </row>
    <row r="191" spans="1:7">
      <c r="A191" s="3257" t="s">
        <v>304</v>
      </c>
      <c r="B191" s="3246" t="s">
        <v>133</v>
      </c>
      <c r="C191" s="3247">
        <v>0.13</v>
      </c>
      <c r="D191" s="3247">
        <v>0.13</v>
      </c>
      <c r="E191" s="3247">
        <v>0.13</v>
      </c>
      <c r="F191" s="3247">
        <v>0.13</v>
      </c>
      <c r="G191" s="3248">
        <v>0.13</v>
      </c>
    </row>
    <row r="192" spans="1:7">
      <c r="A192" s="3257" t="s">
        <v>304</v>
      </c>
      <c r="B192" s="3246" t="s">
        <v>142</v>
      </c>
      <c r="C192" s="3247">
        <v>0.13</v>
      </c>
      <c r="D192" s="3247">
        <v>0.13</v>
      </c>
      <c r="E192" s="3247">
        <v>0.13</v>
      </c>
      <c r="F192" s="3247">
        <v>0.13</v>
      </c>
      <c r="G192" s="3248">
        <v>0.13</v>
      </c>
    </row>
    <row r="193" spans="1:7">
      <c r="A193" s="3257" t="s">
        <v>304</v>
      </c>
      <c r="B193" s="3246" t="s">
        <v>151</v>
      </c>
      <c r="C193" s="3247">
        <v>0.13</v>
      </c>
      <c r="D193" s="3247">
        <v>0.13</v>
      </c>
      <c r="E193" s="3247">
        <v>0.13</v>
      </c>
      <c r="F193" s="3247">
        <v>0.13</v>
      </c>
      <c r="G193" s="3248">
        <v>0.13</v>
      </c>
    </row>
    <row r="194" spans="1:7">
      <c r="A194" s="3257" t="s">
        <v>304</v>
      </c>
      <c r="B194" s="3246" t="s">
        <v>160</v>
      </c>
      <c r="C194" s="3247">
        <v>0.123</v>
      </c>
      <c r="D194" s="3247">
        <v>0.123</v>
      </c>
      <c r="E194" s="3247">
        <v>0.128</v>
      </c>
      <c r="F194" s="3247">
        <v>0.13</v>
      </c>
      <c r="G194" s="3248">
        <v>0.126</v>
      </c>
    </row>
    <row r="195" spans="1:7">
      <c r="A195" s="3257" t="s">
        <v>304</v>
      </c>
      <c r="B195" s="3246" t="s">
        <v>167</v>
      </c>
      <c r="C195" s="3247">
        <v>0.127</v>
      </c>
      <c r="D195" s="3247">
        <v>0.127</v>
      </c>
      <c r="E195" s="3247">
        <v>0.121</v>
      </c>
      <c r="F195" s="3247">
        <v>0.129</v>
      </c>
      <c r="G195" s="3248">
        <v>0.129</v>
      </c>
    </row>
    <row r="196" spans="1:7">
      <c r="A196" s="3257" t="s">
        <v>304</v>
      </c>
      <c r="B196" s="3246" t="s">
        <v>173</v>
      </c>
      <c r="C196" s="3247">
        <v>0.127</v>
      </c>
      <c r="D196" s="3247">
        <v>0.128</v>
      </c>
      <c r="E196" s="3247">
        <v>0.122</v>
      </c>
      <c r="F196" s="3247">
        <v>0.13</v>
      </c>
      <c r="G196" s="3248">
        <v>0.129</v>
      </c>
    </row>
    <row r="197" spans="1:7">
      <c r="A197" s="3257" t="s">
        <v>304</v>
      </c>
      <c r="B197" s="3246" t="s">
        <v>180</v>
      </c>
      <c r="C197" s="3247">
        <v>0.126</v>
      </c>
      <c r="D197" s="3247">
        <v>0.126</v>
      </c>
      <c r="E197" s="3247">
        <v>0.11899999999999999</v>
      </c>
      <c r="F197" s="3247">
        <v>0.13</v>
      </c>
      <c r="G197" s="3248">
        <v>0.128</v>
      </c>
    </row>
    <row r="198" spans="1:7">
      <c r="A198" s="3257" t="s">
        <v>304</v>
      </c>
      <c r="B198" s="3246" t="s">
        <v>190</v>
      </c>
      <c r="C198" s="3247">
        <v>0.13</v>
      </c>
      <c r="D198" s="3247">
        <v>0.13</v>
      </c>
      <c r="E198" s="3247">
        <v>0.126</v>
      </c>
      <c r="F198" s="3263"/>
      <c r="G198" s="3248">
        <v>0.13</v>
      </c>
    </row>
    <row r="199" spans="1:7">
      <c r="A199" s="3257" t="s">
        <v>304</v>
      </c>
      <c r="B199" s="3246" t="s">
        <v>2902</v>
      </c>
      <c r="C199" s="3247">
        <v>0.13</v>
      </c>
      <c r="D199" s="3247">
        <v>0.13</v>
      </c>
      <c r="E199" s="3247">
        <v>0.13</v>
      </c>
      <c r="F199" s="3247">
        <v>0.13</v>
      </c>
      <c r="G199" s="3248">
        <v>0.13</v>
      </c>
    </row>
    <row r="200" spans="1:7">
      <c r="A200" s="3257" t="s">
        <v>304</v>
      </c>
      <c r="B200" s="3246" t="s">
        <v>2905</v>
      </c>
      <c r="C200" s="3263"/>
      <c r="D200" s="3263"/>
      <c r="E200" s="3263"/>
      <c r="F200" s="3247">
        <v>0.13</v>
      </c>
      <c r="G200" s="3259"/>
    </row>
    <row r="201" spans="1:7">
      <c r="A201" s="3257" t="s">
        <v>304</v>
      </c>
      <c r="B201" s="3246" t="s">
        <v>2910</v>
      </c>
      <c r="C201" s="3247">
        <v>0.13</v>
      </c>
      <c r="D201" s="3247">
        <v>0.13</v>
      </c>
      <c r="E201" s="3247">
        <v>0.13</v>
      </c>
      <c r="F201" s="3247">
        <v>0.129</v>
      </c>
      <c r="G201" s="3248">
        <v>0.13</v>
      </c>
    </row>
    <row r="202" spans="1:7">
      <c r="A202" s="3257" t="s">
        <v>304</v>
      </c>
      <c r="B202" s="3246" t="s">
        <v>240</v>
      </c>
      <c r="C202" s="3247">
        <v>0.13</v>
      </c>
      <c r="D202" s="3247">
        <v>0.13</v>
      </c>
      <c r="E202" s="3247">
        <v>0.13</v>
      </c>
      <c r="F202" s="3247">
        <v>0.13</v>
      </c>
      <c r="G202" s="3248">
        <v>0.13</v>
      </c>
    </row>
    <row r="203" spans="1:7">
      <c r="A203" s="3257" t="s">
        <v>304</v>
      </c>
      <c r="B203" s="3246" t="s">
        <v>2913</v>
      </c>
      <c r="C203" s="3247">
        <v>0.129</v>
      </c>
      <c r="D203" s="3247">
        <v>0.129</v>
      </c>
      <c r="E203" s="3247">
        <v>0.13</v>
      </c>
      <c r="F203" s="3247">
        <v>0.13</v>
      </c>
      <c r="G203" s="3248">
        <v>0.13</v>
      </c>
    </row>
    <row r="204" spans="1:7">
      <c r="A204" s="3257" t="s">
        <v>304</v>
      </c>
      <c r="B204" s="3246" t="s">
        <v>2916</v>
      </c>
      <c r="C204" s="3247">
        <v>0.129</v>
      </c>
      <c r="D204" s="3247">
        <v>0.129</v>
      </c>
      <c r="E204" s="3247">
        <v>0.123</v>
      </c>
      <c r="F204" s="3247">
        <v>0.13</v>
      </c>
      <c r="G204" s="3248">
        <v>0.13</v>
      </c>
    </row>
    <row r="205" spans="1:7">
      <c r="A205" s="3257" t="s">
        <v>304</v>
      </c>
      <c r="B205" s="3246" t="s">
        <v>2918</v>
      </c>
      <c r="C205" s="3247">
        <v>0.13</v>
      </c>
      <c r="D205" s="3247">
        <v>0.13</v>
      </c>
      <c r="E205" s="3247">
        <v>0.13</v>
      </c>
      <c r="F205" s="3247">
        <v>0.13</v>
      </c>
      <c r="G205" s="3248">
        <v>0.13</v>
      </c>
    </row>
    <row r="206" spans="1:7">
      <c r="A206" s="3257" t="s">
        <v>304</v>
      </c>
      <c r="B206" s="3246" t="s">
        <v>2921</v>
      </c>
      <c r="C206" s="3247">
        <v>0.13</v>
      </c>
      <c r="D206" s="3247">
        <v>0.13</v>
      </c>
      <c r="E206" s="3247">
        <v>0.13</v>
      </c>
      <c r="F206" s="3247">
        <v>0.128</v>
      </c>
      <c r="G206" s="3248">
        <v>0.13</v>
      </c>
    </row>
    <row r="207" spans="1:7">
      <c r="A207" s="3257" t="s">
        <v>304</v>
      </c>
      <c r="B207" s="3246" t="s">
        <v>2923</v>
      </c>
      <c r="C207" s="3247">
        <v>0.13</v>
      </c>
      <c r="D207" s="3247">
        <v>0.13</v>
      </c>
      <c r="E207" s="3247">
        <v>0.13</v>
      </c>
      <c r="F207" s="3247">
        <v>0.13</v>
      </c>
      <c r="G207" s="3248">
        <v>0.13</v>
      </c>
    </row>
    <row r="208" spans="1:7">
      <c r="A208" s="3257" t="s">
        <v>304</v>
      </c>
      <c r="B208" s="3246" t="s">
        <v>2926</v>
      </c>
      <c r="C208" s="3247">
        <v>0.13</v>
      </c>
      <c r="D208" s="3247">
        <v>0.13</v>
      </c>
      <c r="E208" s="3247">
        <v>0.13</v>
      </c>
      <c r="F208" s="3247">
        <v>0.13</v>
      </c>
      <c r="G208" s="3248">
        <v>0.13</v>
      </c>
    </row>
    <row r="209" spans="1:7">
      <c r="A209" s="3257" t="s">
        <v>304</v>
      </c>
      <c r="B209" s="3246" t="s">
        <v>264</v>
      </c>
      <c r="C209" s="3247">
        <v>0.13</v>
      </c>
      <c r="D209" s="3247">
        <v>0.13</v>
      </c>
      <c r="E209" s="3247">
        <v>0.13</v>
      </c>
      <c r="F209" s="3247">
        <v>0.13</v>
      </c>
      <c r="G209" s="3248">
        <v>0.13</v>
      </c>
    </row>
    <row r="210" spans="1:7">
      <c r="A210" s="3257" t="s">
        <v>304</v>
      </c>
      <c r="B210" s="3246" t="s">
        <v>2933</v>
      </c>
      <c r="C210" s="3247">
        <v>0.121</v>
      </c>
      <c r="D210" s="3247">
        <v>0.121</v>
      </c>
      <c r="E210" s="3247">
        <v>0.125</v>
      </c>
      <c r="F210" s="3247">
        <v>0.13</v>
      </c>
      <c r="G210" s="3248">
        <v>0.123</v>
      </c>
    </row>
    <row r="211" spans="1:7">
      <c r="A211" s="3257" t="s">
        <v>304</v>
      </c>
      <c r="B211" s="3246" t="s">
        <v>2936</v>
      </c>
      <c r="C211" s="3247">
        <v>0.123</v>
      </c>
      <c r="D211" s="3247">
        <v>0.123</v>
      </c>
      <c r="E211" s="3247">
        <v>0.127</v>
      </c>
      <c r="F211" s="3247">
        <v>0.115</v>
      </c>
      <c r="G211" s="3248">
        <v>0.126</v>
      </c>
    </row>
    <row r="212" spans="1:7">
      <c r="A212" s="3257" t="s">
        <v>304</v>
      </c>
      <c r="B212" s="3246" t="s">
        <v>285</v>
      </c>
      <c r="C212" s="3247">
        <v>0.126</v>
      </c>
      <c r="D212" s="3247">
        <v>0.126</v>
      </c>
      <c r="E212" s="3247">
        <v>0.13</v>
      </c>
      <c r="F212" s="3247">
        <v>0.13</v>
      </c>
      <c r="G212" s="3248">
        <v>0.129</v>
      </c>
    </row>
    <row r="213" spans="1:7">
      <c r="A213" s="3257" t="s">
        <v>304</v>
      </c>
      <c r="B213" s="3246" t="s">
        <v>288</v>
      </c>
      <c r="C213" s="3247">
        <v>0.129</v>
      </c>
      <c r="D213" s="3247">
        <v>0.13</v>
      </c>
      <c r="E213" s="3247">
        <v>0.127</v>
      </c>
      <c r="F213" s="3247">
        <v>0.13</v>
      </c>
      <c r="G213" s="3248">
        <v>0.13</v>
      </c>
    </row>
    <row r="214" spans="1:7">
      <c r="A214" s="3257" t="s">
        <v>304</v>
      </c>
      <c r="B214" s="3246" t="s">
        <v>2948</v>
      </c>
      <c r="C214" s="3247">
        <v>0.128</v>
      </c>
      <c r="D214" s="3247">
        <v>0.128</v>
      </c>
      <c r="E214" s="3247">
        <v>0.13</v>
      </c>
      <c r="F214" s="3247">
        <v>0.13</v>
      </c>
      <c r="G214" s="3248">
        <v>0.13</v>
      </c>
    </row>
    <row r="215" spans="1:7">
      <c r="A215" s="3257" t="s">
        <v>304</v>
      </c>
      <c r="B215" s="3246" t="s">
        <v>2952</v>
      </c>
      <c r="C215" s="3247">
        <v>0.13</v>
      </c>
      <c r="D215" s="3247">
        <v>0.13</v>
      </c>
      <c r="E215" s="3247">
        <v>0.13</v>
      </c>
      <c r="F215" s="3247">
        <v>0.129</v>
      </c>
      <c r="G215" s="3248">
        <v>0.13</v>
      </c>
    </row>
    <row r="216" spans="1:7">
      <c r="A216" s="3257" t="s">
        <v>304</v>
      </c>
      <c r="B216" s="3246" t="s">
        <v>2959</v>
      </c>
      <c r="C216" s="3247">
        <v>0.13</v>
      </c>
      <c r="D216" s="3247">
        <v>0.13</v>
      </c>
      <c r="E216" s="3247">
        <v>0.13</v>
      </c>
      <c r="F216" s="3247">
        <v>0.13</v>
      </c>
      <c r="G216" s="3248">
        <v>0.13</v>
      </c>
    </row>
    <row r="217" spans="1:7">
      <c r="A217" s="3257" t="s">
        <v>304</v>
      </c>
      <c r="B217" s="3246" t="s">
        <v>2966</v>
      </c>
      <c r="C217" s="3247">
        <v>0.129</v>
      </c>
      <c r="D217" s="3247">
        <v>0.129</v>
      </c>
      <c r="E217" s="3247">
        <v>0.13</v>
      </c>
      <c r="F217" s="3247">
        <v>0.13</v>
      </c>
      <c r="G217" s="3248">
        <v>0.13</v>
      </c>
    </row>
    <row r="218" spans="1:7">
      <c r="A218" s="3257" t="s">
        <v>304</v>
      </c>
      <c r="B218" s="3246" t="s">
        <v>2972</v>
      </c>
      <c r="C218" s="3258"/>
      <c r="D218" s="3258"/>
      <c r="E218" s="3258"/>
      <c r="F218" s="3247">
        <v>0.05</v>
      </c>
      <c r="G218" s="3264"/>
    </row>
    <row r="219" spans="1:7">
      <c r="A219" s="3257" t="s">
        <v>304</v>
      </c>
      <c r="B219" s="3246" t="s">
        <v>2979</v>
      </c>
      <c r="C219" s="3258"/>
      <c r="D219" s="3258"/>
      <c r="E219" s="3258"/>
      <c r="F219" s="3247">
        <v>0.05</v>
      </c>
      <c r="G219" s="3264"/>
    </row>
    <row r="220" spans="1:7">
      <c r="A220" s="3257" t="s">
        <v>304</v>
      </c>
      <c r="B220" s="3246" t="s">
        <v>2985</v>
      </c>
      <c r="C220" s="3258"/>
      <c r="D220" s="3258"/>
      <c r="E220" s="3258"/>
      <c r="F220" s="3247">
        <v>0.05</v>
      </c>
      <c r="G220" s="3264"/>
    </row>
    <row r="221" spans="1:7">
      <c r="A221" s="3257" t="s">
        <v>304</v>
      </c>
      <c r="B221" s="3246" t="s">
        <v>2990</v>
      </c>
      <c r="C221" s="3258"/>
      <c r="D221" s="3258"/>
      <c r="E221" s="3258"/>
      <c r="F221" s="3247">
        <v>0.05</v>
      </c>
      <c r="G221" s="3264"/>
    </row>
    <row r="222" spans="1:7">
      <c r="A222" s="3257" t="s">
        <v>304</v>
      </c>
      <c r="B222" s="3246" t="s">
        <v>2994</v>
      </c>
      <c r="C222" s="3258"/>
      <c r="D222" s="3258"/>
      <c r="E222" s="3258"/>
      <c r="F222" s="3247">
        <v>0.05</v>
      </c>
      <c r="G222" s="3264"/>
    </row>
    <row r="223" spans="1:7">
      <c r="A223" s="3257" t="s">
        <v>304</v>
      </c>
      <c r="B223" s="3246" t="s">
        <v>2999</v>
      </c>
      <c r="C223" s="3258"/>
      <c r="D223" s="3258"/>
      <c r="E223" s="3258"/>
      <c r="F223" s="3247">
        <v>0.05</v>
      </c>
      <c r="G223" s="3264"/>
    </row>
    <row r="224" spans="1:7">
      <c r="A224" s="3257" t="s">
        <v>304</v>
      </c>
      <c r="B224" s="3246" t="s">
        <v>3004</v>
      </c>
      <c r="C224" s="3258"/>
      <c r="D224" s="3258"/>
      <c r="E224" s="3258"/>
      <c r="F224" s="3247">
        <v>0.05</v>
      </c>
      <c r="G224" s="3264"/>
    </row>
    <row r="225" spans="1:7">
      <c r="A225" s="3257" t="s">
        <v>304</v>
      </c>
      <c r="B225" s="3246" t="s">
        <v>3009</v>
      </c>
      <c r="C225" s="3258"/>
      <c r="D225" s="3258"/>
      <c r="E225" s="3258"/>
      <c r="F225" s="3247">
        <v>0.05</v>
      </c>
      <c r="G225" s="3264"/>
    </row>
    <row r="226" spans="1:7">
      <c r="A226" s="3257" t="s">
        <v>304</v>
      </c>
      <c r="B226" s="3246" t="s">
        <v>3211</v>
      </c>
      <c r="C226" s="3258"/>
      <c r="D226" s="3258"/>
      <c r="E226" s="3258"/>
      <c r="F226" s="3247">
        <v>0.05</v>
      </c>
      <c r="G226" s="3264"/>
    </row>
    <row r="227" spans="1:7">
      <c r="A227" s="3257" t="s">
        <v>304</v>
      </c>
      <c r="B227" s="3246" t="s">
        <v>3212</v>
      </c>
      <c r="C227" s="3258"/>
      <c r="D227" s="3258"/>
      <c r="E227" s="3258"/>
      <c r="F227" s="3247">
        <v>0.05</v>
      </c>
      <c r="G227" s="3264"/>
    </row>
    <row r="228" spans="1:7">
      <c r="A228" s="3257" t="s">
        <v>304</v>
      </c>
      <c r="B228" s="3246" t="s">
        <v>3213</v>
      </c>
      <c r="C228" s="3258"/>
      <c r="D228" s="3258"/>
      <c r="E228" s="3258"/>
      <c r="F228" s="3247">
        <v>0.05</v>
      </c>
      <c r="G228" s="3264"/>
    </row>
    <row r="229" spans="1:7">
      <c r="A229" s="3257" t="s">
        <v>304</v>
      </c>
      <c r="B229" s="3246" t="s">
        <v>3214</v>
      </c>
      <c r="C229" s="3258"/>
      <c r="D229" s="3258"/>
      <c r="E229" s="3258"/>
      <c r="F229" s="3247">
        <v>0.05</v>
      </c>
      <c r="G229" s="3264"/>
    </row>
    <row r="230" spans="1:7">
      <c r="A230" s="3257" t="s">
        <v>304</v>
      </c>
      <c r="B230" s="3246" t="s">
        <v>3215</v>
      </c>
      <c r="C230" s="3258"/>
      <c r="D230" s="3258"/>
      <c r="E230" s="3258"/>
      <c r="F230" s="3247">
        <v>0.05</v>
      </c>
      <c r="G230" s="3264"/>
    </row>
    <row r="231" spans="1:7">
      <c r="A231" s="3257" t="s">
        <v>304</v>
      </c>
      <c r="B231" s="3246" t="s">
        <v>3216</v>
      </c>
      <c r="C231" s="3258"/>
      <c r="D231" s="3258"/>
      <c r="E231" s="3258"/>
      <c r="F231" s="3247">
        <v>0.05</v>
      </c>
      <c r="G231" s="3264"/>
    </row>
    <row r="232" spans="1:7">
      <c r="A232" s="3257" t="s">
        <v>304</v>
      </c>
      <c r="B232" s="3246" t="s">
        <v>3217</v>
      </c>
      <c r="C232" s="3258"/>
      <c r="D232" s="3258"/>
      <c r="E232" s="3258"/>
      <c r="F232" s="3247">
        <v>0.05</v>
      </c>
      <c r="G232" s="3264"/>
    </row>
    <row r="233" spans="1:7" ht="14.25" thickBot="1">
      <c r="A233" s="3260" t="s">
        <v>304</v>
      </c>
      <c r="B233" s="3250" t="s">
        <v>3218</v>
      </c>
      <c r="C233" s="3252"/>
      <c r="D233" s="3252"/>
      <c r="E233" s="3252"/>
      <c r="F233" s="3251">
        <v>0.05</v>
      </c>
      <c r="G233" s="3265"/>
    </row>
    <row r="234" spans="1:7">
      <c r="A234" s="3256" t="s">
        <v>305</v>
      </c>
      <c r="B234" s="3242" t="s">
        <v>2867</v>
      </c>
      <c r="C234" s="3243">
        <v>0.13</v>
      </c>
      <c r="D234" s="3243">
        <v>0.128</v>
      </c>
      <c r="E234" s="3243">
        <v>0.14199999999999999</v>
      </c>
      <c r="F234" s="3243">
        <v>0.14699999999999999</v>
      </c>
      <c r="G234" s="3244">
        <v>0.14000000000000001</v>
      </c>
    </row>
    <row r="235" spans="1:7">
      <c r="A235" s="3257" t="s">
        <v>305</v>
      </c>
      <c r="B235" s="3246" t="s">
        <v>134</v>
      </c>
      <c r="C235" s="3247">
        <v>0.13600000000000001</v>
      </c>
      <c r="D235" s="3247">
        <v>0.13800000000000001</v>
      </c>
      <c r="E235" s="3247">
        <v>0.14499999999999999</v>
      </c>
      <c r="F235" s="3247">
        <v>0.14299999999999999</v>
      </c>
      <c r="G235" s="3248">
        <v>0.14099999999999999</v>
      </c>
    </row>
    <row r="236" spans="1:7">
      <c r="A236" s="3257" t="s">
        <v>305</v>
      </c>
      <c r="B236" s="3246" t="s">
        <v>143</v>
      </c>
      <c r="C236" s="3247">
        <v>0.15</v>
      </c>
      <c r="D236" s="3247">
        <v>0.15</v>
      </c>
      <c r="E236" s="3247">
        <v>0.15</v>
      </c>
      <c r="F236" s="3247">
        <v>0.15</v>
      </c>
      <c r="G236" s="3248">
        <v>0.15</v>
      </c>
    </row>
    <row r="237" spans="1:7">
      <c r="A237" s="3257" t="s">
        <v>305</v>
      </c>
      <c r="B237" s="3246" t="s">
        <v>152</v>
      </c>
      <c r="C237" s="3247">
        <v>0.15</v>
      </c>
      <c r="D237" s="3247">
        <v>0.15</v>
      </c>
      <c r="E237" s="3247">
        <v>0.15</v>
      </c>
      <c r="F237" s="3247">
        <v>0.15</v>
      </c>
      <c r="G237" s="3248">
        <v>0.15</v>
      </c>
    </row>
    <row r="238" spans="1:7">
      <c r="A238" s="3257" t="s">
        <v>305</v>
      </c>
      <c r="B238" s="3246" t="s">
        <v>2887</v>
      </c>
      <c r="C238" s="3247">
        <v>0.14899999999999999</v>
      </c>
      <c r="D238" s="3247">
        <v>0.14899999999999999</v>
      </c>
      <c r="E238" s="3247">
        <v>0.15</v>
      </c>
      <c r="F238" s="3247">
        <v>0.15</v>
      </c>
      <c r="G238" s="3248">
        <v>0.15</v>
      </c>
    </row>
    <row r="239" spans="1:7">
      <c r="A239" s="3257" t="s">
        <v>305</v>
      </c>
      <c r="B239" s="3246" t="s">
        <v>2891</v>
      </c>
      <c r="C239" s="3247">
        <v>0.15</v>
      </c>
      <c r="D239" s="3247">
        <v>0.15</v>
      </c>
      <c r="E239" s="3247">
        <v>0.15</v>
      </c>
      <c r="F239" s="3247">
        <v>0.15</v>
      </c>
      <c r="G239" s="3248">
        <v>0.15</v>
      </c>
    </row>
    <row r="240" spans="1:7">
      <c r="A240" s="3257" t="s">
        <v>305</v>
      </c>
      <c r="B240" s="3246" t="s">
        <v>2896</v>
      </c>
      <c r="C240" s="3247">
        <v>0.15</v>
      </c>
      <c r="D240" s="3247">
        <v>0.15</v>
      </c>
      <c r="E240" s="3247">
        <v>0.15</v>
      </c>
      <c r="F240" s="3247">
        <v>0.15</v>
      </c>
      <c r="G240" s="3248">
        <v>0.15</v>
      </c>
    </row>
    <row r="241" spans="1:7">
      <c r="A241" s="3257" t="s">
        <v>305</v>
      </c>
      <c r="B241" s="3246" t="s">
        <v>2900</v>
      </c>
      <c r="C241" s="3247">
        <v>0.14099999999999999</v>
      </c>
      <c r="D241" s="3247">
        <v>0.14199999999999999</v>
      </c>
      <c r="E241" s="3247">
        <v>0.14899999999999999</v>
      </c>
      <c r="F241" s="3247">
        <v>0.15</v>
      </c>
      <c r="G241" s="3248">
        <v>0.14399999999999999</v>
      </c>
    </row>
    <row r="242" spans="1:7">
      <c r="A242" s="3257" t="s">
        <v>305</v>
      </c>
      <c r="B242" s="3246" t="s">
        <v>181</v>
      </c>
      <c r="C242" s="3247">
        <v>0.14099999999999999</v>
      </c>
      <c r="D242" s="3247">
        <v>0.14199999999999999</v>
      </c>
      <c r="E242" s="3247">
        <v>0.14799999999999999</v>
      </c>
      <c r="F242" s="3247">
        <v>0.127</v>
      </c>
      <c r="G242" s="3248">
        <v>0.14399999999999999</v>
      </c>
    </row>
    <row r="243" spans="1:7">
      <c r="A243" s="3257" t="s">
        <v>305</v>
      </c>
      <c r="B243" s="3246" t="s">
        <v>191</v>
      </c>
      <c r="C243" s="3247">
        <v>0.14699999999999999</v>
      </c>
      <c r="D243" s="3247">
        <v>0.14699999999999999</v>
      </c>
      <c r="E243" s="3247">
        <v>0.15</v>
      </c>
      <c r="F243" s="3247">
        <v>0.15</v>
      </c>
      <c r="G243" s="3248">
        <v>0.14899999999999999</v>
      </c>
    </row>
    <row r="244" spans="1:7">
      <c r="A244" s="3257" t="s">
        <v>305</v>
      </c>
      <c r="B244" s="3246" t="s">
        <v>2906</v>
      </c>
      <c r="C244" s="3247">
        <v>0.15</v>
      </c>
      <c r="D244" s="3247">
        <v>0.15</v>
      </c>
      <c r="E244" s="3247">
        <v>0.15</v>
      </c>
      <c r="F244" s="3247">
        <v>0.15</v>
      </c>
      <c r="G244" s="3248">
        <v>0.15</v>
      </c>
    </row>
    <row r="245" spans="1:7">
      <c r="A245" s="3257" t="s">
        <v>305</v>
      </c>
      <c r="B245" s="3246" t="s">
        <v>206</v>
      </c>
      <c r="C245" s="3247">
        <v>0.14199999999999999</v>
      </c>
      <c r="D245" s="3247">
        <v>0.14199999999999999</v>
      </c>
      <c r="E245" s="3247">
        <v>0.15</v>
      </c>
      <c r="F245" s="3247">
        <v>0.15</v>
      </c>
      <c r="G245" s="3248">
        <v>0.14499999999999999</v>
      </c>
    </row>
    <row r="246" spans="1:7">
      <c r="A246" s="3257" t="s">
        <v>305</v>
      </c>
      <c r="B246" s="3246" t="s">
        <v>213</v>
      </c>
      <c r="C246" s="3247">
        <v>0.14199999999999999</v>
      </c>
      <c r="D246" s="3247">
        <v>0.14299999999999999</v>
      </c>
      <c r="E246" s="3247">
        <v>0.15</v>
      </c>
      <c r="F246" s="3247">
        <v>0.14199999999999999</v>
      </c>
      <c r="G246" s="3248">
        <v>0.14399999999999999</v>
      </c>
    </row>
    <row r="247" spans="1:7">
      <c r="A247" s="3257" t="s">
        <v>305</v>
      </c>
      <c r="B247" s="3246" t="s">
        <v>2914</v>
      </c>
      <c r="C247" s="3247">
        <v>0.14899999999999999</v>
      </c>
      <c r="D247" s="3247">
        <v>0.14899999999999999</v>
      </c>
      <c r="E247" s="3247">
        <v>0.15</v>
      </c>
      <c r="F247" s="3247">
        <v>0.15</v>
      </c>
      <c r="G247" s="3248">
        <v>0.15</v>
      </c>
    </row>
    <row r="248" spans="1:7">
      <c r="A248" s="3257" t="s">
        <v>305</v>
      </c>
      <c r="B248" s="3246" t="s">
        <v>227</v>
      </c>
      <c r="C248" s="3247">
        <v>0.14399999999999999</v>
      </c>
      <c r="D248" s="3247">
        <v>0.14399999999999999</v>
      </c>
      <c r="E248" s="3247">
        <v>0.14899999999999999</v>
      </c>
      <c r="F248" s="3247">
        <v>0.14799999999999999</v>
      </c>
      <c r="G248" s="3248">
        <v>0.14599999999999999</v>
      </c>
    </row>
    <row r="249" spans="1:7">
      <c r="A249" s="3257" t="s">
        <v>305</v>
      </c>
      <c r="B249" s="3246" t="s">
        <v>2919</v>
      </c>
      <c r="C249" s="3247">
        <v>0.14000000000000001</v>
      </c>
      <c r="D249" s="3247">
        <v>0.14000000000000001</v>
      </c>
      <c r="E249" s="3247">
        <v>0.14699999999999999</v>
      </c>
      <c r="F249" s="3247">
        <v>0.14899999999999999</v>
      </c>
      <c r="G249" s="3248">
        <v>0.14199999999999999</v>
      </c>
    </row>
    <row r="250" spans="1:7">
      <c r="A250" s="3257" t="s">
        <v>305</v>
      </c>
      <c r="B250" s="3246" t="s">
        <v>241</v>
      </c>
      <c r="C250" s="3247">
        <v>0.14399999999999999</v>
      </c>
      <c r="D250" s="3247">
        <v>0.14299999999999999</v>
      </c>
      <c r="E250" s="3247">
        <v>0.14899999999999999</v>
      </c>
      <c r="F250" s="3247">
        <v>0.15</v>
      </c>
      <c r="G250" s="3248">
        <v>0.14599999999999999</v>
      </c>
    </row>
    <row r="251" spans="1:7">
      <c r="A251" s="3257" t="s">
        <v>305</v>
      </c>
      <c r="B251" s="3246" t="s">
        <v>249</v>
      </c>
      <c r="C251" s="3263"/>
      <c r="D251" s="3258"/>
      <c r="E251" s="3258"/>
      <c r="F251" s="3247">
        <v>0.1</v>
      </c>
      <c r="G251" s="3264"/>
    </row>
    <row r="252" spans="1:7">
      <c r="A252" s="3257" t="s">
        <v>305</v>
      </c>
      <c r="B252" s="3246" t="s">
        <v>2927</v>
      </c>
      <c r="C252" s="3247">
        <v>0.14399999999999999</v>
      </c>
      <c r="D252" s="3247">
        <v>0.14399999999999999</v>
      </c>
      <c r="E252" s="3247">
        <v>0.15</v>
      </c>
      <c r="F252" s="3247">
        <v>0.14899999999999999</v>
      </c>
      <c r="G252" s="3248">
        <v>0.14599999999999999</v>
      </c>
    </row>
    <row r="253" spans="1:7">
      <c r="A253" s="3257" t="s">
        <v>305</v>
      </c>
      <c r="B253" s="3246" t="s">
        <v>283</v>
      </c>
      <c r="C253" s="3247">
        <v>0.14199999999999999</v>
      </c>
      <c r="D253" s="3247">
        <v>0.14199999999999999</v>
      </c>
      <c r="E253" s="3247">
        <v>0.14599999999999999</v>
      </c>
      <c r="F253" s="3247">
        <v>0.14799999999999999</v>
      </c>
      <c r="G253" s="3248">
        <v>0.14499999999999999</v>
      </c>
    </row>
    <row r="254" spans="1:7">
      <c r="A254" s="3257" t="s">
        <v>305</v>
      </c>
      <c r="B254" s="3246" t="s">
        <v>286</v>
      </c>
      <c r="C254" s="3247">
        <v>0.15</v>
      </c>
      <c r="D254" s="3247">
        <v>0.15</v>
      </c>
      <c r="E254" s="3247">
        <v>0.15</v>
      </c>
      <c r="F254" s="3247">
        <v>0.15</v>
      </c>
      <c r="G254" s="3248">
        <v>0.15</v>
      </c>
    </row>
    <row r="255" spans="1:7">
      <c r="A255" s="3257" t="s">
        <v>305</v>
      </c>
      <c r="B255" s="3246" t="s">
        <v>289</v>
      </c>
      <c r="C255" s="3247">
        <v>0.14299999999999999</v>
      </c>
      <c r="D255" s="3247">
        <v>0.14299999999999999</v>
      </c>
      <c r="E255" s="3247">
        <v>0.15</v>
      </c>
      <c r="F255" s="3247">
        <v>0.15</v>
      </c>
      <c r="G255" s="3248">
        <v>0.14499999999999999</v>
      </c>
    </row>
    <row r="256" spans="1:7">
      <c r="A256" s="3257" t="s">
        <v>305</v>
      </c>
      <c r="B256" s="3246" t="s">
        <v>2940</v>
      </c>
      <c r="C256" s="3247">
        <v>0.15</v>
      </c>
      <c r="D256" s="3247">
        <v>0.15</v>
      </c>
      <c r="E256" s="3247">
        <v>0.15</v>
      </c>
      <c r="F256" s="3247">
        <v>0.14599999999999999</v>
      </c>
      <c r="G256" s="3248">
        <v>0.15</v>
      </c>
    </row>
    <row r="257" spans="1:7">
      <c r="A257" s="3257" t="s">
        <v>305</v>
      </c>
      <c r="B257" s="3246" t="s">
        <v>275</v>
      </c>
      <c r="C257" s="3247">
        <v>0.14199999999999999</v>
      </c>
      <c r="D257" s="3247">
        <v>0.14299999999999999</v>
      </c>
      <c r="E257" s="3247">
        <v>0.14799999999999999</v>
      </c>
      <c r="F257" s="3247">
        <v>0.15</v>
      </c>
      <c r="G257" s="3248">
        <v>0.14499999999999999</v>
      </c>
    </row>
    <row r="258" spans="1:7">
      <c r="A258" s="3257" t="s">
        <v>305</v>
      </c>
      <c r="B258" s="3246" t="s">
        <v>2949</v>
      </c>
      <c r="C258" s="3247">
        <v>0.14299999999999999</v>
      </c>
      <c r="D258" s="3247">
        <v>0.14299999999999999</v>
      </c>
      <c r="E258" s="3247">
        <v>0.15</v>
      </c>
      <c r="F258" s="3247">
        <v>0.14799999999999999</v>
      </c>
      <c r="G258" s="3248">
        <v>0.14599999999999999</v>
      </c>
    </row>
    <row r="259" spans="1:7">
      <c r="A259" s="3257" t="s">
        <v>305</v>
      </c>
      <c r="B259" s="3246" t="s">
        <v>2953</v>
      </c>
      <c r="C259" s="3247">
        <v>0.14399999999999999</v>
      </c>
      <c r="D259" s="3247">
        <v>0.14399999999999999</v>
      </c>
      <c r="E259" s="3247">
        <v>0.14899999999999999</v>
      </c>
      <c r="F259" s="3247">
        <v>0.14699999999999999</v>
      </c>
      <c r="G259" s="3248">
        <v>0.14599999999999999</v>
      </c>
    </row>
    <row r="260" spans="1:7">
      <c r="A260" s="3257" t="s">
        <v>305</v>
      </c>
      <c r="B260" s="3246" t="s">
        <v>2960</v>
      </c>
      <c r="C260" s="3247">
        <v>0.109</v>
      </c>
      <c r="D260" s="3247">
        <v>0.111</v>
      </c>
      <c r="E260" s="3247">
        <v>0.13100000000000001</v>
      </c>
      <c r="F260" s="3247">
        <v>0.126</v>
      </c>
      <c r="G260" s="3248">
        <v>0.11899999999999999</v>
      </c>
    </row>
    <row r="261" spans="1:7">
      <c r="A261" s="3257" t="s">
        <v>305</v>
      </c>
      <c r="B261" s="3246" t="s">
        <v>2967</v>
      </c>
      <c r="C261" s="3247">
        <v>0.1</v>
      </c>
      <c r="D261" s="3247">
        <v>0.1</v>
      </c>
      <c r="E261" s="3247">
        <v>0.11799999999999999</v>
      </c>
      <c r="F261" s="3247">
        <v>0.108</v>
      </c>
      <c r="G261" s="3248">
        <v>0.107</v>
      </c>
    </row>
    <row r="262" spans="1:7">
      <c r="A262" s="3257" t="s">
        <v>305</v>
      </c>
      <c r="B262" s="3246" t="s">
        <v>2973</v>
      </c>
      <c r="C262" s="3247">
        <v>0.1</v>
      </c>
      <c r="D262" s="3247">
        <v>0.1</v>
      </c>
      <c r="E262" s="3247">
        <v>0.1</v>
      </c>
      <c r="F262" s="3247">
        <v>0.14099999999999999</v>
      </c>
      <c r="G262" s="3248">
        <v>0.1</v>
      </c>
    </row>
    <row r="263" spans="1:7">
      <c r="A263" s="3257" t="s">
        <v>305</v>
      </c>
      <c r="B263" s="3246" t="s">
        <v>2980</v>
      </c>
      <c r="C263" s="3247">
        <v>0.14799999999999999</v>
      </c>
      <c r="D263" s="3247">
        <v>0.14799999999999999</v>
      </c>
      <c r="E263" s="3247">
        <v>0.15</v>
      </c>
      <c r="F263" s="3247">
        <v>0.14699999999999999</v>
      </c>
      <c r="G263" s="3248">
        <v>0.15</v>
      </c>
    </row>
    <row r="264" spans="1:7">
      <c r="A264" s="3257" t="s">
        <v>305</v>
      </c>
      <c r="B264" s="3246" t="s">
        <v>299</v>
      </c>
      <c r="C264" s="3247">
        <v>0.14299999999999999</v>
      </c>
      <c r="D264" s="3247">
        <v>0.14299999999999999</v>
      </c>
      <c r="E264" s="3247">
        <v>0.15</v>
      </c>
      <c r="F264" s="3247">
        <v>0.14899999999999999</v>
      </c>
      <c r="G264" s="3248">
        <v>0.14599999999999999</v>
      </c>
    </row>
    <row r="265" spans="1:7">
      <c r="A265" s="3257" t="s">
        <v>305</v>
      </c>
      <c r="B265" s="3246" t="s">
        <v>2991</v>
      </c>
      <c r="C265" s="3258"/>
      <c r="D265" s="3258"/>
      <c r="E265" s="3258"/>
      <c r="F265" s="3247">
        <v>0.05</v>
      </c>
      <c r="G265" s="3264"/>
    </row>
    <row r="266" spans="1:7">
      <c r="A266" s="3257" t="s">
        <v>305</v>
      </c>
      <c r="B266" s="3246" t="s">
        <v>2995</v>
      </c>
      <c r="C266" s="3258"/>
      <c r="D266" s="3258"/>
      <c r="E266" s="3258"/>
      <c r="F266" s="3247">
        <v>0.05</v>
      </c>
      <c r="G266" s="3264"/>
    </row>
    <row r="267" spans="1:7">
      <c r="A267" s="3257" t="s">
        <v>305</v>
      </c>
      <c r="B267" s="3246" t="s">
        <v>3000</v>
      </c>
      <c r="C267" s="3258"/>
      <c r="D267" s="3258"/>
      <c r="E267" s="3258"/>
      <c r="F267" s="3247">
        <v>0.05</v>
      </c>
      <c r="G267" s="3264"/>
    </row>
    <row r="268" spans="1:7">
      <c r="A268" s="3257" t="s">
        <v>305</v>
      </c>
      <c r="B268" s="3246" t="s">
        <v>3005</v>
      </c>
      <c r="C268" s="3258"/>
      <c r="D268" s="3258"/>
      <c r="E268" s="3258"/>
      <c r="F268" s="3247">
        <v>0.05</v>
      </c>
      <c r="G268" s="3264"/>
    </row>
    <row r="269" spans="1:7">
      <c r="A269" s="3257" t="s">
        <v>305</v>
      </c>
      <c r="B269" s="3246" t="s">
        <v>3010</v>
      </c>
      <c r="C269" s="3258"/>
      <c r="D269" s="3258"/>
      <c r="E269" s="3258"/>
      <c r="F269" s="3247">
        <v>0.05</v>
      </c>
      <c r="G269" s="3264"/>
    </row>
    <row r="270" spans="1:7">
      <c r="A270" s="3257" t="s">
        <v>305</v>
      </c>
      <c r="B270" s="3246" t="s">
        <v>3015</v>
      </c>
      <c r="C270" s="3258"/>
      <c r="D270" s="3258"/>
      <c r="E270" s="3258"/>
      <c r="F270" s="3247">
        <v>0.05</v>
      </c>
      <c r="G270" s="3264"/>
    </row>
    <row r="271" spans="1:7">
      <c r="A271" s="3257" t="s">
        <v>305</v>
      </c>
      <c r="B271" s="3246" t="s">
        <v>3219</v>
      </c>
      <c r="C271" s="3258"/>
      <c r="D271" s="3258"/>
      <c r="E271" s="3258"/>
      <c r="F271" s="3247">
        <v>0.05</v>
      </c>
      <c r="G271" s="3264"/>
    </row>
    <row r="272" spans="1:7">
      <c r="A272" s="3257" t="s">
        <v>305</v>
      </c>
      <c r="B272" s="3246" t="s">
        <v>3220</v>
      </c>
      <c r="C272" s="3258"/>
      <c r="D272" s="3258"/>
      <c r="E272" s="3258"/>
      <c r="F272" s="3247">
        <v>0.05</v>
      </c>
      <c r="G272" s="3264"/>
    </row>
    <row r="273" spans="1:7">
      <c r="A273" s="3257" t="s">
        <v>305</v>
      </c>
      <c r="B273" s="3246" t="s">
        <v>3221</v>
      </c>
      <c r="C273" s="3258"/>
      <c r="D273" s="3258"/>
      <c r="E273" s="3258"/>
      <c r="F273" s="3247">
        <v>0.05</v>
      </c>
      <c r="G273" s="3264"/>
    </row>
    <row r="274" spans="1:7">
      <c r="A274" s="3257" t="s">
        <v>305</v>
      </c>
      <c r="B274" s="3246" t="s">
        <v>3222</v>
      </c>
      <c r="C274" s="3258"/>
      <c r="D274" s="3258"/>
      <c r="E274" s="3258"/>
      <c r="F274" s="3247">
        <v>0.05</v>
      </c>
      <c r="G274" s="3264"/>
    </row>
    <row r="275" spans="1:7">
      <c r="A275" s="3257" t="s">
        <v>305</v>
      </c>
      <c r="B275" s="3246" t="s">
        <v>3223</v>
      </c>
      <c r="C275" s="3258"/>
      <c r="D275" s="3258"/>
      <c r="E275" s="3258"/>
      <c r="F275" s="3247">
        <v>0.05</v>
      </c>
      <c r="G275" s="3264"/>
    </row>
    <row r="276" spans="1:7" ht="14.25" thickBot="1">
      <c r="A276" s="3260" t="s">
        <v>305</v>
      </c>
      <c r="B276" s="3250" t="s">
        <v>3224</v>
      </c>
      <c r="C276" s="3252"/>
      <c r="D276" s="3252"/>
      <c r="E276" s="3252"/>
      <c r="F276" s="3251">
        <v>0.05</v>
      </c>
      <c r="G276" s="3265"/>
    </row>
    <row r="277" spans="1:7">
      <c r="A277" s="3256" t="s">
        <v>306</v>
      </c>
      <c r="B277" s="3242" t="s">
        <v>2868</v>
      </c>
      <c r="C277" s="3243">
        <v>0.15</v>
      </c>
      <c r="D277" s="3243">
        <v>0.15</v>
      </c>
      <c r="E277" s="3243">
        <v>0.15</v>
      </c>
      <c r="F277" s="3243">
        <v>0.15</v>
      </c>
      <c r="G277" s="3244">
        <v>0.15</v>
      </c>
    </row>
    <row r="278" spans="1:7">
      <c r="A278" s="3257" t="s">
        <v>306</v>
      </c>
      <c r="B278" s="3246" t="s">
        <v>135</v>
      </c>
      <c r="C278" s="3247">
        <v>0.15</v>
      </c>
      <c r="D278" s="3247">
        <v>0.15</v>
      </c>
      <c r="E278" s="3247">
        <v>0.15</v>
      </c>
      <c r="F278" s="3247">
        <v>0.15</v>
      </c>
      <c r="G278" s="3248">
        <v>0.15</v>
      </c>
    </row>
    <row r="279" spans="1:7">
      <c r="A279" s="3257" t="s">
        <v>306</v>
      </c>
      <c r="B279" s="3246" t="s">
        <v>2880</v>
      </c>
      <c r="C279" s="3247">
        <v>0.15</v>
      </c>
      <c r="D279" s="3247">
        <v>0.15</v>
      </c>
      <c r="E279" s="3247">
        <v>0.15</v>
      </c>
      <c r="F279" s="3247">
        <v>0.15</v>
      </c>
      <c r="G279" s="3248">
        <v>0.15</v>
      </c>
    </row>
    <row r="280" spans="1:7">
      <c r="A280" s="3257" t="s">
        <v>306</v>
      </c>
      <c r="B280" s="3246" t="s">
        <v>2884</v>
      </c>
      <c r="C280" s="3247">
        <v>0.15</v>
      </c>
      <c r="D280" s="3247">
        <v>0.15</v>
      </c>
      <c r="E280" s="3247">
        <v>0.15</v>
      </c>
      <c r="F280" s="3247">
        <v>0.15</v>
      </c>
      <c r="G280" s="3248">
        <v>0.15</v>
      </c>
    </row>
    <row r="281" spans="1:7">
      <c r="A281" s="3257" t="s">
        <v>306</v>
      </c>
      <c r="B281" s="3246" t="s">
        <v>2888</v>
      </c>
      <c r="C281" s="3247">
        <v>0.15</v>
      </c>
      <c r="D281" s="3247">
        <v>0.15</v>
      </c>
      <c r="E281" s="3247">
        <v>0.15</v>
      </c>
      <c r="F281" s="3247">
        <v>0.15</v>
      </c>
      <c r="G281" s="3248">
        <v>0.15</v>
      </c>
    </row>
    <row r="282" spans="1:7">
      <c r="A282" s="3257" t="s">
        <v>306</v>
      </c>
      <c r="B282" s="3246" t="s">
        <v>2892</v>
      </c>
      <c r="C282" s="3247">
        <v>0.15</v>
      </c>
      <c r="D282" s="3247">
        <v>0.15</v>
      </c>
      <c r="E282" s="3247">
        <v>0.15</v>
      </c>
      <c r="F282" s="3247">
        <v>0.14499999999999999</v>
      </c>
      <c r="G282" s="3248">
        <v>0.15</v>
      </c>
    </row>
    <row r="283" spans="1:7">
      <c r="A283" s="3257" t="s">
        <v>306</v>
      </c>
      <c r="B283" s="3246" t="s">
        <v>174</v>
      </c>
      <c r="C283" s="3247">
        <v>0.15</v>
      </c>
      <c r="D283" s="3247">
        <v>0.15</v>
      </c>
      <c r="E283" s="3247">
        <v>0.15</v>
      </c>
      <c r="F283" s="3247">
        <v>0.14199999999999999</v>
      </c>
      <c r="G283" s="3248">
        <v>0.15</v>
      </c>
    </row>
    <row r="284" spans="1:7">
      <c r="A284" s="3257" t="s">
        <v>306</v>
      </c>
      <c r="B284" s="3246" t="s">
        <v>182</v>
      </c>
      <c r="C284" s="3247">
        <v>0.15</v>
      </c>
      <c r="D284" s="3247">
        <v>0.15</v>
      </c>
      <c r="E284" s="3247">
        <v>0.15</v>
      </c>
      <c r="F284" s="3247">
        <v>0.15</v>
      </c>
      <c r="G284" s="3248">
        <v>0.15</v>
      </c>
    </row>
    <row r="285" spans="1:7">
      <c r="A285" s="3257" t="s">
        <v>306</v>
      </c>
      <c r="B285" s="3246" t="s">
        <v>192</v>
      </c>
      <c r="C285" s="3247">
        <v>0.15</v>
      </c>
      <c r="D285" s="3247">
        <v>0.15</v>
      </c>
      <c r="E285" s="3247">
        <v>0.15</v>
      </c>
      <c r="F285" s="3247">
        <v>0.15</v>
      </c>
      <c r="G285" s="3248">
        <v>0.15</v>
      </c>
    </row>
    <row r="286" spans="1:7">
      <c r="A286" s="3257" t="s">
        <v>306</v>
      </c>
      <c r="B286" s="3246" t="s">
        <v>199</v>
      </c>
      <c r="C286" s="3247">
        <v>0.14499999999999999</v>
      </c>
      <c r="D286" s="3247">
        <v>0.14499999999999999</v>
      </c>
      <c r="E286" s="3247">
        <v>0.15</v>
      </c>
      <c r="F286" s="3247">
        <v>0.14099999999999999</v>
      </c>
      <c r="G286" s="3248">
        <v>0.14499999999999999</v>
      </c>
    </row>
    <row r="287" spans="1:7">
      <c r="A287" s="3257" t="s">
        <v>306</v>
      </c>
      <c r="B287" s="3246" t="s">
        <v>2907</v>
      </c>
      <c r="C287" s="3247">
        <v>0.11</v>
      </c>
      <c r="D287" s="3247">
        <v>0.111</v>
      </c>
      <c r="E287" s="3247">
        <v>0.14099999999999999</v>
      </c>
      <c r="F287" s="3247">
        <v>0.11</v>
      </c>
      <c r="G287" s="3248">
        <v>0.12</v>
      </c>
    </row>
    <row r="288" spans="1:7">
      <c r="A288" s="3257" t="s">
        <v>306</v>
      </c>
      <c r="B288" s="3246" t="s">
        <v>219</v>
      </c>
      <c r="C288" s="3247">
        <v>0.14199999999999999</v>
      </c>
      <c r="D288" s="3247">
        <v>0.14299999999999999</v>
      </c>
      <c r="E288" s="3247">
        <v>0.15</v>
      </c>
      <c r="F288" s="3247">
        <v>0.14199999999999999</v>
      </c>
      <c r="G288" s="3248">
        <v>0.14399999999999999</v>
      </c>
    </row>
    <row r="289" spans="1:7">
      <c r="A289" s="3257" t="s">
        <v>306</v>
      </c>
      <c r="B289" s="3246" t="s">
        <v>2912</v>
      </c>
      <c r="C289" s="3247">
        <v>0.14299999999999999</v>
      </c>
      <c r="D289" s="3247">
        <v>0.14299999999999999</v>
      </c>
      <c r="E289" s="3247">
        <v>0.14799999999999999</v>
      </c>
      <c r="F289" s="3247">
        <v>0.14399999999999999</v>
      </c>
      <c r="G289" s="3248">
        <v>0.14399999999999999</v>
      </c>
    </row>
    <row r="290" spans="1:7">
      <c r="A290" s="3257" t="s">
        <v>306</v>
      </c>
      <c r="B290" s="3246" t="s">
        <v>242</v>
      </c>
      <c r="C290" s="3247">
        <v>0.14799999999999999</v>
      </c>
      <c r="D290" s="3247">
        <v>0.14899999999999999</v>
      </c>
      <c r="E290" s="3247">
        <v>0.15</v>
      </c>
      <c r="F290" s="3247">
        <v>0.127</v>
      </c>
      <c r="G290" s="3248">
        <v>0.15</v>
      </c>
    </row>
    <row r="291" spans="1:7">
      <c r="A291" s="3257" t="s">
        <v>306</v>
      </c>
      <c r="B291" s="3246" t="s">
        <v>250</v>
      </c>
      <c r="C291" s="3247">
        <v>0.15</v>
      </c>
      <c r="D291" s="3247">
        <v>0.15</v>
      </c>
      <c r="E291" s="3247">
        <v>0.15</v>
      </c>
      <c r="F291" s="3247">
        <v>0.14899999999999999</v>
      </c>
      <c r="G291" s="3248">
        <v>0.15</v>
      </c>
    </row>
    <row r="292" spans="1:7">
      <c r="A292" s="3257" t="s">
        <v>306</v>
      </c>
      <c r="B292" s="3246" t="s">
        <v>256</v>
      </c>
      <c r="C292" s="3247">
        <v>0.15</v>
      </c>
      <c r="D292" s="3247">
        <v>0.15</v>
      </c>
      <c r="E292" s="3247">
        <v>0.15</v>
      </c>
      <c r="F292" s="3247">
        <v>0.14399999999999999</v>
      </c>
      <c r="G292" s="3248">
        <v>0.15</v>
      </c>
    </row>
    <row r="293" spans="1:7">
      <c r="A293" s="3257" t="s">
        <v>306</v>
      </c>
      <c r="B293" s="3246" t="s">
        <v>2922</v>
      </c>
      <c r="C293" s="3247">
        <v>0.15</v>
      </c>
      <c r="D293" s="3247">
        <v>0.15</v>
      </c>
      <c r="E293" s="3247">
        <v>0.15</v>
      </c>
      <c r="F293" s="3247">
        <v>0.14499999999999999</v>
      </c>
      <c r="G293" s="3248">
        <v>0.15</v>
      </c>
    </row>
    <row r="294" spans="1:7">
      <c r="A294" s="3257" t="s">
        <v>306</v>
      </c>
      <c r="B294" s="3246" t="s">
        <v>2924</v>
      </c>
      <c r="C294" s="3247">
        <v>0.15</v>
      </c>
      <c r="D294" s="3247">
        <v>0.15</v>
      </c>
      <c r="E294" s="3247">
        <v>0.15</v>
      </c>
      <c r="F294" s="3247">
        <v>0.14899999999999999</v>
      </c>
      <c r="G294" s="3248">
        <v>0.15</v>
      </c>
    </row>
    <row r="295" spans="1:7">
      <c r="A295" s="3257" t="s">
        <v>306</v>
      </c>
      <c r="B295" s="3246" t="s">
        <v>290</v>
      </c>
      <c r="C295" s="3247">
        <v>0.15</v>
      </c>
      <c r="D295" s="3247">
        <v>0.15</v>
      </c>
      <c r="E295" s="3247">
        <v>0.15</v>
      </c>
      <c r="F295" s="3247">
        <v>0.14799999999999999</v>
      </c>
      <c r="G295" s="3248">
        <v>0.15</v>
      </c>
    </row>
    <row r="296" spans="1:7">
      <c r="A296" s="3257" t="s">
        <v>306</v>
      </c>
      <c r="B296" s="3246" t="s">
        <v>293</v>
      </c>
      <c r="C296" s="3247">
        <v>0.15</v>
      </c>
      <c r="D296" s="3247">
        <v>0.15</v>
      </c>
      <c r="E296" s="3247">
        <v>0.15</v>
      </c>
      <c r="F296" s="3247">
        <v>0.14399999999999999</v>
      </c>
      <c r="G296" s="3248">
        <v>0.15</v>
      </c>
    </row>
    <row r="297" spans="1:7">
      <c r="A297" s="3257" t="s">
        <v>306</v>
      </c>
      <c r="B297" s="3246" t="s">
        <v>295</v>
      </c>
      <c r="C297" s="3247">
        <v>0.15</v>
      </c>
      <c r="D297" s="3247">
        <v>0.15</v>
      </c>
      <c r="E297" s="3247">
        <v>0.15</v>
      </c>
      <c r="F297" s="3247">
        <v>0.14499999999999999</v>
      </c>
      <c r="G297" s="3248">
        <v>0.15</v>
      </c>
    </row>
    <row r="298" spans="1:7">
      <c r="A298" s="3257" t="s">
        <v>306</v>
      </c>
      <c r="B298" s="3246" t="s">
        <v>298</v>
      </c>
      <c r="C298" s="3247">
        <v>0.15</v>
      </c>
      <c r="D298" s="3247">
        <v>0.15</v>
      </c>
      <c r="E298" s="3247">
        <v>0.15</v>
      </c>
      <c r="F298" s="3247">
        <v>0.15</v>
      </c>
      <c r="G298" s="3248">
        <v>0.15</v>
      </c>
    </row>
    <row r="299" spans="1:7">
      <c r="A299" s="3257" t="s">
        <v>306</v>
      </c>
      <c r="B299" s="3266" t="s">
        <v>2941</v>
      </c>
      <c r="C299" s="3247">
        <v>0.15</v>
      </c>
      <c r="D299" s="3247">
        <v>0.15</v>
      </c>
      <c r="E299" s="3247">
        <v>0.15</v>
      </c>
      <c r="F299" s="3247">
        <v>0.14499999999999999</v>
      </c>
      <c r="G299" s="3248">
        <v>0.15</v>
      </c>
    </row>
    <row r="300" spans="1:7">
      <c r="A300" s="3257" t="s">
        <v>306</v>
      </c>
      <c r="B300" s="3266" t="s">
        <v>271</v>
      </c>
      <c r="C300" s="3247">
        <v>0.15</v>
      </c>
      <c r="D300" s="3247">
        <v>0.15</v>
      </c>
      <c r="E300" s="3247">
        <v>0.15</v>
      </c>
      <c r="F300" s="3247">
        <v>0.14599999999999999</v>
      </c>
      <c r="G300" s="3248">
        <v>0.15</v>
      </c>
    </row>
    <row r="301" spans="1:7">
      <c r="A301" s="3257" t="s">
        <v>306</v>
      </c>
      <c r="B301" s="3266" t="s">
        <v>276</v>
      </c>
      <c r="C301" s="3247">
        <v>0.126</v>
      </c>
      <c r="D301" s="3247">
        <v>0.124</v>
      </c>
      <c r="E301" s="3247">
        <v>0.14099999999999999</v>
      </c>
      <c r="F301" s="3247">
        <v>0.14399999999999999</v>
      </c>
      <c r="G301" s="3248">
        <v>0.13</v>
      </c>
    </row>
    <row r="302" spans="1:7">
      <c r="A302" s="3257" t="s">
        <v>306</v>
      </c>
      <c r="B302" s="3246" t="s">
        <v>2954</v>
      </c>
      <c r="C302" s="3247">
        <v>0.15</v>
      </c>
      <c r="D302" s="3247">
        <v>0.15</v>
      </c>
      <c r="E302" s="3247">
        <v>0.15</v>
      </c>
      <c r="F302" s="3247">
        <v>0.14699999999999999</v>
      </c>
      <c r="G302" s="3248">
        <v>0.15</v>
      </c>
    </row>
    <row r="303" spans="1:7">
      <c r="A303" s="3257" t="s">
        <v>306</v>
      </c>
      <c r="B303" s="3246" t="s">
        <v>2961</v>
      </c>
      <c r="C303" s="3247">
        <v>0.15</v>
      </c>
      <c r="D303" s="3247">
        <v>0.15</v>
      </c>
      <c r="E303" s="3247">
        <v>0.15</v>
      </c>
      <c r="F303" s="3247">
        <v>0.14199999999999999</v>
      </c>
      <c r="G303" s="3248">
        <v>0.15</v>
      </c>
    </row>
    <row r="304" spans="1:7">
      <c r="A304" s="3257" t="s">
        <v>306</v>
      </c>
      <c r="B304" s="3246" t="s">
        <v>2968</v>
      </c>
      <c r="C304" s="3247">
        <v>0.15</v>
      </c>
      <c r="D304" s="3247">
        <v>0.15</v>
      </c>
      <c r="E304" s="3247">
        <v>0.15</v>
      </c>
      <c r="F304" s="3247">
        <v>0.14499999999999999</v>
      </c>
      <c r="G304" s="3248">
        <v>0.15</v>
      </c>
    </row>
    <row r="305" spans="1:7">
      <c r="A305" s="3257" t="s">
        <v>306</v>
      </c>
      <c r="B305" s="3246" t="s">
        <v>2974</v>
      </c>
      <c r="C305" s="3247">
        <v>0.15</v>
      </c>
      <c r="D305" s="3247">
        <v>0.15</v>
      </c>
      <c r="E305" s="3247">
        <v>0.15</v>
      </c>
      <c r="F305" s="3247">
        <v>0.111</v>
      </c>
      <c r="G305" s="3248">
        <v>0.15</v>
      </c>
    </row>
    <row r="306" spans="1:7">
      <c r="A306" s="3257" t="s">
        <v>306</v>
      </c>
      <c r="B306" s="3246" t="s">
        <v>2981</v>
      </c>
      <c r="C306" s="3247">
        <v>0.15</v>
      </c>
      <c r="D306" s="3247">
        <v>0.15</v>
      </c>
      <c r="E306" s="3247">
        <v>0.15</v>
      </c>
      <c r="F306" s="3247">
        <v>0.126</v>
      </c>
      <c r="G306" s="3248">
        <v>0.15</v>
      </c>
    </row>
    <row r="307" spans="1:7">
      <c r="A307" s="3257" t="s">
        <v>306</v>
      </c>
      <c r="B307" s="3246" t="s">
        <v>2986</v>
      </c>
      <c r="C307" s="3247">
        <v>0.15</v>
      </c>
      <c r="D307" s="3247">
        <v>0.15</v>
      </c>
      <c r="E307" s="3247">
        <v>0.15</v>
      </c>
      <c r="F307" s="3247">
        <v>0.12</v>
      </c>
      <c r="G307" s="3248">
        <v>0.15</v>
      </c>
    </row>
    <row r="308" spans="1:7">
      <c r="A308" s="3257" t="s">
        <v>306</v>
      </c>
      <c r="B308" s="3246" t="s">
        <v>2992</v>
      </c>
      <c r="C308" s="3247">
        <v>0.15</v>
      </c>
      <c r="D308" s="3247">
        <v>0.15</v>
      </c>
      <c r="E308" s="3247">
        <v>0.15</v>
      </c>
      <c r="F308" s="3247">
        <v>0.13</v>
      </c>
      <c r="G308" s="3248">
        <v>0.15</v>
      </c>
    </row>
    <row r="309" spans="1:7">
      <c r="A309" s="3257" t="s">
        <v>306</v>
      </c>
      <c r="B309" s="3246" t="s">
        <v>2996</v>
      </c>
      <c r="C309" s="3247">
        <v>0.15</v>
      </c>
      <c r="D309" s="3247">
        <v>0.15</v>
      </c>
      <c r="E309" s="3247">
        <v>0.15</v>
      </c>
      <c r="F309" s="3247">
        <v>0.14099999999999999</v>
      </c>
      <c r="G309" s="3248">
        <v>0.15</v>
      </c>
    </row>
    <row r="310" spans="1:7">
      <c r="A310" s="3257" t="s">
        <v>306</v>
      </c>
      <c r="B310" s="3246" t="s">
        <v>3001</v>
      </c>
      <c r="C310" s="3247">
        <v>0.15</v>
      </c>
      <c r="D310" s="3247">
        <v>0.15</v>
      </c>
      <c r="E310" s="3247">
        <v>0.15</v>
      </c>
      <c r="F310" s="3247">
        <v>0.15</v>
      </c>
      <c r="G310" s="3248">
        <v>0.15</v>
      </c>
    </row>
    <row r="311" spans="1:7">
      <c r="A311" s="3257" t="s">
        <v>306</v>
      </c>
      <c r="B311" s="3246" t="s">
        <v>3006</v>
      </c>
      <c r="C311" s="3247">
        <v>0.13200000000000001</v>
      </c>
      <c r="D311" s="3247">
        <v>0.13300000000000001</v>
      </c>
      <c r="E311" s="3247">
        <v>0.14499999999999999</v>
      </c>
      <c r="F311" s="3247">
        <v>0.14199999999999999</v>
      </c>
      <c r="G311" s="3248">
        <v>0.14000000000000001</v>
      </c>
    </row>
    <row r="312" spans="1:7">
      <c r="A312" s="3257" t="s">
        <v>306</v>
      </c>
      <c r="B312" s="3246" t="s">
        <v>3011</v>
      </c>
      <c r="C312" s="3247">
        <v>0.13800000000000001</v>
      </c>
      <c r="D312" s="3247">
        <v>0.14000000000000001</v>
      </c>
      <c r="E312" s="3247">
        <v>0.14599999999999999</v>
      </c>
      <c r="F312" s="3247">
        <v>0.14899999999999999</v>
      </c>
      <c r="G312" s="3248">
        <v>0.14199999999999999</v>
      </c>
    </row>
    <row r="313" spans="1:7">
      <c r="A313" s="3257" t="s">
        <v>306</v>
      </c>
      <c r="B313" s="3246" t="s">
        <v>3016</v>
      </c>
      <c r="C313" s="3247">
        <v>0.125</v>
      </c>
      <c r="D313" s="3247">
        <v>0.127</v>
      </c>
      <c r="E313" s="3247">
        <v>0.14399999999999999</v>
      </c>
      <c r="F313" s="3247">
        <v>0.115</v>
      </c>
      <c r="G313" s="3248">
        <v>0.13600000000000001</v>
      </c>
    </row>
    <row r="314" spans="1:7">
      <c r="A314" s="3257" t="s">
        <v>306</v>
      </c>
      <c r="B314" s="3246" t="s">
        <v>3225</v>
      </c>
      <c r="C314" s="3263"/>
      <c r="D314" s="3263"/>
      <c r="E314" s="3263"/>
      <c r="F314" s="3247">
        <v>0.05</v>
      </c>
      <c r="G314" s="3264"/>
    </row>
    <row r="315" spans="1:7">
      <c r="A315" s="3257" t="s">
        <v>306</v>
      </c>
      <c r="B315" s="3246" t="s">
        <v>3226</v>
      </c>
      <c r="C315" s="3263"/>
      <c r="D315" s="3263"/>
      <c r="E315" s="3263"/>
      <c r="F315" s="3247">
        <v>0.05</v>
      </c>
      <c r="G315" s="3264"/>
    </row>
    <row r="316" spans="1:7">
      <c r="A316" s="3257" t="s">
        <v>306</v>
      </c>
      <c r="B316" s="3246" t="s">
        <v>3227</v>
      </c>
      <c r="C316" s="3258"/>
      <c r="D316" s="3258"/>
      <c r="E316" s="3258"/>
      <c r="F316" s="3247">
        <v>0.05</v>
      </c>
      <c r="G316" s="3264"/>
    </row>
    <row r="317" spans="1:7">
      <c r="A317" s="3257" t="s">
        <v>306</v>
      </c>
      <c r="B317" s="3246" t="s">
        <v>3228</v>
      </c>
      <c r="C317" s="3258"/>
      <c r="D317" s="3258"/>
      <c r="E317" s="3258"/>
      <c r="F317" s="3247">
        <v>0.05</v>
      </c>
      <c r="G317" s="3264"/>
    </row>
    <row r="318" spans="1:7">
      <c r="A318" s="3257" t="s">
        <v>306</v>
      </c>
      <c r="B318" s="3246" t="s">
        <v>3229</v>
      </c>
      <c r="C318" s="3258"/>
      <c r="D318" s="3258"/>
      <c r="E318" s="3258"/>
      <c r="F318" s="3247">
        <v>0.05</v>
      </c>
      <c r="G318" s="3264"/>
    </row>
    <row r="319" spans="1:7">
      <c r="A319" s="3257" t="s">
        <v>306</v>
      </c>
      <c r="B319" s="3246" t="s">
        <v>3230</v>
      </c>
      <c r="C319" s="3258"/>
      <c r="D319" s="3258"/>
      <c r="E319" s="3258"/>
      <c r="F319" s="3247">
        <v>0.05</v>
      </c>
      <c r="G319" s="3264"/>
    </row>
    <row r="320" spans="1:7">
      <c r="A320" s="3257" t="s">
        <v>306</v>
      </c>
      <c r="B320" s="3246" t="s">
        <v>3231</v>
      </c>
      <c r="C320" s="3258"/>
      <c r="D320" s="3258"/>
      <c r="E320" s="3258"/>
      <c r="F320" s="3247">
        <v>0.05</v>
      </c>
      <c r="G320" s="3264"/>
    </row>
    <row r="321" spans="1:7">
      <c r="A321" s="3257" t="s">
        <v>306</v>
      </c>
      <c r="B321" s="3246" t="s">
        <v>3232</v>
      </c>
      <c r="C321" s="3258"/>
      <c r="D321" s="3258"/>
      <c r="E321" s="3258"/>
      <c r="F321" s="3247">
        <v>0.05</v>
      </c>
      <c r="G321" s="3264"/>
    </row>
    <row r="322" spans="1:7">
      <c r="A322" s="3257" t="s">
        <v>306</v>
      </c>
      <c r="B322" s="3246" t="s">
        <v>3233</v>
      </c>
      <c r="C322" s="3258"/>
      <c r="D322" s="3258"/>
      <c r="E322" s="3258"/>
      <c r="F322" s="3247">
        <v>0.05</v>
      </c>
      <c r="G322" s="3264"/>
    </row>
    <row r="323" spans="1:7">
      <c r="A323" s="3257" t="s">
        <v>306</v>
      </c>
      <c r="B323" s="3246" t="s">
        <v>3234</v>
      </c>
      <c r="C323" s="3258"/>
      <c r="D323" s="3258"/>
      <c r="E323" s="3258"/>
      <c r="F323" s="3247">
        <v>0.05</v>
      </c>
      <c r="G323" s="3264"/>
    </row>
    <row r="324" spans="1:7">
      <c r="A324" s="3257" t="s">
        <v>306</v>
      </c>
      <c r="B324" s="3246" t="s">
        <v>3235</v>
      </c>
      <c r="C324" s="3258"/>
      <c r="D324" s="3258"/>
      <c r="E324" s="3258"/>
      <c r="F324" s="3247">
        <v>0.05</v>
      </c>
      <c r="G324" s="3264"/>
    </row>
    <row r="325" spans="1:7">
      <c r="A325" s="3257" t="s">
        <v>306</v>
      </c>
      <c r="B325" s="3246" t="s">
        <v>3236</v>
      </c>
      <c r="C325" s="3258"/>
      <c r="D325" s="3258"/>
      <c r="E325" s="3258"/>
      <c r="F325" s="3247">
        <v>0.05</v>
      </c>
      <c r="G325" s="3264"/>
    </row>
    <row r="326" spans="1:7" ht="14.25" thickBot="1">
      <c r="A326" s="3260" t="s">
        <v>306</v>
      </c>
      <c r="B326" s="3250" t="s">
        <v>3237</v>
      </c>
      <c r="C326" s="3252"/>
      <c r="D326" s="3252"/>
      <c r="E326" s="3252"/>
      <c r="F326" s="3251">
        <v>0.05</v>
      </c>
      <c r="G326" s="3265"/>
    </row>
    <row r="327" spans="1:7">
      <c r="A327" s="3256" t="s">
        <v>307</v>
      </c>
      <c r="B327" s="3242" t="s">
        <v>2869</v>
      </c>
      <c r="C327" s="3243">
        <v>0.15</v>
      </c>
      <c r="D327" s="3243">
        <v>0.15</v>
      </c>
      <c r="E327" s="3243">
        <v>0.15</v>
      </c>
      <c r="F327" s="3243">
        <v>0.15</v>
      </c>
      <c r="G327" s="3244">
        <v>0.15</v>
      </c>
    </row>
    <row r="328" spans="1:7">
      <c r="A328" s="3257" t="s">
        <v>307</v>
      </c>
      <c r="B328" s="3246" t="s">
        <v>136</v>
      </c>
      <c r="C328" s="3247">
        <v>0.15</v>
      </c>
      <c r="D328" s="3247">
        <v>0.15</v>
      </c>
      <c r="E328" s="3247">
        <v>0.15</v>
      </c>
      <c r="F328" s="3247">
        <v>0.126</v>
      </c>
      <c r="G328" s="3248">
        <v>0.15</v>
      </c>
    </row>
    <row r="329" spans="1:7">
      <c r="A329" s="3257" t="s">
        <v>307</v>
      </c>
      <c r="B329" s="3246" t="s">
        <v>2881</v>
      </c>
      <c r="C329" s="3247">
        <v>0.15</v>
      </c>
      <c r="D329" s="3247">
        <v>0.15</v>
      </c>
      <c r="E329" s="3247">
        <v>0.15</v>
      </c>
      <c r="F329" s="3247">
        <v>0.15</v>
      </c>
      <c r="G329" s="3248">
        <v>0.15</v>
      </c>
    </row>
    <row r="330" spans="1:7">
      <c r="A330" s="3257" t="s">
        <v>307</v>
      </c>
      <c r="B330" s="3246" t="s">
        <v>2885</v>
      </c>
      <c r="C330" s="3247">
        <v>0.15</v>
      </c>
      <c r="D330" s="3247">
        <v>0.15</v>
      </c>
      <c r="E330" s="3247">
        <v>0.15</v>
      </c>
      <c r="F330" s="3247">
        <v>0.15</v>
      </c>
      <c r="G330" s="3248">
        <v>0.15</v>
      </c>
    </row>
    <row r="331" spans="1:7">
      <c r="A331" s="3257" t="s">
        <v>307</v>
      </c>
      <c r="B331" s="3246" t="s">
        <v>161</v>
      </c>
      <c r="C331" s="3247">
        <v>0.15</v>
      </c>
      <c r="D331" s="3247">
        <v>0.15</v>
      </c>
      <c r="E331" s="3247">
        <v>0.15</v>
      </c>
      <c r="F331" s="3247">
        <v>0.15</v>
      </c>
      <c r="G331" s="3248">
        <v>0.15</v>
      </c>
    </row>
    <row r="332" spans="1:7">
      <c r="A332" s="3257" t="s">
        <v>307</v>
      </c>
      <c r="B332" s="3246" t="s">
        <v>2893</v>
      </c>
      <c r="C332" s="3247">
        <v>0.15</v>
      </c>
      <c r="D332" s="3247">
        <v>0.15</v>
      </c>
      <c r="E332" s="3247">
        <v>0.15</v>
      </c>
      <c r="F332" s="3247">
        <v>0.15</v>
      </c>
      <c r="G332" s="3248">
        <v>0.15</v>
      </c>
    </row>
    <row r="333" spans="1:7">
      <c r="A333" s="3257" t="s">
        <v>307</v>
      </c>
      <c r="B333" s="3246" t="s">
        <v>2897</v>
      </c>
      <c r="C333" s="3247">
        <v>0.14899999999999999</v>
      </c>
      <c r="D333" s="3247">
        <v>0.14899999999999999</v>
      </c>
      <c r="E333" s="3247">
        <v>0.15</v>
      </c>
      <c r="F333" s="3247">
        <v>0.11600000000000001</v>
      </c>
      <c r="G333" s="3248">
        <v>0.15</v>
      </c>
    </row>
    <row r="334" spans="1:7">
      <c r="A334" s="3257" t="s">
        <v>307</v>
      </c>
      <c r="B334" s="3246" t="s">
        <v>183</v>
      </c>
      <c r="C334" s="3247">
        <v>0.15</v>
      </c>
      <c r="D334" s="3247">
        <v>0.15</v>
      </c>
      <c r="E334" s="3247">
        <v>0.15</v>
      </c>
      <c r="F334" s="3247">
        <v>0.13</v>
      </c>
      <c r="G334" s="3248">
        <v>0.15</v>
      </c>
    </row>
    <row r="335" spans="1:7">
      <c r="A335" s="3257" t="s">
        <v>307</v>
      </c>
      <c r="B335" s="3246" t="s">
        <v>193</v>
      </c>
      <c r="C335" s="3247">
        <v>0.15</v>
      </c>
      <c r="D335" s="3247">
        <v>0.15</v>
      </c>
      <c r="E335" s="3247">
        <v>0.15</v>
      </c>
      <c r="F335" s="3247">
        <v>0.14399999999999999</v>
      </c>
      <c r="G335" s="3248">
        <v>0.15</v>
      </c>
    </row>
    <row r="336" spans="1:7">
      <c r="A336" s="3257" t="s">
        <v>307</v>
      </c>
      <c r="B336" s="3246" t="s">
        <v>2903</v>
      </c>
      <c r="C336" s="3247">
        <v>0.15</v>
      </c>
      <c r="D336" s="3247">
        <v>0.15</v>
      </c>
      <c r="E336" s="3247">
        <v>0.15</v>
      </c>
      <c r="F336" s="3247">
        <v>0.14199999999999999</v>
      </c>
      <c r="G336" s="3248">
        <v>0.15</v>
      </c>
    </row>
    <row r="337" spans="1:7">
      <c r="A337" s="3257" t="s">
        <v>307</v>
      </c>
      <c r="B337" s="3246" t="s">
        <v>2908</v>
      </c>
      <c r="C337" s="3247">
        <v>0.15</v>
      </c>
      <c r="D337" s="3247">
        <v>0.15</v>
      </c>
      <c r="E337" s="3247">
        <v>0.15</v>
      </c>
      <c r="F337" s="3247">
        <v>0.14499999999999999</v>
      </c>
      <c r="G337" s="3248">
        <v>0.15</v>
      </c>
    </row>
    <row r="338" spans="1:7">
      <c r="A338" s="3257" t="s">
        <v>307</v>
      </c>
      <c r="B338" s="3246" t="s">
        <v>220</v>
      </c>
      <c r="C338" s="3247">
        <v>0.15</v>
      </c>
      <c r="D338" s="3247">
        <v>0.15</v>
      </c>
      <c r="E338" s="3247">
        <v>0.15</v>
      </c>
      <c r="F338" s="3247">
        <v>0.15</v>
      </c>
      <c r="G338" s="3248">
        <v>0.15</v>
      </c>
    </row>
    <row r="339" spans="1:7">
      <c r="A339" s="3257" t="s">
        <v>307</v>
      </c>
      <c r="B339" s="3246" t="s">
        <v>228</v>
      </c>
      <c r="C339" s="3247">
        <v>0.15</v>
      </c>
      <c r="D339" s="3247">
        <v>0.15</v>
      </c>
      <c r="E339" s="3247">
        <v>0.15</v>
      </c>
      <c r="F339" s="3247">
        <v>0.14699999999999999</v>
      </c>
      <c r="G339" s="3248">
        <v>0.15</v>
      </c>
    </row>
    <row r="340" spans="1:7">
      <c r="A340" s="3257" t="s">
        <v>307</v>
      </c>
      <c r="B340" s="3246" t="s">
        <v>2915</v>
      </c>
      <c r="C340" s="3247">
        <v>0.14599999999999999</v>
      </c>
      <c r="D340" s="3247">
        <v>0.14599999999999999</v>
      </c>
      <c r="E340" s="3247">
        <v>0.15</v>
      </c>
      <c r="F340" s="3247">
        <v>0.14099999999999999</v>
      </c>
      <c r="G340" s="3248">
        <v>0.14699999999999999</v>
      </c>
    </row>
    <row r="341" spans="1:7">
      <c r="A341" s="3257" t="s">
        <v>307</v>
      </c>
      <c r="B341" s="3246" t="s">
        <v>207</v>
      </c>
      <c r="C341" s="3247">
        <v>0.126</v>
      </c>
      <c r="D341" s="3247">
        <v>0.124</v>
      </c>
      <c r="E341" s="3247">
        <v>0.14099999999999999</v>
      </c>
      <c r="F341" s="3247">
        <v>0.14399999999999999</v>
      </c>
      <c r="G341" s="3248">
        <v>0.13</v>
      </c>
    </row>
    <row r="342" spans="1:7">
      <c r="A342" s="3257" t="s">
        <v>307</v>
      </c>
      <c r="B342" s="3246" t="s">
        <v>2920</v>
      </c>
      <c r="C342" s="3247">
        <v>0.15</v>
      </c>
      <c r="D342" s="3247">
        <v>0.15</v>
      </c>
      <c r="E342" s="3247">
        <v>0.15</v>
      </c>
      <c r="F342" s="3247">
        <v>0.14399999999999999</v>
      </c>
      <c r="G342" s="3248">
        <v>0.15</v>
      </c>
    </row>
    <row r="343" spans="1:7">
      <c r="A343" s="3257" t="s">
        <v>307</v>
      </c>
      <c r="B343" s="3246" t="s">
        <v>257</v>
      </c>
      <c r="C343" s="3247">
        <v>0.15</v>
      </c>
      <c r="D343" s="3247">
        <v>0.15</v>
      </c>
      <c r="E343" s="3247">
        <v>0.15</v>
      </c>
      <c r="F343" s="3247">
        <v>0.128</v>
      </c>
      <c r="G343" s="3248">
        <v>0.15</v>
      </c>
    </row>
    <row r="344" spans="1:7">
      <c r="A344" s="3257" t="s">
        <v>307</v>
      </c>
      <c r="B344" s="3246" t="s">
        <v>265</v>
      </c>
      <c r="C344" s="3247">
        <v>0.15</v>
      </c>
      <c r="D344" s="3247">
        <v>0.15</v>
      </c>
      <c r="E344" s="3247">
        <v>0.15</v>
      </c>
      <c r="F344" s="3247">
        <v>0.14799999999999999</v>
      </c>
      <c r="G344" s="3248">
        <v>0.15</v>
      </c>
    </row>
    <row r="345" spans="1:7">
      <c r="A345" s="3257" t="s">
        <v>307</v>
      </c>
      <c r="B345" s="3246" t="s">
        <v>2928</v>
      </c>
      <c r="C345" s="3247">
        <v>0.15</v>
      </c>
      <c r="D345" s="3247">
        <v>0.15</v>
      </c>
      <c r="E345" s="3247">
        <v>0.15</v>
      </c>
      <c r="F345" s="3247">
        <v>0.13800000000000001</v>
      </c>
      <c r="G345" s="3248">
        <v>0.15</v>
      </c>
    </row>
    <row r="346" spans="1:7">
      <c r="A346" s="3257" t="s">
        <v>307</v>
      </c>
      <c r="B346" s="3246" t="s">
        <v>2930</v>
      </c>
      <c r="C346" s="3247">
        <v>0.15</v>
      </c>
      <c r="D346" s="3247">
        <v>0.15</v>
      </c>
      <c r="E346" s="3247">
        <v>0.15</v>
      </c>
      <c r="F346" s="3247">
        <v>0.14399999999999999</v>
      </c>
      <c r="G346" s="3248">
        <v>0.15</v>
      </c>
    </row>
    <row r="347" spans="1:7">
      <c r="A347" s="3257" t="s">
        <v>307</v>
      </c>
      <c r="B347" s="3246" t="s">
        <v>243</v>
      </c>
      <c r="C347" s="3247">
        <v>0.15</v>
      </c>
      <c r="D347" s="3247">
        <v>0.15</v>
      </c>
      <c r="E347" s="3247">
        <v>0.15</v>
      </c>
      <c r="F347" s="3247">
        <v>0.14599999999999999</v>
      </c>
      <c r="G347" s="3248">
        <v>0.15</v>
      </c>
    </row>
    <row r="348" spans="1:7">
      <c r="A348" s="3257" t="s">
        <v>307</v>
      </c>
      <c r="B348" s="3246" t="s">
        <v>2937</v>
      </c>
      <c r="C348" s="3247">
        <v>0.15</v>
      </c>
      <c r="D348" s="3247">
        <v>0.15</v>
      </c>
      <c r="E348" s="3247">
        <v>0.15</v>
      </c>
      <c r="F348" s="3247">
        <v>0.14399999999999999</v>
      </c>
      <c r="G348" s="3248">
        <v>0.15</v>
      </c>
    </row>
    <row r="349" spans="1:7">
      <c r="A349" s="3257" t="s">
        <v>307</v>
      </c>
      <c r="B349" s="3246" t="s">
        <v>2942</v>
      </c>
      <c r="C349" s="3247">
        <v>0.15</v>
      </c>
      <c r="D349" s="3247">
        <v>0.15</v>
      </c>
      <c r="E349" s="3247">
        <v>0.15</v>
      </c>
      <c r="F349" s="3247">
        <v>0.15</v>
      </c>
      <c r="G349" s="3248">
        <v>0.15</v>
      </c>
    </row>
    <row r="350" spans="1:7">
      <c r="A350" s="3257" t="s">
        <v>307</v>
      </c>
      <c r="B350" s="3246" t="s">
        <v>2945</v>
      </c>
      <c r="C350" s="3247">
        <v>0.15</v>
      </c>
      <c r="D350" s="3247">
        <v>0.15</v>
      </c>
      <c r="E350" s="3247">
        <v>0.15</v>
      </c>
      <c r="F350" s="3247">
        <v>0.14699999999999999</v>
      </c>
      <c r="G350" s="3248">
        <v>0.15</v>
      </c>
    </row>
    <row r="351" spans="1:7">
      <c r="A351" s="3257" t="s">
        <v>307</v>
      </c>
      <c r="B351" s="3246" t="s">
        <v>2950</v>
      </c>
      <c r="C351" s="3247">
        <v>0.15</v>
      </c>
      <c r="D351" s="3247">
        <v>0.15</v>
      </c>
      <c r="E351" s="3247">
        <v>0.15</v>
      </c>
      <c r="F351" s="3247">
        <v>0.13</v>
      </c>
      <c r="G351" s="3248">
        <v>0.15</v>
      </c>
    </row>
    <row r="352" spans="1:7">
      <c r="A352" s="3257" t="s">
        <v>307</v>
      </c>
      <c r="B352" s="3246" t="s">
        <v>2955</v>
      </c>
      <c r="C352" s="3247">
        <v>0.15</v>
      </c>
      <c r="D352" s="3247">
        <v>0.15</v>
      </c>
      <c r="E352" s="3247">
        <v>0.15</v>
      </c>
      <c r="F352" s="3247">
        <v>0.14599999999999999</v>
      </c>
      <c r="G352" s="3248">
        <v>0.15</v>
      </c>
    </row>
    <row r="353" spans="1:7">
      <c r="A353" s="3257" t="s">
        <v>307</v>
      </c>
      <c r="B353" s="3246" t="s">
        <v>2962</v>
      </c>
      <c r="C353" s="3247">
        <v>0.15</v>
      </c>
      <c r="D353" s="3247">
        <v>0.15</v>
      </c>
      <c r="E353" s="3247">
        <v>0.15</v>
      </c>
      <c r="F353" s="3247">
        <v>0.14499999999999999</v>
      </c>
      <c r="G353" s="3248">
        <v>0.15</v>
      </c>
    </row>
    <row r="354" spans="1:7">
      <c r="A354" s="3257" t="s">
        <v>307</v>
      </c>
      <c r="B354" s="3246" t="s">
        <v>280</v>
      </c>
      <c r="C354" s="3247">
        <v>0.15</v>
      </c>
      <c r="D354" s="3247">
        <v>0.15</v>
      </c>
      <c r="E354" s="3247">
        <v>0.15</v>
      </c>
      <c r="F354" s="3247">
        <v>0.14099999999999999</v>
      </c>
      <c r="G354" s="3248">
        <v>0.15</v>
      </c>
    </row>
    <row r="355" spans="1:7">
      <c r="A355" s="3257" t="s">
        <v>307</v>
      </c>
      <c r="B355" s="3246" t="s">
        <v>2975</v>
      </c>
      <c r="C355" s="3247">
        <v>0.15</v>
      </c>
      <c r="D355" s="3247">
        <v>0.15</v>
      </c>
      <c r="E355" s="3247">
        <v>0.15</v>
      </c>
      <c r="F355" s="3247">
        <v>0.15</v>
      </c>
      <c r="G355" s="3248">
        <v>0.15</v>
      </c>
    </row>
    <row r="356" spans="1:7">
      <c r="A356" s="3257" t="s">
        <v>307</v>
      </c>
      <c r="B356" s="3246" t="s">
        <v>2982</v>
      </c>
      <c r="C356" s="3247">
        <v>0.15</v>
      </c>
      <c r="D356" s="3247">
        <v>0.15</v>
      </c>
      <c r="E356" s="3247">
        <v>0.15</v>
      </c>
      <c r="F356" s="3247">
        <v>0.15</v>
      </c>
      <c r="G356" s="3248">
        <v>0.15</v>
      </c>
    </row>
    <row r="357" spans="1:7" ht="14.25" thickBot="1">
      <c r="A357" s="3260" t="s">
        <v>307</v>
      </c>
      <c r="B357" s="3250" t="s">
        <v>2987</v>
      </c>
      <c r="C357" s="3251">
        <v>0.126</v>
      </c>
      <c r="D357" s="3251">
        <v>0.127</v>
      </c>
      <c r="E357" s="3251">
        <v>0.14299999999999999</v>
      </c>
      <c r="F357" s="3251">
        <v>0.125</v>
      </c>
      <c r="G357" s="3253">
        <v>0.129</v>
      </c>
    </row>
    <row r="358" spans="1:7">
      <c r="A358" s="3256" t="s">
        <v>2856</v>
      </c>
      <c r="B358" s="3242" t="s">
        <v>2870</v>
      </c>
      <c r="C358" s="3243">
        <v>0.15</v>
      </c>
      <c r="D358" s="3243">
        <v>0.15</v>
      </c>
      <c r="E358" s="3243">
        <v>0.15</v>
      </c>
      <c r="F358" s="3243">
        <v>0.15</v>
      </c>
      <c r="G358" s="3244">
        <v>0.15</v>
      </c>
    </row>
    <row r="359" spans="1:7">
      <c r="A359" s="3257" t="s">
        <v>2856</v>
      </c>
      <c r="B359" s="3246" t="s">
        <v>2876</v>
      </c>
      <c r="C359" s="3247">
        <v>0.1</v>
      </c>
      <c r="D359" s="3247">
        <v>0.1</v>
      </c>
      <c r="E359" s="3247">
        <v>0.1</v>
      </c>
      <c r="F359" s="3247">
        <v>0.1</v>
      </c>
      <c r="G359" s="3248">
        <v>0.1</v>
      </c>
    </row>
    <row r="360" spans="1:7">
      <c r="A360" s="3257" t="s">
        <v>2856</v>
      </c>
      <c r="B360" s="3246" t="s">
        <v>2882</v>
      </c>
      <c r="C360" s="3247">
        <v>0.15</v>
      </c>
      <c r="D360" s="3247">
        <v>0.15</v>
      </c>
      <c r="E360" s="3247">
        <v>0.15</v>
      </c>
      <c r="F360" s="3247">
        <v>0.14899999999999999</v>
      </c>
      <c r="G360" s="3248">
        <v>0.15</v>
      </c>
    </row>
    <row r="361" spans="1:7">
      <c r="A361" s="3257" t="s">
        <v>2856</v>
      </c>
      <c r="B361" s="3246" t="s">
        <v>153</v>
      </c>
      <c r="C361" s="3247">
        <v>0.15</v>
      </c>
      <c r="D361" s="3247">
        <v>0.15</v>
      </c>
      <c r="E361" s="3247">
        <v>0.15</v>
      </c>
      <c r="F361" s="3247">
        <v>0.115</v>
      </c>
      <c r="G361" s="3248">
        <v>0.15</v>
      </c>
    </row>
    <row r="362" spans="1:7">
      <c r="A362" s="3257" t="s">
        <v>2856</v>
      </c>
      <c r="B362" s="3246" t="s">
        <v>2889</v>
      </c>
      <c r="C362" s="3247">
        <v>0.15</v>
      </c>
      <c r="D362" s="3247">
        <v>0.15</v>
      </c>
      <c r="E362" s="3247">
        <v>0.15</v>
      </c>
      <c r="F362" s="3247">
        <v>0.106</v>
      </c>
      <c r="G362" s="3248">
        <v>0.15</v>
      </c>
    </row>
    <row r="363" spans="1:7">
      <c r="A363" s="3257" t="s">
        <v>2856</v>
      </c>
      <c r="B363" s="3246" t="s">
        <v>2894</v>
      </c>
      <c r="C363" s="3247">
        <v>0.15</v>
      </c>
      <c r="D363" s="3247">
        <v>0.15</v>
      </c>
      <c r="E363" s="3247">
        <v>0.15</v>
      </c>
      <c r="F363" s="3247">
        <v>0.14699999999999999</v>
      </c>
      <c r="G363" s="3248">
        <v>0.15</v>
      </c>
    </row>
    <row r="364" spans="1:7">
      <c r="A364" s="3257" t="s">
        <v>2856</v>
      </c>
      <c r="B364" s="3246" t="s">
        <v>2898</v>
      </c>
      <c r="C364" s="3247">
        <v>0.15</v>
      </c>
      <c r="D364" s="3247">
        <v>0.15</v>
      </c>
      <c r="E364" s="3247">
        <v>0.15</v>
      </c>
      <c r="F364" s="3247">
        <v>0.14799999999999999</v>
      </c>
      <c r="G364" s="3248">
        <v>0.15</v>
      </c>
    </row>
    <row r="365" spans="1:7">
      <c r="A365" s="3257" t="s">
        <v>2856</v>
      </c>
      <c r="B365" s="3246" t="s">
        <v>200</v>
      </c>
      <c r="C365" s="3247">
        <v>0.15</v>
      </c>
      <c r="D365" s="3247">
        <v>0.15</v>
      </c>
      <c r="E365" s="3247">
        <v>0.15</v>
      </c>
      <c r="F365" s="3247">
        <v>0.15</v>
      </c>
      <c r="G365" s="3248">
        <v>0.15</v>
      </c>
    </row>
    <row r="366" spans="1:7">
      <c r="A366" s="3257" t="s">
        <v>2856</v>
      </c>
      <c r="B366" s="3246" t="s">
        <v>2901</v>
      </c>
      <c r="C366" s="3247">
        <v>0.15</v>
      </c>
      <c r="D366" s="3247">
        <v>0.15</v>
      </c>
      <c r="E366" s="3247">
        <v>0.15</v>
      </c>
      <c r="F366" s="3247">
        <v>0.15</v>
      </c>
      <c r="G366" s="3248">
        <v>0.15</v>
      </c>
    </row>
    <row r="367" spans="1:7">
      <c r="A367" s="3257" t="s">
        <v>2856</v>
      </c>
      <c r="B367" s="3246" t="s">
        <v>2904</v>
      </c>
      <c r="C367" s="3247">
        <v>0.15</v>
      </c>
      <c r="D367" s="3247">
        <v>0.15</v>
      </c>
      <c r="E367" s="3247">
        <v>0.15</v>
      </c>
      <c r="F367" s="3247">
        <v>0.14699999999999999</v>
      </c>
      <c r="G367" s="3248">
        <v>0.15</v>
      </c>
    </row>
    <row r="368" spans="1:7">
      <c r="A368" s="3257" t="s">
        <v>2856</v>
      </c>
      <c r="B368" s="3246" t="s">
        <v>2909</v>
      </c>
      <c r="C368" s="3247">
        <v>0.15</v>
      </c>
      <c r="D368" s="3247">
        <v>0.15</v>
      </c>
      <c r="E368" s="3247">
        <v>0.15</v>
      </c>
      <c r="F368" s="3247">
        <v>0.13600000000000001</v>
      </c>
      <c r="G368" s="3248">
        <v>0.15</v>
      </c>
    </row>
    <row r="369" spans="1:7">
      <c r="A369" s="3257" t="s">
        <v>2856</v>
      </c>
      <c r="B369" s="3246" t="s">
        <v>214</v>
      </c>
      <c r="C369" s="3247">
        <v>0.15</v>
      </c>
      <c r="D369" s="3247">
        <v>0.15</v>
      </c>
      <c r="E369" s="3247">
        <v>0.15</v>
      </c>
      <c r="F369" s="3247">
        <v>0.14399999999999999</v>
      </c>
      <c r="G369" s="3248">
        <v>0.15</v>
      </c>
    </row>
    <row r="370" spans="1:7">
      <c r="A370" s="3257" t="s">
        <v>2856</v>
      </c>
      <c r="B370" s="3246" t="s">
        <v>221</v>
      </c>
      <c r="C370" s="3247">
        <v>0.15</v>
      </c>
      <c r="D370" s="3247">
        <v>0.15</v>
      </c>
      <c r="E370" s="3247">
        <v>0.15</v>
      </c>
      <c r="F370" s="3247">
        <v>0.14599999999999999</v>
      </c>
      <c r="G370" s="3248">
        <v>0.15</v>
      </c>
    </row>
    <row r="371" spans="1:7">
      <c r="A371" s="3257" t="s">
        <v>2856</v>
      </c>
      <c r="B371" s="3246" t="s">
        <v>229</v>
      </c>
      <c r="C371" s="3247">
        <v>0.15</v>
      </c>
      <c r="D371" s="3247">
        <v>0.15</v>
      </c>
      <c r="E371" s="3247">
        <v>0.15</v>
      </c>
      <c r="F371" s="3247">
        <v>0.12</v>
      </c>
      <c r="G371" s="3248">
        <v>0.15</v>
      </c>
    </row>
    <row r="372" spans="1:7">
      <c r="A372" s="3257" t="s">
        <v>2856</v>
      </c>
      <c r="B372" s="3246" t="s">
        <v>2917</v>
      </c>
      <c r="C372" s="3247">
        <v>0.15</v>
      </c>
      <c r="D372" s="3247">
        <v>0.15</v>
      </c>
      <c r="E372" s="3247">
        <v>0.15</v>
      </c>
      <c r="F372" s="3247">
        <v>0.14299999999999999</v>
      </c>
      <c r="G372" s="3248">
        <v>0.15</v>
      </c>
    </row>
    <row r="373" spans="1:7">
      <c r="A373" s="3257" t="s">
        <v>2856</v>
      </c>
      <c r="B373" s="3246" t="s">
        <v>258</v>
      </c>
      <c r="C373" s="3247">
        <v>0.15</v>
      </c>
      <c r="D373" s="3247">
        <v>0.15</v>
      </c>
      <c r="E373" s="3247">
        <v>0.15</v>
      </c>
      <c r="F373" s="3247">
        <v>0.14599999999999999</v>
      </c>
      <c r="G373" s="3248">
        <v>0.15</v>
      </c>
    </row>
    <row r="374" spans="1:7">
      <c r="A374" s="3257" t="s">
        <v>2856</v>
      </c>
      <c r="B374" s="3246" t="s">
        <v>266</v>
      </c>
      <c r="C374" s="3247">
        <v>0.15</v>
      </c>
      <c r="D374" s="3247">
        <v>0.15</v>
      </c>
      <c r="E374" s="3247">
        <v>0.15</v>
      </c>
      <c r="F374" s="3247">
        <v>0.14399999999999999</v>
      </c>
      <c r="G374" s="3248">
        <v>0.15</v>
      </c>
    </row>
    <row r="375" spans="1:7">
      <c r="A375" s="3257" t="s">
        <v>2856</v>
      </c>
      <c r="B375" s="3246" t="s">
        <v>2925</v>
      </c>
      <c r="C375" s="3247">
        <v>0.15</v>
      </c>
      <c r="D375" s="3247">
        <v>0.15</v>
      </c>
      <c r="E375" s="3247">
        <v>0.15</v>
      </c>
      <c r="F375" s="3247">
        <v>0.13</v>
      </c>
      <c r="G375" s="3248">
        <v>0.15</v>
      </c>
    </row>
    <row r="376" spans="1:7">
      <c r="A376" s="3257" t="s">
        <v>2856</v>
      </c>
      <c r="B376" s="3246" t="s">
        <v>277</v>
      </c>
      <c r="C376" s="3247">
        <v>0.15</v>
      </c>
      <c r="D376" s="3247">
        <v>0.15</v>
      </c>
      <c r="E376" s="3247">
        <v>0.15</v>
      </c>
      <c r="F376" s="3247">
        <v>0.14199999999999999</v>
      </c>
      <c r="G376" s="3248">
        <v>0.15</v>
      </c>
    </row>
    <row r="377" spans="1:7" ht="14.25" thickBot="1">
      <c r="A377" s="3260" t="s">
        <v>2856</v>
      </c>
      <c r="B377" s="3250" t="s">
        <v>2931</v>
      </c>
      <c r="C377" s="3251">
        <v>0.15</v>
      </c>
      <c r="D377" s="3251">
        <v>0.15</v>
      </c>
      <c r="E377" s="3251">
        <v>0.15</v>
      </c>
      <c r="F377" s="3251">
        <v>0.14000000000000001</v>
      </c>
      <c r="G377" s="3253">
        <v>0.15</v>
      </c>
    </row>
    <row r="378" spans="1:7">
      <c r="A378" s="3256" t="s">
        <v>2857</v>
      </c>
      <c r="B378" s="3242" t="s">
        <v>2871</v>
      </c>
      <c r="C378" s="3243">
        <v>0.15</v>
      </c>
      <c r="D378" s="3243">
        <v>0.15</v>
      </c>
      <c r="E378" s="3243">
        <v>0.15</v>
      </c>
      <c r="F378" s="3243">
        <v>0.107</v>
      </c>
      <c r="G378" s="3244">
        <v>0.15</v>
      </c>
    </row>
    <row r="379" spans="1:7">
      <c r="A379" s="3257" t="s">
        <v>2857</v>
      </c>
      <c r="B379" s="3246" t="s">
        <v>2877</v>
      </c>
      <c r="C379" s="3247">
        <v>0.15</v>
      </c>
      <c r="D379" s="3247">
        <v>0.15</v>
      </c>
      <c r="E379" s="3247">
        <v>0.15</v>
      </c>
      <c r="F379" s="3247">
        <v>0.115</v>
      </c>
      <c r="G379" s="3248">
        <v>0.14899999999999999</v>
      </c>
    </row>
    <row r="380" spans="1:7">
      <c r="A380" s="3257" t="s">
        <v>2857</v>
      </c>
      <c r="B380" s="3246" t="s">
        <v>2883</v>
      </c>
      <c r="C380" s="3247">
        <v>0.15</v>
      </c>
      <c r="D380" s="3247">
        <v>0.15</v>
      </c>
      <c r="E380" s="3247">
        <v>0.15</v>
      </c>
      <c r="F380" s="3247">
        <v>0.1</v>
      </c>
      <c r="G380" s="3248">
        <v>0.14799999999999999</v>
      </c>
    </row>
    <row r="381" spans="1:7">
      <c r="A381" s="3257" t="s">
        <v>2857</v>
      </c>
      <c r="B381" s="3246" t="s">
        <v>2886</v>
      </c>
      <c r="C381" s="3247">
        <v>0.15</v>
      </c>
      <c r="D381" s="3247">
        <v>0.15</v>
      </c>
      <c r="E381" s="3247">
        <v>0.15</v>
      </c>
      <c r="F381" s="3247">
        <v>0.126</v>
      </c>
      <c r="G381" s="3248">
        <v>0.15</v>
      </c>
    </row>
    <row r="382" spans="1:7">
      <c r="A382" s="3257" t="s">
        <v>2857</v>
      </c>
      <c r="B382" s="3246" t="s">
        <v>2890</v>
      </c>
      <c r="C382" s="3247">
        <v>0.15</v>
      </c>
      <c r="D382" s="3247">
        <v>0.15</v>
      </c>
      <c r="E382" s="3247">
        <v>0.15</v>
      </c>
      <c r="F382" s="3247">
        <v>0.15</v>
      </c>
      <c r="G382" s="3248">
        <v>0.15</v>
      </c>
    </row>
    <row r="383" spans="1:7">
      <c r="A383" s="3257" t="s">
        <v>2857</v>
      </c>
      <c r="B383" s="3246" t="s">
        <v>2895</v>
      </c>
      <c r="C383" s="3247">
        <v>0.15</v>
      </c>
      <c r="D383" s="3247">
        <v>0.15</v>
      </c>
      <c r="E383" s="3247">
        <v>0.15</v>
      </c>
      <c r="F383" s="3247">
        <v>0.14699999999999999</v>
      </c>
      <c r="G383" s="3248">
        <v>0.15</v>
      </c>
    </row>
    <row r="384" spans="1:7" ht="14.25" thickBot="1">
      <c r="A384" s="3267" t="s">
        <v>2857</v>
      </c>
      <c r="B384" s="3268" t="s">
        <v>2899</v>
      </c>
      <c r="C384" s="3269">
        <v>0.15</v>
      </c>
      <c r="D384" s="3269">
        <v>0.15</v>
      </c>
      <c r="E384" s="3269">
        <v>0.15</v>
      </c>
      <c r="F384" s="3269">
        <v>0.15</v>
      </c>
      <c r="G384" s="327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2"/>
  </cols>
  <sheetData>
    <row r="1" spans="1:6" ht="15">
      <c r="A1" s="3861" t="s">
        <v>3238</v>
      </c>
      <c r="B1" s="3861"/>
      <c r="C1" s="3861"/>
      <c r="D1" s="3861"/>
      <c r="E1" s="3861"/>
      <c r="F1" s="3862"/>
    </row>
    <row r="2" spans="1:6" ht="15">
      <c r="A2" s="3273" t="s">
        <v>3239</v>
      </c>
      <c r="B2" s="3274"/>
      <c r="C2" s="3274"/>
      <c r="D2" s="3274"/>
      <c r="E2" s="3274"/>
      <c r="F2" s="3274"/>
    </row>
    <row r="3" spans="1:6" ht="15">
      <c r="A3" s="3273" t="s">
        <v>3240</v>
      </c>
      <c r="B3" s="3274"/>
      <c r="C3" s="3274"/>
      <c r="D3" s="3274"/>
      <c r="E3" s="3274"/>
      <c r="F3" s="3275" t="s">
        <v>3241</v>
      </c>
    </row>
    <row r="4" spans="1:6">
      <c r="A4" s="3276" t="s">
        <v>672</v>
      </c>
      <c r="B4" s="3276" t="s">
        <v>673</v>
      </c>
      <c r="C4" s="3276" t="s">
        <v>21</v>
      </c>
      <c r="D4" s="3276" t="s">
        <v>674</v>
      </c>
      <c r="E4" s="3276" t="s">
        <v>3</v>
      </c>
      <c r="F4" s="3276" t="s">
        <v>3242</v>
      </c>
    </row>
    <row r="5" spans="1:6">
      <c r="A5" s="3277" t="s">
        <v>675</v>
      </c>
      <c r="B5" s="3276"/>
      <c r="C5" s="3276"/>
      <c r="D5" s="3276"/>
      <c r="E5" s="3276"/>
      <c r="F5" s="3278"/>
    </row>
    <row r="6" spans="1:6">
      <c r="A6" s="3277" t="s">
        <v>144</v>
      </c>
      <c r="B6" s="3279">
        <v>35380</v>
      </c>
      <c r="C6" s="3279">
        <v>35180</v>
      </c>
      <c r="D6" s="3279">
        <v>35030</v>
      </c>
      <c r="E6" s="3279">
        <v>13780</v>
      </c>
      <c r="F6" s="3279">
        <v>25980</v>
      </c>
    </row>
    <row r="7" spans="1:6">
      <c r="A7" s="3277" t="s">
        <v>184</v>
      </c>
      <c r="B7" s="3279">
        <v>29960</v>
      </c>
      <c r="C7" s="3279">
        <v>29800</v>
      </c>
      <c r="D7" s="3279">
        <v>29690</v>
      </c>
      <c r="E7" s="3279">
        <v>10100</v>
      </c>
      <c r="F7" s="3279">
        <v>21690</v>
      </c>
    </row>
    <row r="8" spans="1:6">
      <c r="A8" s="3277" t="s">
        <v>296</v>
      </c>
      <c r="B8" s="3279">
        <v>24480</v>
      </c>
      <c r="C8" s="3279">
        <v>24380</v>
      </c>
      <c r="D8" s="3279">
        <v>25590</v>
      </c>
      <c r="E8" s="3279">
        <v>7010</v>
      </c>
      <c r="F8" s="3279">
        <v>17060</v>
      </c>
    </row>
    <row r="9" spans="1:6">
      <c r="A9" s="3277" t="s">
        <v>110</v>
      </c>
      <c r="B9" s="3279">
        <v>19370</v>
      </c>
      <c r="C9" s="3279">
        <v>19290</v>
      </c>
      <c r="D9" s="3279">
        <v>21280</v>
      </c>
      <c r="E9" s="3279">
        <v>4910</v>
      </c>
      <c r="F9" s="3279">
        <v>13090</v>
      </c>
    </row>
    <row r="10" spans="1:6">
      <c r="A10" s="3277" t="s">
        <v>303</v>
      </c>
      <c r="B10" s="3279">
        <v>15050</v>
      </c>
      <c r="C10" s="3279">
        <v>14980</v>
      </c>
      <c r="D10" s="3279">
        <v>17300</v>
      </c>
      <c r="E10" s="3279">
        <v>3450</v>
      </c>
      <c r="F10" s="3279">
        <v>9900</v>
      </c>
    </row>
    <row r="11" spans="1:6">
      <c r="A11" s="3277" t="s">
        <v>29</v>
      </c>
      <c r="B11" s="3279">
        <v>11550</v>
      </c>
      <c r="C11" s="3279">
        <v>11490</v>
      </c>
      <c r="D11" s="3279">
        <v>13850</v>
      </c>
      <c r="E11" s="3279">
        <v>2400</v>
      </c>
      <c r="F11" s="3279">
        <v>7390</v>
      </c>
    </row>
    <row r="12" spans="1:6">
      <c r="A12" s="3277" t="s">
        <v>304</v>
      </c>
      <c r="B12" s="3279">
        <v>8630</v>
      </c>
      <c r="C12" s="3279">
        <v>8580</v>
      </c>
      <c r="D12" s="3279">
        <v>10740</v>
      </c>
      <c r="E12" s="3279">
        <v>1720</v>
      </c>
      <c r="F12" s="3279">
        <v>5420</v>
      </c>
    </row>
    <row r="13" spans="1:6">
      <c r="A13" s="3277" t="s">
        <v>305</v>
      </c>
      <c r="B13" s="3279">
        <v>6620</v>
      </c>
      <c r="C13" s="3279">
        <v>6580</v>
      </c>
      <c r="D13" s="3279">
        <v>7830</v>
      </c>
      <c r="E13" s="3279">
        <v>1260</v>
      </c>
      <c r="F13" s="3279">
        <v>4040</v>
      </c>
    </row>
    <row r="14" spans="1:6">
      <c r="A14" s="3277" t="s">
        <v>306</v>
      </c>
      <c r="B14" s="3279">
        <v>4900</v>
      </c>
      <c r="C14" s="3279">
        <v>4860</v>
      </c>
      <c r="D14" s="3279">
        <v>5540</v>
      </c>
      <c r="E14" s="3279">
        <v>950</v>
      </c>
      <c r="F14" s="3279">
        <v>2930</v>
      </c>
    </row>
    <row r="15" spans="1:6">
      <c r="A15" s="3277" t="s">
        <v>307</v>
      </c>
      <c r="B15" s="3279">
        <v>3380</v>
      </c>
      <c r="C15" s="3279">
        <v>3340</v>
      </c>
      <c r="D15" s="3279">
        <v>3630</v>
      </c>
      <c r="E15" s="3279">
        <v>730</v>
      </c>
      <c r="F15" s="3279">
        <v>1990</v>
      </c>
    </row>
    <row r="16" spans="1:6">
      <c r="A16" s="3277" t="s">
        <v>369</v>
      </c>
      <c r="B16" s="3279">
        <v>2230</v>
      </c>
      <c r="C16" s="3279">
        <v>2200</v>
      </c>
      <c r="D16" s="3279">
        <v>2180</v>
      </c>
      <c r="E16" s="3279">
        <v>570</v>
      </c>
      <c r="F16" s="3279">
        <v>1330</v>
      </c>
    </row>
    <row r="17" spans="1:6">
      <c r="A17" s="3277" t="s">
        <v>370</v>
      </c>
      <c r="B17" s="3279">
        <v>1390</v>
      </c>
      <c r="C17" s="3279">
        <v>1360</v>
      </c>
      <c r="D17" s="3279">
        <v>1340</v>
      </c>
      <c r="E17" s="3279">
        <v>450</v>
      </c>
      <c r="F17" s="3279">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03">
        <f>基准地价修正!G23</f>
        <v>45009</v>
      </c>
      <c r="B1" s="3192" t="s">
        <v>2844</v>
      </c>
      <c r="C1" s="3193"/>
      <c r="D1" s="3193"/>
      <c r="E1" s="3193"/>
      <c r="F1" s="3193"/>
      <c r="G1" s="3193"/>
      <c r="H1" s="3193"/>
      <c r="I1" s="3193"/>
      <c r="J1" s="3147"/>
      <c r="K1" s="3193" t="s">
        <v>454</v>
      </c>
      <c r="L1" s="3193"/>
      <c r="M1" s="3193"/>
      <c r="N1" s="3193"/>
      <c r="O1" s="3193"/>
      <c r="P1" s="3193"/>
      <c r="Q1" s="3147"/>
      <c r="R1" s="3863" t="s">
        <v>456</v>
      </c>
      <c r="S1" s="3864"/>
      <c r="T1" s="3864"/>
      <c r="U1" s="3864"/>
      <c r="V1" s="3864"/>
      <c r="W1" s="3864"/>
      <c r="X1" s="3147"/>
      <c r="Y1" s="3863" t="s">
        <v>457</v>
      </c>
      <c r="Z1" s="3864"/>
      <c r="AA1" s="3864"/>
      <c r="AB1" s="3864"/>
      <c r="AC1" s="3864"/>
      <c r="AD1" s="3864"/>
    </row>
    <row r="2" spans="1:30" s="3125" customFormat="1" ht="14.25" thickBot="1">
      <c r="B2" s="3126"/>
      <c r="C2" s="3127"/>
      <c r="D2" s="3128" t="s">
        <v>2812</v>
      </c>
      <c r="E2" s="3129" t="s">
        <v>2813</v>
      </c>
      <c r="F2" s="3129" t="s">
        <v>2814</v>
      </c>
      <c r="G2" s="3129" t="s">
        <v>2815</v>
      </c>
      <c r="H2" s="3129" t="s">
        <v>2816</v>
      </c>
      <c r="I2" s="3129" t="s">
        <v>2633</v>
      </c>
      <c r="J2" s="3130"/>
      <c r="K2" s="3128" t="s">
        <v>2812</v>
      </c>
      <c r="L2" s="3129" t="s">
        <v>2813</v>
      </c>
      <c r="M2" s="3129" t="s">
        <v>2814</v>
      </c>
      <c r="N2" s="3129" t="s">
        <v>2815</v>
      </c>
      <c r="O2" s="3129" t="s">
        <v>2817</v>
      </c>
      <c r="P2" s="3129" t="s">
        <v>2633</v>
      </c>
      <c r="Q2" s="3130"/>
      <c r="R2" s="3128" t="s">
        <v>2812</v>
      </c>
      <c r="S2" s="3129" t="s">
        <v>2813</v>
      </c>
      <c r="T2" s="3129" t="s">
        <v>2814</v>
      </c>
      <c r="U2" s="3129" t="s">
        <v>2818</v>
      </c>
      <c r="V2" s="3129" t="s">
        <v>2819</v>
      </c>
      <c r="W2" s="3129" t="s">
        <v>2633</v>
      </c>
      <c r="X2" s="3130"/>
      <c r="Y2" s="3128" t="s">
        <v>2812</v>
      </c>
      <c r="Z2" s="3129" t="s">
        <v>2813</v>
      </c>
      <c r="AA2" s="3129" t="s">
        <v>2814</v>
      </c>
      <c r="AB2" s="3129" t="s">
        <v>2820</v>
      </c>
      <c r="AC2" s="3129" t="s">
        <v>2819</v>
      </c>
      <c r="AD2" s="3129" t="s">
        <v>2633</v>
      </c>
    </row>
    <row r="3" spans="1:30" s="3143" customFormat="1" ht="12.75">
      <c r="A3" s="3131" t="s">
        <v>2821</v>
      </c>
      <c r="B3" s="3132"/>
      <c r="C3" s="3133"/>
      <c r="D3" s="3133">
        <f>ROUND(AVERAGEIF(D4:D16,"&lt;&gt;0"),2)</f>
        <v>0.81</v>
      </c>
      <c r="E3" s="3133">
        <f t="shared" ref="E3:H3" si="0">ROUND(AVERAGEIF(E4:E16,"&lt;&gt;0"),2)</f>
        <v>0.33</v>
      </c>
      <c r="F3" s="3133">
        <f t="shared" si="0"/>
        <v>0.15</v>
      </c>
      <c r="G3" s="3133">
        <f t="shared" si="0"/>
        <v>0.89</v>
      </c>
      <c r="H3" s="3133">
        <f t="shared" si="0"/>
        <v>0.66</v>
      </c>
      <c r="I3" s="3133">
        <f>F3</f>
        <v>0.15</v>
      </c>
      <c r="J3" s="3134"/>
      <c r="K3" s="3135">
        <f>ROUND(AVERAGEIF(K4:K16,"&lt;&gt;0"),4)</f>
        <v>8.0999999999999996E-3</v>
      </c>
      <c r="L3" s="3136">
        <f t="shared" ref="L3:O3" si="1">ROUND(AVERAGEIF(L4:L16,"&lt;&gt;0"),4)</f>
        <v>3.3E-3</v>
      </c>
      <c r="M3" s="3136">
        <f t="shared" si="1"/>
        <v>1.5E-3</v>
      </c>
      <c r="N3" s="3136">
        <f t="shared" si="1"/>
        <v>8.8999999999999999E-3</v>
      </c>
      <c r="O3" s="3136">
        <f t="shared" si="1"/>
        <v>6.6E-3</v>
      </c>
      <c r="P3" s="3136">
        <f>M3</f>
        <v>1.5E-3</v>
      </c>
      <c r="Q3" s="3134"/>
      <c r="R3" s="3137">
        <f>ROUND(SUMPRODUCT(PRODUCT(1+K4:K16)),4)</f>
        <v>1.0668</v>
      </c>
      <c r="S3" s="3138">
        <f t="shared" ref="S3:V3" si="2">ROUND(SUMPRODUCT(PRODUCT(1+L4:L16)),4)</f>
        <v>1.0266999999999999</v>
      </c>
      <c r="T3" s="3138">
        <f t="shared" si="2"/>
        <v>1.0119</v>
      </c>
      <c r="U3" s="3138">
        <f t="shared" si="2"/>
        <v>1.0734999999999999</v>
      </c>
      <c r="V3" s="3138">
        <f t="shared" si="2"/>
        <v>1.054</v>
      </c>
      <c r="W3" s="3137">
        <f>T3</f>
        <v>1.0119</v>
      </c>
      <c r="X3" s="3134"/>
      <c r="Y3" s="3139">
        <f>ROUND(AVERAGEIF(Y5:Y16,"&lt;&gt;0"),4)</f>
        <v>8.6999999999999994E-3</v>
      </c>
      <c r="Z3" s="3140">
        <f t="shared" ref="Z3:AC3" si="3">ROUND(AVERAGEIF(Z5:Z16,"&lt;&gt;0"),4)</f>
        <v>3.5000000000000001E-3</v>
      </c>
      <c r="AA3" s="3141">
        <f t="shared" si="3"/>
        <v>8.9999999999999998E-4</v>
      </c>
      <c r="AB3" s="3139">
        <f t="shared" si="3"/>
        <v>9.4999999999999998E-3</v>
      </c>
      <c r="AC3" s="3142">
        <f t="shared" si="3"/>
        <v>6.1000000000000004E-3</v>
      </c>
      <c r="AD3" s="3139">
        <f>AA3</f>
        <v>8.9999999999999998E-4</v>
      </c>
    </row>
    <row r="4" spans="1:30" s="3144" customFormat="1" ht="12.75">
      <c r="B4" s="3145"/>
      <c r="C4" s="3146"/>
      <c r="D4" s="3146"/>
      <c r="E4" s="3146"/>
      <c r="F4" s="3146"/>
      <c r="G4" s="3146"/>
      <c r="H4" s="3146"/>
      <c r="I4" s="3146"/>
      <c r="J4" s="3147"/>
      <c r="K4" s="3148"/>
      <c r="L4" s="3149"/>
      <c r="M4" s="3149"/>
      <c r="N4" s="3149"/>
      <c r="O4" s="3149"/>
      <c r="P4" s="3149"/>
      <c r="Q4" s="3147"/>
      <c r="R4" s="3150"/>
      <c r="S4" s="3151"/>
      <c r="T4" s="3152"/>
      <c r="U4" s="3150"/>
      <c r="V4" s="3153"/>
      <c r="W4" s="3150"/>
      <c r="X4" s="3147"/>
      <c r="Y4" s="3154"/>
      <c r="Z4" s="3155"/>
      <c r="AA4" s="3156"/>
      <c r="AB4" s="3154"/>
      <c r="AC4" s="3157"/>
      <c r="AD4" s="3154"/>
    </row>
    <row r="5" spans="1:30" s="3167" customFormat="1" ht="12.75">
      <c r="A5" s="3158" t="s">
        <v>3376</v>
      </c>
      <c r="B5" s="3159">
        <v>2023</v>
      </c>
      <c r="C5" s="3160">
        <v>4</v>
      </c>
      <c r="D5" s="3161">
        <v>0</v>
      </c>
      <c r="E5" s="3161">
        <v>0</v>
      </c>
      <c r="F5" s="3161">
        <v>0</v>
      </c>
      <c r="G5" s="3161">
        <v>0</v>
      </c>
      <c r="H5" s="3161">
        <v>0</v>
      </c>
      <c r="I5" s="3162">
        <f t="shared" ref="I5:I16" si="4">F5</f>
        <v>0</v>
      </c>
      <c r="J5" s="3163"/>
      <c r="K5" s="3164">
        <f t="shared" ref="K5:O16" si="5">D5/100</f>
        <v>0</v>
      </c>
      <c r="L5" s="3154">
        <f t="shared" si="5"/>
        <v>0</v>
      </c>
      <c r="M5" s="3154">
        <f t="shared" si="5"/>
        <v>0</v>
      </c>
      <c r="N5" s="3154">
        <f t="shared" si="5"/>
        <v>0</v>
      </c>
      <c r="O5" s="3154">
        <f t="shared" si="5"/>
        <v>0</v>
      </c>
      <c r="P5" s="3154">
        <f>M5</f>
        <v>0</v>
      </c>
      <c r="Q5" s="3163"/>
      <c r="R5" s="3165">
        <f>ROUND(IF(项目基本情况!$B$8="出让",SUMPRODUCT(PRODUCT(1+K5:$K$16)),SUMPRODUCT(PRODUCT(1+K5:$K$15))),4)</f>
        <v>1.0565</v>
      </c>
      <c r="S5" s="3165">
        <f>ROUND(IF(项目基本情况!$B$8="出让",SUMPRODUCT(PRODUCT(1+L5:$L$16)),SUMPRODUCT(PRODUCT(1+L5:$L$15))),4)</f>
        <v>1.0250999999999999</v>
      </c>
      <c r="T5" s="3165">
        <f>ROUND(IF(项目基本情况!$B$8="出让",SUMPRODUCT(PRODUCT(1+M5:$M$16)),SUMPRODUCT(PRODUCT(1+M5:$M$15))),4)</f>
        <v>1.0145</v>
      </c>
      <c r="U5" s="3165">
        <f>ROUND(IF(项目基本情况!$B$8="出让",SUMPRODUCT(PRODUCT(1+N5:$N$16)),SUMPRODUCT(PRODUCT(1+N5:$N$15))),4)</f>
        <v>1.0618000000000001</v>
      </c>
      <c r="V5" s="3165">
        <f>ROUND(IF(项目基本情况!$B$8="出让",SUMPRODUCT(PRODUCT(1+O5:$O$16)),SUMPRODUCT(PRODUCT(1+O5:$O$15))),4)</f>
        <v>1.0502</v>
      </c>
      <c r="W5" s="3165">
        <f>T5</f>
        <v>1.0145</v>
      </c>
      <c r="X5" s="3163"/>
      <c r="Y5" s="3166">
        <f>IF(D5=0,0,ROUND(AVERAGE(D5:D16)/100,4))</f>
        <v>0</v>
      </c>
      <c r="Z5" s="3166">
        <f t="shared" ref="Z5:AC5" si="6">IF(E5=0,0,ROUND(AVERAGE(E5:E16)/100,4))</f>
        <v>0</v>
      </c>
      <c r="AA5" s="3166">
        <f t="shared" si="6"/>
        <v>0</v>
      </c>
      <c r="AB5" s="3166">
        <f t="shared" si="6"/>
        <v>0</v>
      </c>
      <c r="AC5" s="3166">
        <f t="shared" si="6"/>
        <v>0</v>
      </c>
      <c r="AD5" s="3166">
        <f t="shared" ref="AD5:AD15" si="7">AA5</f>
        <v>0</v>
      </c>
    </row>
    <row r="6" spans="1:30" s="3167" customFormat="1" ht="12.75">
      <c r="A6" s="3158" t="s">
        <v>3377</v>
      </c>
      <c r="B6" s="3159">
        <v>2023</v>
      </c>
      <c r="C6" s="3160">
        <v>3</v>
      </c>
      <c r="D6" s="3161">
        <v>0</v>
      </c>
      <c r="E6" s="3161">
        <v>0</v>
      </c>
      <c r="F6" s="3161">
        <v>0</v>
      </c>
      <c r="G6" s="3161">
        <v>0</v>
      </c>
      <c r="H6" s="3161">
        <v>0</v>
      </c>
      <c r="I6" s="3162">
        <f t="shared" si="4"/>
        <v>0</v>
      </c>
      <c r="J6" s="3163"/>
      <c r="K6" s="3164">
        <f t="shared" ref="K6:K8" si="8">D6/100</f>
        <v>0</v>
      </c>
      <c r="L6" s="3154">
        <f t="shared" ref="L6:L8" si="9">E6/100</f>
        <v>0</v>
      </c>
      <c r="M6" s="3154">
        <f t="shared" ref="M6:M8" si="10">F6/100</f>
        <v>0</v>
      </c>
      <c r="N6" s="3154">
        <f t="shared" ref="N6:N8" si="11">G6/100</f>
        <v>0</v>
      </c>
      <c r="O6" s="3154">
        <f t="shared" ref="O6:O8" si="12">H6/100</f>
        <v>0</v>
      </c>
      <c r="P6" s="3154">
        <f t="shared" ref="P6:P8" si="13">M6</f>
        <v>0</v>
      </c>
      <c r="Q6" s="3163"/>
      <c r="R6" s="3165">
        <f>ROUND(IF(项目基本情况!$B$8="出让",SUMPRODUCT(PRODUCT(1+K6:$K$16)),SUMPRODUCT(PRODUCT(1+K6:$K$15))),4)</f>
        <v>1.0565</v>
      </c>
      <c r="S6" s="3165">
        <f>ROUND(IF(项目基本情况!$B$8="出让",SUMPRODUCT(PRODUCT(1+L6:$L$16)),SUMPRODUCT(PRODUCT(1+L6:$L$15))),4)</f>
        <v>1.0250999999999999</v>
      </c>
      <c r="T6" s="3165">
        <f>ROUND(IF(项目基本情况!$B$8="出让",SUMPRODUCT(PRODUCT(1+M6:$M$16)),SUMPRODUCT(PRODUCT(1+M6:$M$15))),4)</f>
        <v>1.0145</v>
      </c>
      <c r="U6" s="3165">
        <f>ROUND(IF(项目基本情况!$B$8="出让",SUMPRODUCT(PRODUCT(1+N6:$N$16)),SUMPRODUCT(PRODUCT(1+N6:$N$15))),4)</f>
        <v>1.0618000000000001</v>
      </c>
      <c r="V6" s="3165">
        <f>ROUND(IF(项目基本情况!$B$8="出让",SUMPRODUCT(PRODUCT(1+O6:$O$16)),SUMPRODUCT(PRODUCT(1+O6:$O$15))),4)</f>
        <v>1.0502</v>
      </c>
      <c r="W6" s="3165">
        <f t="shared" ref="W6:W8" si="14">T6</f>
        <v>1.0145</v>
      </c>
      <c r="X6" s="3163"/>
      <c r="Y6" s="3166"/>
      <c r="Z6" s="3166"/>
      <c r="AA6" s="3166"/>
      <c r="AB6" s="3166"/>
      <c r="AC6" s="3166"/>
      <c r="AD6" s="3166"/>
    </row>
    <row r="7" spans="1:30" s="3167" customFormat="1" ht="12.75">
      <c r="A7" s="3158" t="s">
        <v>3375</v>
      </c>
      <c r="B7" s="3159">
        <v>2023</v>
      </c>
      <c r="C7" s="3160">
        <v>2</v>
      </c>
      <c r="D7" s="3161">
        <v>0</v>
      </c>
      <c r="E7" s="3161">
        <v>0</v>
      </c>
      <c r="F7" s="3161">
        <v>0</v>
      </c>
      <c r="G7" s="3161">
        <v>0</v>
      </c>
      <c r="H7" s="3161">
        <v>0</v>
      </c>
      <c r="I7" s="3162">
        <f t="shared" si="4"/>
        <v>0</v>
      </c>
      <c r="J7" s="3163"/>
      <c r="K7" s="3164">
        <f t="shared" si="8"/>
        <v>0</v>
      </c>
      <c r="L7" s="3154">
        <f t="shared" si="9"/>
        <v>0</v>
      </c>
      <c r="M7" s="3154">
        <f t="shared" si="10"/>
        <v>0</v>
      </c>
      <c r="N7" s="3154">
        <f t="shared" si="11"/>
        <v>0</v>
      </c>
      <c r="O7" s="3154">
        <f t="shared" si="12"/>
        <v>0</v>
      </c>
      <c r="P7" s="3154">
        <f t="shared" si="13"/>
        <v>0</v>
      </c>
      <c r="Q7" s="3163"/>
      <c r="R7" s="3165">
        <f>ROUND(IF(项目基本情况!$B$8="出让",SUMPRODUCT(PRODUCT(1+K7:$K$16)),SUMPRODUCT(PRODUCT(1+K7:$K$15))),4)</f>
        <v>1.0565</v>
      </c>
      <c r="S7" s="3165">
        <f>ROUND(IF(项目基本情况!$B$8="出让",SUMPRODUCT(PRODUCT(1+L7:$L$16)),SUMPRODUCT(PRODUCT(1+L7:$L$15))),4)</f>
        <v>1.0250999999999999</v>
      </c>
      <c r="T7" s="3165">
        <f>ROUND(IF(项目基本情况!$B$8="出让",SUMPRODUCT(PRODUCT(1+M7:$M$16)),SUMPRODUCT(PRODUCT(1+M7:$M$15))),4)</f>
        <v>1.0145</v>
      </c>
      <c r="U7" s="3165">
        <f>ROUND(IF(项目基本情况!$B$8="出让",SUMPRODUCT(PRODUCT(1+N7:$N$16)),SUMPRODUCT(PRODUCT(1+N7:$N$15))),4)</f>
        <v>1.0618000000000001</v>
      </c>
      <c r="V7" s="3165">
        <f>ROUND(IF(项目基本情况!$B$8="出让",SUMPRODUCT(PRODUCT(1+O7:$O$16)),SUMPRODUCT(PRODUCT(1+O7:$O$15))),4)</f>
        <v>1.0502</v>
      </c>
      <c r="W7" s="3165">
        <f t="shared" si="14"/>
        <v>1.0145</v>
      </c>
      <c r="X7" s="3163"/>
      <c r="Y7" s="3166"/>
      <c r="Z7" s="3166"/>
      <c r="AA7" s="3166"/>
      <c r="AB7" s="3166"/>
      <c r="AC7" s="3166"/>
      <c r="AD7" s="3166"/>
    </row>
    <row r="8" spans="1:30" s="3167" customFormat="1" ht="12.75">
      <c r="A8" s="3158" t="s">
        <v>2822</v>
      </c>
      <c r="B8" s="3159">
        <v>2023</v>
      </c>
      <c r="C8" s="3160">
        <v>1</v>
      </c>
      <c r="D8" s="3161">
        <v>0</v>
      </c>
      <c r="E8" s="3161">
        <v>0</v>
      </c>
      <c r="F8" s="3161">
        <v>0</v>
      </c>
      <c r="G8" s="3161">
        <v>0</v>
      </c>
      <c r="H8" s="3161">
        <v>0</v>
      </c>
      <c r="I8" s="3162">
        <f t="shared" si="4"/>
        <v>0</v>
      </c>
      <c r="J8" s="3163"/>
      <c r="K8" s="3164">
        <f t="shared" si="8"/>
        <v>0</v>
      </c>
      <c r="L8" s="3154">
        <f t="shared" si="9"/>
        <v>0</v>
      </c>
      <c r="M8" s="3154">
        <f t="shared" si="10"/>
        <v>0</v>
      </c>
      <c r="N8" s="3154">
        <f t="shared" si="11"/>
        <v>0</v>
      </c>
      <c r="O8" s="3154">
        <f t="shared" si="12"/>
        <v>0</v>
      </c>
      <c r="P8" s="3154">
        <f t="shared" si="13"/>
        <v>0</v>
      </c>
      <c r="Q8" s="3163"/>
      <c r="R8" s="3165">
        <f>ROUND(IF(项目基本情况!$B$8="出让",SUMPRODUCT(PRODUCT(1+K8:$K$16)),SUMPRODUCT(PRODUCT(1+K8:$K$15))),4)</f>
        <v>1.0565</v>
      </c>
      <c r="S8" s="3165">
        <f>ROUND(IF(项目基本情况!$B$8="出让",SUMPRODUCT(PRODUCT(1+L8:$L$16)),SUMPRODUCT(PRODUCT(1+L8:$L$15))),4)</f>
        <v>1.0250999999999999</v>
      </c>
      <c r="T8" s="3165">
        <f>ROUND(IF(项目基本情况!$B$8="出让",SUMPRODUCT(PRODUCT(1+M8:$M$16)),SUMPRODUCT(PRODUCT(1+M8:$M$15))),4)</f>
        <v>1.0145</v>
      </c>
      <c r="U8" s="3165">
        <f>ROUND(IF(项目基本情况!$B$8="出让",SUMPRODUCT(PRODUCT(1+N8:$N$16)),SUMPRODUCT(PRODUCT(1+N8:$N$15))),4)</f>
        <v>1.0618000000000001</v>
      </c>
      <c r="V8" s="3165">
        <f>ROUND(IF(项目基本情况!$B$8="出让",SUMPRODUCT(PRODUCT(1+O8:$O$16)),SUMPRODUCT(PRODUCT(1+O8:$O$15))),4)</f>
        <v>1.0502</v>
      </c>
      <c r="W8" s="3165">
        <f t="shared" si="14"/>
        <v>1.0145</v>
      </c>
      <c r="X8" s="3163"/>
      <c r="Y8" s="3166"/>
      <c r="Z8" s="3166"/>
      <c r="AA8" s="3166"/>
      <c r="AB8" s="3166"/>
      <c r="AC8" s="3166"/>
      <c r="AD8" s="3166"/>
    </row>
    <row r="9" spans="1:30" s="3177" customFormat="1" ht="12.75">
      <c r="A9" s="3168" t="s">
        <v>2823</v>
      </c>
      <c r="B9" s="3169">
        <v>2022</v>
      </c>
      <c r="C9" s="3170">
        <v>4</v>
      </c>
      <c r="D9" s="3171">
        <v>0.62</v>
      </c>
      <c r="E9" s="3171">
        <v>0.2</v>
      </c>
      <c r="F9" s="3171">
        <v>0.11</v>
      </c>
      <c r="G9" s="3171">
        <v>0.69</v>
      </c>
      <c r="H9" s="3172">
        <v>0.53</v>
      </c>
      <c r="I9" s="3173">
        <f t="shared" si="4"/>
        <v>0.11</v>
      </c>
      <c r="J9" s="3174"/>
      <c r="K9" s="3175">
        <f t="shared" si="5"/>
        <v>6.1999999999999998E-3</v>
      </c>
      <c r="L9" s="3176">
        <f t="shared" si="5"/>
        <v>2E-3</v>
      </c>
      <c r="M9" s="3176">
        <f t="shared" si="5"/>
        <v>1.1000000000000001E-3</v>
      </c>
      <c r="N9" s="3176">
        <f t="shared" si="5"/>
        <v>6.8999999999999999E-3</v>
      </c>
      <c r="O9" s="3176">
        <f t="shared" si="5"/>
        <v>5.3E-3</v>
      </c>
      <c r="P9" s="3176">
        <f t="shared" ref="P9:P16" si="15">M9</f>
        <v>1.1000000000000001E-3</v>
      </c>
      <c r="Q9" s="3174"/>
      <c r="R9" s="3174">
        <f>ROUND(IF([2]项目基本情况!B8="出让",SUMPRODUCT(PRODUCT(1+K9:K16)),SUMPRODUCT(PRODUCT(1+K9:K15))),4)</f>
        <v>1.0565</v>
      </c>
      <c r="S9" s="3174">
        <f>ROUND(IF([2]项目基本情况!B8="出让",SUMPRODUCT(PRODUCT(1+L9:L16)),SUMPRODUCT(PRODUCT(1+L9:L15))),4)</f>
        <v>1.0250999999999999</v>
      </c>
      <c r="T9" s="3174">
        <f>ROUND(IF([2]项目基本情况!B8="出让",SUMPRODUCT(PRODUCT(1+M9:M16)),SUMPRODUCT(PRODUCT(1+M9:M15))),4)</f>
        <v>1.0145</v>
      </c>
      <c r="U9" s="3174">
        <f>ROUND(IF([2]项目基本情况!B8="出让",SUMPRODUCT(PRODUCT(1+N9:N16)),SUMPRODUCT(PRODUCT(1+N9:N15))),4)</f>
        <v>1.0618000000000001</v>
      </c>
      <c r="V9" s="3174">
        <f>ROUND(IF([2]项目基本情况!B8="出让",SUMPRODUCT(PRODUCT(1+O9:O16)),SUMPRODUCT(PRODUCT(1+O9:O15))),4)</f>
        <v>1.0502</v>
      </c>
      <c r="W9" s="3174">
        <f t="shared" ref="W9:W16" si="16">T9</f>
        <v>1.0145</v>
      </c>
      <c r="X9" s="3174"/>
      <c r="Y9" s="3176">
        <f>IF(D9=0,0,ROUND(AVERAGE(D9:D17)/100,4))</f>
        <v>8.0999999999999996E-3</v>
      </c>
      <c r="Z9" s="3176">
        <f t="shared" ref="Z9:AC9" si="17">IF(E9=0,0,ROUND(AVERAGE(E9:E16)/100,4))</f>
        <v>3.3E-3</v>
      </c>
      <c r="AA9" s="3176">
        <f t="shared" si="17"/>
        <v>1.5E-3</v>
      </c>
      <c r="AB9" s="3176">
        <f t="shared" si="17"/>
        <v>8.8999999999999999E-3</v>
      </c>
      <c r="AC9" s="3176">
        <f t="shared" si="17"/>
        <v>6.6E-3</v>
      </c>
      <c r="AD9" s="3176">
        <f t="shared" si="7"/>
        <v>1.5E-3</v>
      </c>
    </row>
    <row r="10" spans="1:30" s="3167" customFormat="1" ht="12.75">
      <c r="A10" s="3158" t="s">
        <v>3370</v>
      </c>
      <c r="B10" s="3159">
        <v>2022</v>
      </c>
      <c r="C10" s="3160">
        <v>3</v>
      </c>
      <c r="D10" s="3161">
        <v>0.66</v>
      </c>
      <c r="E10" s="3161">
        <v>0.32</v>
      </c>
      <c r="F10" s="3161">
        <v>0.23</v>
      </c>
      <c r="G10" s="3161">
        <v>0.72</v>
      </c>
      <c r="H10" s="3178">
        <v>0.63</v>
      </c>
      <c r="I10" s="3162">
        <f t="shared" si="4"/>
        <v>0.23</v>
      </c>
      <c r="J10" s="3163"/>
      <c r="K10" s="3164">
        <f t="shared" si="5"/>
        <v>6.6E-3</v>
      </c>
      <c r="L10" s="3154">
        <f t="shared" si="5"/>
        <v>3.2000000000000002E-3</v>
      </c>
      <c r="M10" s="3154">
        <f t="shared" si="5"/>
        <v>2.3E-3</v>
      </c>
      <c r="N10" s="3154">
        <f t="shared" si="5"/>
        <v>7.1999999999999998E-3</v>
      </c>
      <c r="O10" s="3154">
        <f t="shared" si="5"/>
        <v>6.3E-3</v>
      </c>
      <c r="P10" s="3154">
        <f t="shared" si="15"/>
        <v>2.3E-3</v>
      </c>
      <c r="Q10" s="3163"/>
      <c r="R10" s="3165">
        <f>ROUND(IF([2]项目基本情况!B8="出让",SUMPRODUCT(PRODUCT(1+K10:K16)),SUMPRODUCT(PRODUCT(1+K10:K15))),4)</f>
        <v>1.05</v>
      </c>
      <c r="S10" s="3165">
        <f>ROUND(IF([2]项目基本情况!B8="出让",SUMPRODUCT(PRODUCT(1+L10:L16)),SUMPRODUCT(PRODUCT(1+L10:L15))),4)</f>
        <v>1.0229999999999999</v>
      </c>
      <c r="T10" s="3165">
        <f>ROUND(IF([2]项目基本情况!B8="出让",SUMPRODUCT(PRODUCT(1+M10:M16)),SUMPRODUCT(PRODUCT(1+M10:M15))),4)</f>
        <v>1.0134000000000001</v>
      </c>
      <c r="U10" s="3165">
        <f>ROUND(IF([2]项目基本情况!B8="出让",SUMPRODUCT(PRODUCT(1+N10:N16)),SUMPRODUCT(PRODUCT(1+N10:N15))),4)</f>
        <v>1.0545</v>
      </c>
      <c r="V10" s="3165">
        <f>ROUND(IF([2]项目基本情况!B8="出让",SUMPRODUCT(PRODUCT(1+O10:O16)),SUMPRODUCT(PRODUCT(1+O10:O15))),4)</f>
        <v>1.0447</v>
      </c>
      <c r="W10" s="3165">
        <f t="shared" si="16"/>
        <v>1.0134000000000001</v>
      </c>
      <c r="X10" s="3163"/>
      <c r="Y10" s="3166">
        <f>IF(D10=0,0,ROUND(AVERAGE(D10:D16)/100,4))</f>
        <v>8.3999999999999995E-3</v>
      </c>
      <c r="Z10" s="3166">
        <f t="shared" ref="Z10:AC10" si="18">IF(E10=0,0,ROUND(AVERAGE(E10:E16)/100,4))</f>
        <v>3.5000000000000001E-3</v>
      </c>
      <c r="AA10" s="3166">
        <f t="shared" si="18"/>
        <v>1.5E-3</v>
      </c>
      <c r="AB10" s="3166">
        <f t="shared" si="18"/>
        <v>9.1999999999999998E-3</v>
      </c>
      <c r="AC10" s="3166">
        <f t="shared" si="18"/>
        <v>6.7999999999999996E-3</v>
      </c>
      <c r="AD10" s="3166">
        <f t="shared" si="7"/>
        <v>1.5E-3</v>
      </c>
    </row>
    <row r="11" spans="1:30" s="3167" customFormat="1" ht="12.75">
      <c r="A11" s="3158" t="s">
        <v>3361</v>
      </c>
      <c r="B11" s="3159">
        <v>2022</v>
      </c>
      <c r="C11" s="3160">
        <v>2</v>
      </c>
      <c r="D11" s="3161">
        <v>0.93</v>
      </c>
      <c r="E11" s="3161">
        <v>0.15</v>
      </c>
      <c r="F11" s="3161">
        <v>0.01</v>
      </c>
      <c r="G11" s="3161">
        <v>1.05</v>
      </c>
      <c r="H11" s="3178">
        <v>1.08</v>
      </c>
      <c r="I11" s="3162">
        <f t="shared" si="4"/>
        <v>0.01</v>
      </c>
      <c r="J11" s="3163"/>
      <c r="K11" s="3164">
        <f t="shared" si="5"/>
        <v>9.300000000000001E-3</v>
      </c>
      <c r="L11" s="3154">
        <f t="shared" si="5"/>
        <v>1.5E-3</v>
      </c>
      <c r="M11" s="3154">
        <f t="shared" si="5"/>
        <v>1E-4</v>
      </c>
      <c r="N11" s="3154">
        <f t="shared" si="5"/>
        <v>1.0500000000000001E-2</v>
      </c>
      <c r="O11" s="3154">
        <f t="shared" si="5"/>
        <v>1.0800000000000001E-2</v>
      </c>
      <c r="P11" s="3154">
        <f t="shared" si="15"/>
        <v>1E-4</v>
      </c>
      <c r="Q11" s="3163"/>
      <c r="R11" s="3165">
        <f>ROUND(IF([2]项目基本情况!B8="出让",SUMPRODUCT(PRODUCT(1+K11:K16)),SUMPRODUCT(PRODUCT(1+K11:K15))),4)</f>
        <v>1.0430999999999999</v>
      </c>
      <c r="S11" s="3165">
        <f>ROUND(IF([2]项目基本情况!B8="出让",SUMPRODUCT(PRODUCT(1+L11:L16)),SUMPRODUCT(PRODUCT(1+L11:L15))),4)</f>
        <v>1.0197000000000001</v>
      </c>
      <c r="T11" s="3165">
        <f>ROUND(IF([2]项目基本情况!B8="出让",SUMPRODUCT(PRODUCT(1+M11:M16)),SUMPRODUCT(PRODUCT(1+M11:M15))),4)</f>
        <v>1.0109999999999999</v>
      </c>
      <c r="U11" s="3165">
        <f>ROUND(IF([2]项目基本情况!B8="出让",SUMPRODUCT(PRODUCT(1+N11:N16)),SUMPRODUCT(PRODUCT(1+N11:N15))),4)</f>
        <v>1.0468999999999999</v>
      </c>
      <c r="V11" s="3165">
        <f>ROUND(IF([2]项目基本情况!B8="出让",SUMPRODUCT(PRODUCT(1+O11:O16)),SUMPRODUCT(PRODUCT(1+O11:O15))),4)</f>
        <v>1.0382</v>
      </c>
      <c r="W11" s="3165">
        <f t="shared" si="16"/>
        <v>1.0109999999999999</v>
      </c>
      <c r="X11" s="3163"/>
      <c r="Y11" s="3166">
        <f>IF(D11=0,0,ROUND(AVERAGE(D11:D16)/100,4))</f>
        <v>8.6999999999999994E-3</v>
      </c>
      <c r="Z11" s="3166">
        <f t="shared" ref="Z11:AC11" si="19">IF(E11=0,0,ROUND(AVERAGE(E11:E16)/100,4))</f>
        <v>3.5000000000000001E-3</v>
      </c>
      <c r="AA11" s="3166">
        <f t="shared" si="19"/>
        <v>1.4E-3</v>
      </c>
      <c r="AB11" s="3166">
        <f t="shared" si="19"/>
        <v>9.4999999999999998E-3</v>
      </c>
      <c r="AC11" s="3166">
        <f t="shared" si="19"/>
        <v>6.8999999999999999E-3</v>
      </c>
      <c r="AD11" s="3166">
        <f t="shared" si="7"/>
        <v>1.4E-3</v>
      </c>
    </row>
    <row r="12" spans="1:30" s="3167" customFormat="1" ht="12.75">
      <c r="A12" s="3158" t="s">
        <v>2824</v>
      </c>
      <c r="B12" s="3159">
        <v>2022</v>
      </c>
      <c r="C12" s="3160">
        <v>1</v>
      </c>
      <c r="D12" s="3161">
        <v>0.89</v>
      </c>
      <c r="E12" s="3161">
        <v>0.44</v>
      </c>
      <c r="F12" s="3161">
        <v>0.37</v>
      </c>
      <c r="G12" s="3161">
        <v>0.96</v>
      </c>
      <c r="H12" s="3178">
        <v>0.64</v>
      </c>
      <c r="I12" s="3162">
        <f t="shared" si="4"/>
        <v>0.37</v>
      </c>
      <c r="J12" s="3163"/>
      <c r="K12" s="3164">
        <f t="shared" si="5"/>
        <v>8.8999999999999999E-3</v>
      </c>
      <c r="L12" s="3154">
        <f t="shared" si="5"/>
        <v>4.4000000000000003E-3</v>
      </c>
      <c r="M12" s="3154">
        <f t="shared" si="5"/>
        <v>3.7000000000000002E-3</v>
      </c>
      <c r="N12" s="3154">
        <f t="shared" si="5"/>
        <v>9.5999999999999992E-3</v>
      </c>
      <c r="O12" s="3154">
        <f t="shared" si="5"/>
        <v>6.4000000000000003E-3</v>
      </c>
      <c r="P12" s="3154">
        <f t="shared" si="15"/>
        <v>3.7000000000000002E-3</v>
      </c>
      <c r="Q12" s="3163"/>
      <c r="R12" s="3165">
        <f>ROUND(IF([2]项目基本情况!B8="出让",SUMPRODUCT(PRODUCT(1+K12:K16)),SUMPRODUCT(PRODUCT(1+K12:K15))),4)</f>
        <v>1.0335000000000001</v>
      </c>
      <c r="S12" s="3165">
        <f>ROUND(IF([2]项目基本情况!B8="出让",SUMPRODUCT(PRODUCT(1+L12:L16)),SUMPRODUCT(PRODUCT(1+L12:L15))),4)</f>
        <v>1.0182</v>
      </c>
      <c r="T12" s="3165">
        <f>ROUND(IF([2]项目基本情况!B8="出让",SUMPRODUCT(PRODUCT(1+M12:M16)),SUMPRODUCT(PRODUCT(1+M12:M15))),4)</f>
        <v>1.0108999999999999</v>
      </c>
      <c r="U12" s="3165">
        <f>ROUND(IF([2]项目基本情况!B8="出让",SUMPRODUCT(PRODUCT(1+N12:N16)),SUMPRODUCT(PRODUCT(1+N12:N15))),4)</f>
        <v>1.0361</v>
      </c>
      <c r="V12" s="3165">
        <f>ROUND(IF([2]项目基本情况!B8="出让",SUMPRODUCT(PRODUCT(1+O12:O16)),SUMPRODUCT(PRODUCT(1+O12:O15))),4)</f>
        <v>1.0270999999999999</v>
      </c>
      <c r="W12" s="3165">
        <f t="shared" si="16"/>
        <v>1.0108999999999999</v>
      </c>
      <c r="X12" s="3163"/>
      <c r="Y12" s="3166">
        <f>IF(D12=0,0,ROUND(AVERAGE(D12:D16)/100,4))</f>
        <v>8.6E-3</v>
      </c>
      <c r="Z12" s="3166">
        <f t="shared" ref="Z12:AC12" si="20">IF(E12=0,0,ROUND(AVERAGE(E12:E16)/100,4))</f>
        <v>3.8999999999999998E-3</v>
      </c>
      <c r="AA12" s="3166">
        <f t="shared" si="20"/>
        <v>1.6999999999999999E-3</v>
      </c>
      <c r="AB12" s="3166">
        <f t="shared" si="20"/>
        <v>9.2999999999999992E-3</v>
      </c>
      <c r="AC12" s="3166">
        <f t="shared" si="20"/>
        <v>6.1000000000000004E-3</v>
      </c>
      <c r="AD12" s="3166">
        <f t="shared" si="7"/>
        <v>1.6999999999999999E-3</v>
      </c>
    </row>
    <row r="13" spans="1:30" s="3167" customFormat="1" ht="12.75">
      <c r="A13" s="3158" t="s">
        <v>2825</v>
      </c>
      <c r="B13" s="3159">
        <v>2021</v>
      </c>
      <c r="C13" s="3160">
        <v>4</v>
      </c>
      <c r="D13" s="3161">
        <v>1.03</v>
      </c>
      <c r="E13" s="3161">
        <v>0.24</v>
      </c>
      <c r="F13" s="3161">
        <v>7.0000000000000007E-2</v>
      </c>
      <c r="G13" s="3161">
        <v>1.17</v>
      </c>
      <c r="H13" s="3178">
        <v>0.55000000000000004</v>
      </c>
      <c r="I13" s="3162">
        <f t="shared" si="4"/>
        <v>7.0000000000000007E-2</v>
      </c>
      <c r="J13" s="3163"/>
      <c r="K13" s="3164">
        <f t="shared" si="5"/>
        <v>1.03E-2</v>
      </c>
      <c r="L13" s="3154">
        <f t="shared" si="5"/>
        <v>2.3999999999999998E-3</v>
      </c>
      <c r="M13" s="3154">
        <f t="shared" si="5"/>
        <v>7.000000000000001E-4</v>
      </c>
      <c r="N13" s="3154">
        <f t="shared" si="5"/>
        <v>1.1699999999999999E-2</v>
      </c>
      <c r="O13" s="3154">
        <f t="shared" si="5"/>
        <v>5.5000000000000005E-3</v>
      </c>
      <c r="P13" s="3154">
        <f t="shared" si="15"/>
        <v>7.000000000000001E-4</v>
      </c>
      <c r="Q13" s="3163"/>
      <c r="R13" s="3165">
        <f>ROUND(IF([2]项目基本情况!B8="出让",SUMPRODUCT(PRODUCT(1+K13:K16)),SUMPRODUCT(PRODUCT(1+K13:K15))),4)</f>
        <v>1.0244</v>
      </c>
      <c r="S13" s="3165">
        <f>ROUND(IF([2]项目基本情况!B8="出让",SUMPRODUCT(PRODUCT(1+L13:L16)),SUMPRODUCT(PRODUCT(1+L13:L15))),4)</f>
        <v>1.0138</v>
      </c>
      <c r="T13" s="3165">
        <f>ROUND(IF([2]项目基本情况!B8="出让",SUMPRODUCT(PRODUCT(1+M13:M16)),SUMPRODUCT(PRODUCT(1+M13:M15))),4)</f>
        <v>1.0072000000000001</v>
      </c>
      <c r="U13" s="3165">
        <f>ROUND(IF([2]项目基本情况!B8="出让",SUMPRODUCT(PRODUCT(1+N13:N16)),SUMPRODUCT(PRODUCT(1+N13:N15))),4)</f>
        <v>1.0262</v>
      </c>
      <c r="V13" s="3165">
        <f>ROUND(IF([2]项目基本情况!B8="出让",SUMPRODUCT(PRODUCT(1+O13:O16)),SUMPRODUCT(PRODUCT(1+O13:O15))),4)</f>
        <v>1.0205</v>
      </c>
      <c r="W13" s="3165">
        <f t="shared" si="16"/>
        <v>1.0072000000000001</v>
      </c>
      <c r="X13" s="3163"/>
      <c r="Y13" s="3166">
        <f>IF(D13=0,0,ROUND(AVERAGE(D13:D16)/100,4))</f>
        <v>8.5000000000000006E-3</v>
      </c>
      <c r="Z13" s="3166">
        <f t="shared" ref="Z13:AC13" si="21">IF(E13=0,0,ROUND(AVERAGE(E13:E16)/100,4))</f>
        <v>3.8E-3</v>
      </c>
      <c r="AA13" s="3166">
        <f t="shared" si="21"/>
        <v>1.1999999999999999E-3</v>
      </c>
      <c r="AB13" s="3166">
        <f t="shared" si="21"/>
        <v>9.2999999999999992E-3</v>
      </c>
      <c r="AC13" s="3166">
        <f t="shared" si="21"/>
        <v>6.0000000000000001E-3</v>
      </c>
      <c r="AD13" s="3166">
        <f t="shared" si="7"/>
        <v>1.1999999999999999E-3</v>
      </c>
    </row>
    <row r="14" spans="1:30" s="3167" customFormat="1" ht="12.75">
      <c r="A14" s="3158" t="s">
        <v>2826</v>
      </c>
      <c r="B14" s="3159">
        <v>2021</v>
      </c>
      <c r="C14" s="3160">
        <v>3</v>
      </c>
      <c r="D14" s="3161">
        <v>0.47</v>
      </c>
      <c r="E14" s="3161">
        <v>0.41</v>
      </c>
      <c r="F14" s="3161">
        <v>0.24</v>
      </c>
      <c r="G14" s="3161">
        <v>0.48</v>
      </c>
      <c r="H14" s="3178">
        <v>0.48</v>
      </c>
      <c r="I14" s="3162">
        <f t="shared" si="4"/>
        <v>0.24</v>
      </c>
      <c r="J14" s="3163"/>
      <c r="K14" s="3164">
        <f t="shared" si="5"/>
        <v>4.6999999999999993E-3</v>
      </c>
      <c r="L14" s="3154">
        <f t="shared" si="5"/>
        <v>4.0999999999999995E-3</v>
      </c>
      <c r="M14" s="3154">
        <f t="shared" si="5"/>
        <v>2.3999999999999998E-3</v>
      </c>
      <c r="N14" s="3154">
        <f t="shared" si="5"/>
        <v>4.7999999999999996E-3</v>
      </c>
      <c r="O14" s="3154">
        <f t="shared" si="5"/>
        <v>4.7999999999999996E-3</v>
      </c>
      <c r="P14" s="3154">
        <f t="shared" si="15"/>
        <v>2.3999999999999998E-3</v>
      </c>
      <c r="Q14" s="3163"/>
      <c r="R14" s="3165">
        <f>ROUND(IF([2]项目基本情况!B8="出让",SUMPRODUCT(PRODUCT(1+K14:K16)),SUMPRODUCT(PRODUCT(1+K14:K15))),4)</f>
        <v>1.0139</v>
      </c>
      <c r="S14" s="3165">
        <f>ROUND(IF([2]项目基本情况!B8="出让",SUMPRODUCT(PRODUCT(1+L14:L16)),SUMPRODUCT(PRODUCT(1+L14:L15))),4)</f>
        <v>1.0113000000000001</v>
      </c>
      <c r="T14" s="3165">
        <f>ROUND(IF([2]项目基本情况!B8="出让",SUMPRODUCT(PRODUCT(1+M14:M16)),SUMPRODUCT(PRODUCT(1+M14:M15))),4)</f>
        <v>1.0065</v>
      </c>
      <c r="U14" s="3165">
        <f>ROUND(IF([2]项目基本情况!B8="出让",SUMPRODUCT(PRODUCT(1+N14:N16)),SUMPRODUCT(PRODUCT(1+N14:N15))),4)</f>
        <v>1.0143</v>
      </c>
      <c r="V14" s="3165">
        <f>ROUND(IF([2]项目基本情况!B8="出让",SUMPRODUCT(PRODUCT(1+O14:O16)),SUMPRODUCT(PRODUCT(1+O14:O15))),4)</f>
        <v>1.0148999999999999</v>
      </c>
      <c r="W14" s="3165">
        <f t="shared" si="16"/>
        <v>1.0065</v>
      </c>
      <c r="X14" s="3163"/>
      <c r="Y14" s="3166">
        <f>IF(D14=0,0,ROUND(AVERAGE(D14:D16)/100,4))</f>
        <v>7.9000000000000008E-3</v>
      </c>
      <c r="Z14" s="3166">
        <f>IF(E14=0,0,ROUND(AVERAGE(E14:E16)/100,4))</f>
        <v>4.3E-3</v>
      </c>
      <c r="AA14" s="3166">
        <f>IF(F14=0,0,ROUND(AVERAGE(F14:F16)/100,4))</f>
        <v>1.2999999999999999E-3</v>
      </c>
      <c r="AB14" s="3166">
        <f>IF(G14=0,0,ROUND(AVERAGE(G14:G16)/100,4))</f>
        <v>8.5000000000000006E-3</v>
      </c>
      <c r="AC14" s="3166">
        <f>IF(H14=0,0,ROUND(AVERAGE(H14:H16)/100,4))</f>
        <v>6.1999999999999998E-3</v>
      </c>
      <c r="AD14" s="3166">
        <f t="shared" si="7"/>
        <v>1.2999999999999999E-3</v>
      </c>
    </row>
    <row r="15" spans="1:30" s="3167" customFormat="1" ht="12.75">
      <c r="A15" s="3158" t="s">
        <v>2827</v>
      </c>
      <c r="B15" s="3159">
        <v>2021</v>
      </c>
      <c r="C15" s="3160">
        <v>2</v>
      </c>
      <c r="D15" s="3161">
        <v>0.92</v>
      </c>
      <c r="E15" s="3161">
        <v>0.72</v>
      </c>
      <c r="F15" s="3161">
        <v>0.41</v>
      </c>
      <c r="G15" s="3161">
        <v>0.95</v>
      </c>
      <c r="H15" s="3178">
        <v>1.01</v>
      </c>
      <c r="I15" s="3162">
        <f t="shared" si="4"/>
        <v>0.41</v>
      </c>
      <c r="J15" s="3163"/>
      <c r="K15" s="3164">
        <f t="shared" si="5"/>
        <v>9.1999999999999998E-3</v>
      </c>
      <c r="L15" s="3154">
        <f t="shared" si="5"/>
        <v>7.1999999999999998E-3</v>
      </c>
      <c r="M15" s="3154">
        <f t="shared" si="5"/>
        <v>4.0999999999999995E-3</v>
      </c>
      <c r="N15" s="3154">
        <f t="shared" si="5"/>
        <v>9.4999999999999998E-3</v>
      </c>
      <c r="O15" s="3154">
        <f t="shared" si="5"/>
        <v>1.01E-2</v>
      </c>
      <c r="P15" s="3154">
        <f t="shared" si="15"/>
        <v>4.0999999999999995E-3</v>
      </c>
      <c r="Q15" s="3163"/>
      <c r="R15" s="3165">
        <f>ROUND(IF([2]项目基本情况!B8="出让",SUMPRODUCT(PRODUCT(1+K15:K16)),SUMPRODUCT(PRODUCT(1+K15:K15))),4)</f>
        <v>1.0092000000000001</v>
      </c>
      <c r="S15" s="3165">
        <f>ROUND(IF([2]项目基本情况!B8="出让",SUMPRODUCT(PRODUCT(1+L15:L16)),SUMPRODUCT(PRODUCT(1+L15:L15))),4)</f>
        <v>1.0072000000000001</v>
      </c>
      <c r="T15" s="3165">
        <f>ROUND(IF([2]项目基本情况!B8="出让",SUMPRODUCT(PRODUCT(1+M15:M16)),SUMPRODUCT(PRODUCT(1+M15:M15))),4)</f>
        <v>1.0041</v>
      </c>
      <c r="U15" s="3165">
        <f>ROUND(IF([2]项目基本情况!B8="出让",SUMPRODUCT(PRODUCT(1+N15:N16)),SUMPRODUCT(PRODUCT(1+N15:N15))),4)</f>
        <v>1.0095000000000001</v>
      </c>
      <c r="V15" s="3165">
        <f>ROUND(IF([2]项目基本情况!B8="出让",SUMPRODUCT(PRODUCT(1+O15:O16)),SUMPRODUCT(PRODUCT(1+O15:O15))),4)</f>
        <v>1.0101</v>
      </c>
      <c r="W15" s="3165">
        <f t="shared" si="16"/>
        <v>1.0041</v>
      </c>
      <c r="X15" s="3163"/>
      <c r="Y15" s="3166">
        <f>IF(D15=0,0,ROUND(AVERAGE(D15:D16)/100,4))</f>
        <v>9.4999999999999998E-3</v>
      </c>
      <c r="Z15" s="3166">
        <f>IF(E15=0,0,ROUND(AVERAGE(E15:E16)/100,4))</f>
        <v>4.4000000000000003E-3</v>
      </c>
      <c r="AA15" s="3166">
        <f>IF(F15=0,0,ROUND(AVERAGE(F15:F16)/100,4))</f>
        <v>8.0000000000000004E-4</v>
      </c>
      <c r="AB15" s="3166">
        <f>IF(G15=0,0,ROUND(AVERAGE(G15:G16)/100,4))</f>
        <v>1.03E-2</v>
      </c>
      <c r="AC15" s="3166">
        <f>IF(H15=0,0,ROUND(AVERAGE(H15:H16)/100,4))</f>
        <v>6.8999999999999999E-3</v>
      </c>
      <c r="AD15" s="3166">
        <f t="shared" si="7"/>
        <v>8.0000000000000004E-4</v>
      </c>
    </row>
    <row r="16" spans="1:30" s="3189" customFormat="1" thickBot="1">
      <c r="A16" s="3179" t="s">
        <v>2828</v>
      </c>
      <c r="B16" s="3180">
        <v>2021</v>
      </c>
      <c r="C16" s="3181">
        <v>1</v>
      </c>
      <c r="D16" s="3182">
        <v>0.97</v>
      </c>
      <c r="E16" s="3182">
        <v>0.16</v>
      </c>
      <c r="F16" s="3182">
        <v>-0.25</v>
      </c>
      <c r="G16" s="3182">
        <v>1.1100000000000001</v>
      </c>
      <c r="H16" s="3183">
        <v>0.36</v>
      </c>
      <c r="I16" s="3184">
        <f t="shared" si="4"/>
        <v>-0.25</v>
      </c>
      <c r="J16" s="3185"/>
      <c r="K16" s="3186">
        <f t="shared" si="5"/>
        <v>9.7000000000000003E-3</v>
      </c>
      <c r="L16" s="3187">
        <f t="shared" si="5"/>
        <v>1.6000000000000001E-3</v>
      </c>
      <c r="M16" s="3187">
        <f>F16/100</f>
        <v>-2.5000000000000001E-3</v>
      </c>
      <c r="N16" s="3187">
        <f t="shared" si="5"/>
        <v>1.11E-2</v>
      </c>
      <c r="O16" s="3187">
        <f t="shared" si="5"/>
        <v>3.5999999999999999E-3</v>
      </c>
      <c r="P16" s="3187">
        <f t="shared" si="15"/>
        <v>-2.5000000000000001E-3</v>
      </c>
      <c r="Q16" s="3185"/>
      <c r="R16" s="3188">
        <v>1</v>
      </c>
      <c r="S16" s="3188">
        <v>1</v>
      </c>
      <c r="T16" s="3188">
        <v>1</v>
      </c>
      <c r="U16" s="3188">
        <v>1</v>
      </c>
      <c r="V16" s="3188">
        <v>1</v>
      </c>
      <c r="W16" s="3188">
        <f t="shared" si="16"/>
        <v>1</v>
      </c>
      <c r="X16" s="3185"/>
      <c r="Y16" s="3187">
        <f>IF(D16=0,0,ROUND(AVERAGE(D16:D16)/100,4))</f>
        <v>9.7000000000000003E-3</v>
      </c>
      <c r="Z16" s="3187">
        <f>IF(E16=0,0,ROUND(AVERAGE(E16:E16)/100,4))</f>
        <v>1.6000000000000001E-3</v>
      </c>
      <c r="AA16" s="3187">
        <f>IF(F16=0,0,ROUND(AVERAGE(F16:F16)/100,4))</f>
        <v>-2.5000000000000001E-3</v>
      </c>
      <c r="AB16" s="3187">
        <f>IF(G16=0,0,ROUND(AVERAGE(G16:G16)/100,4))</f>
        <v>1.11E-2</v>
      </c>
      <c r="AC16" s="3187">
        <f>IF(H16=0,0,ROUND(AVERAGE(H16:H16)/100,4))</f>
        <v>3.5999999999999999E-3</v>
      </c>
      <c r="AD16" s="3187">
        <f>AA16</f>
        <v>-2.5000000000000001E-3</v>
      </c>
    </row>
    <row r="17" spans="1:30" s="2991" customFormat="1" ht="14.25" thickTop="1"/>
    <row r="18" spans="1:30" s="2991" customFormat="1">
      <c r="A18" s="3430" t="s">
        <v>3373</v>
      </c>
    </row>
    <row r="19" spans="1:30" s="2991" customFormat="1">
      <c r="I19" s="3190" t="s">
        <v>2829</v>
      </c>
    </row>
    <row r="20" spans="1:30" s="2991" customFormat="1"/>
    <row r="21" spans="1:30" s="3191" customFormat="1" ht="12.75">
      <c r="B21" s="3192" t="s">
        <v>2830</v>
      </c>
      <c r="C21" s="3193"/>
      <c r="D21" s="3193"/>
      <c r="E21" s="3193"/>
      <c r="F21" s="3193"/>
      <c r="G21" s="3193"/>
      <c r="H21" s="3193"/>
      <c r="I21" s="3193"/>
      <c r="J21" s="3147"/>
      <c r="K21" s="3193" t="s">
        <v>2831</v>
      </c>
      <c r="L21" s="3193"/>
      <c r="M21" s="3193"/>
      <c r="N21" s="3193"/>
      <c r="O21" s="3193"/>
      <c r="P21" s="3193"/>
      <c r="Q21" s="3147"/>
      <c r="R21" s="3863" t="s">
        <v>2832</v>
      </c>
      <c r="S21" s="3864"/>
      <c r="T21" s="3864"/>
      <c r="U21" s="3864"/>
      <c r="V21" s="3864"/>
      <c r="W21" s="3864"/>
      <c r="X21" s="3147"/>
      <c r="Y21" s="3863" t="s">
        <v>2833</v>
      </c>
      <c r="Z21" s="3864"/>
      <c r="AA21" s="3864"/>
      <c r="AB21" s="3864"/>
      <c r="AC21" s="3864"/>
      <c r="AD21" s="3864"/>
    </row>
    <row r="22" spans="1:30" s="3125" customFormat="1" ht="14.25" thickBot="1">
      <c r="B22" s="3126"/>
      <c r="C22" s="3127"/>
      <c r="D22" s="3128" t="s">
        <v>2834</v>
      </c>
      <c r="E22" s="3129" t="s">
        <v>2835</v>
      </c>
      <c r="F22" s="3129" t="s">
        <v>2836</v>
      </c>
      <c r="G22" s="3129" t="s">
        <v>2837</v>
      </c>
      <c r="H22" s="3129"/>
      <c r="I22" s="3129" t="s">
        <v>2838</v>
      </c>
      <c r="J22" s="3130"/>
      <c r="K22" s="3128" t="s">
        <v>2834</v>
      </c>
      <c r="L22" s="3129" t="s">
        <v>2835</v>
      </c>
      <c r="M22" s="3129" t="s">
        <v>2836</v>
      </c>
      <c r="N22" s="3129" t="s">
        <v>2837</v>
      </c>
      <c r="O22" s="3129"/>
      <c r="P22" s="3129" t="s">
        <v>2838</v>
      </c>
      <c r="Q22" s="3130"/>
      <c r="R22" s="3128" t="s">
        <v>2834</v>
      </c>
      <c r="S22" s="3129" t="s">
        <v>2835</v>
      </c>
      <c r="T22" s="3129" t="s">
        <v>2836</v>
      </c>
      <c r="U22" s="3129" t="s">
        <v>2837</v>
      </c>
      <c r="V22" s="3129"/>
      <c r="W22" s="3129" t="s">
        <v>2838</v>
      </c>
      <c r="X22" s="3130"/>
      <c r="Y22" s="3128" t="s">
        <v>2834</v>
      </c>
      <c r="Z22" s="3129" t="s">
        <v>2835</v>
      </c>
      <c r="AA22" s="3129" t="s">
        <v>2836</v>
      </c>
      <c r="AB22" s="3129" t="s">
        <v>2837</v>
      </c>
      <c r="AC22" s="3129"/>
      <c r="AD22" s="3129" t="s">
        <v>2838</v>
      </c>
    </row>
    <row r="23" spans="1:30" s="3143" customFormat="1" ht="12.75">
      <c r="A23" s="3131" t="s">
        <v>2839</v>
      </c>
      <c r="B23" s="3132"/>
      <c r="C23" s="3133"/>
      <c r="D23" s="3133"/>
      <c r="E23" s="3133">
        <f t="shared" ref="E23:G23" si="22">ROUND(AVERAGEIF(E24:E36,"&lt;&gt;0"),2)</f>
        <v>0.4</v>
      </c>
      <c r="F23" s="3133">
        <f t="shared" si="22"/>
        <v>0.26</v>
      </c>
      <c r="G23" s="3133">
        <f t="shared" si="22"/>
        <v>0.74</v>
      </c>
      <c r="H23" s="3133"/>
      <c r="I23" s="3133">
        <f>F23</f>
        <v>0.26</v>
      </c>
      <c r="J23" s="3134"/>
      <c r="K23" s="3135"/>
      <c r="L23" s="3136">
        <f t="shared" ref="L23:N23" si="23">ROUND(AVERAGEIF(L24:L36,"&lt;&gt;0"),4)</f>
        <v>4.0000000000000001E-3</v>
      </c>
      <c r="M23" s="3136">
        <f t="shared" si="23"/>
        <v>2.5999999999999999E-3</v>
      </c>
      <c r="N23" s="3136">
        <f t="shared" si="23"/>
        <v>7.4000000000000003E-3</v>
      </c>
      <c r="O23" s="3136"/>
      <c r="P23" s="3136">
        <f>M23</f>
        <v>2.5999999999999999E-3</v>
      </c>
      <c r="Q23" s="3134"/>
      <c r="R23" s="3137"/>
      <c r="S23" s="3138">
        <f>ROUND(SUMPRODUCT(PRODUCT(1+L24:L36)),4)</f>
        <v>1.0323</v>
      </c>
      <c r="T23" s="3138">
        <f t="shared" ref="T23:U23" si="24">ROUND(SUMPRODUCT(PRODUCT(1+M24:M36)),4)</f>
        <v>1.0213000000000001</v>
      </c>
      <c r="U23" s="3138">
        <f t="shared" si="24"/>
        <v>1.0609</v>
      </c>
      <c r="V23" s="3138"/>
      <c r="W23" s="3137">
        <f>T23</f>
        <v>1.0213000000000001</v>
      </c>
      <c r="X23" s="3134"/>
      <c r="Y23" s="3139"/>
      <c r="Z23" s="3140">
        <f t="shared" ref="Z23:AB23" si="25">ROUND(AVERAGEIF(Z24:Z36,"&lt;&gt;0"),4)</f>
        <v>4.3E-3</v>
      </c>
      <c r="AA23" s="3141">
        <f t="shared" si="25"/>
        <v>3.5999999999999999E-3</v>
      </c>
      <c r="AB23" s="3139">
        <f t="shared" si="25"/>
        <v>8.8999999999999999E-3</v>
      </c>
      <c r="AC23" s="3142"/>
      <c r="AD23" s="3139">
        <f>AA23</f>
        <v>3.5999999999999999E-3</v>
      </c>
    </row>
    <row r="24" spans="1:30" s="3144" customFormat="1" ht="12.75">
      <c r="B24" s="3145"/>
      <c r="C24" s="3146"/>
      <c r="D24" s="3146"/>
      <c r="E24" s="3146"/>
      <c r="F24" s="3146"/>
      <c r="G24" s="3146"/>
      <c r="H24" s="3146"/>
      <c r="I24" s="3146"/>
      <c r="J24" s="3147"/>
      <c r="K24" s="3148"/>
      <c r="L24" s="3149"/>
      <c r="M24" s="3149"/>
      <c r="N24" s="3149"/>
      <c r="O24" s="3149"/>
      <c r="P24" s="3149"/>
      <c r="Q24" s="3147"/>
      <c r="R24" s="3150"/>
      <c r="S24" s="3151"/>
      <c r="T24" s="3152"/>
      <c r="U24" s="3150"/>
      <c r="V24" s="3153"/>
      <c r="W24" s="3150"/>
      <c r="X24" s="3147"/>
      <c r="Y24" s="3154"/>
      <c r="Z24" s="3155"/>
      <c r="AA24" s="3156"/>
      <c r="AB24" s="3154"/>
      <c r="AC24" s="3157"/>
      <c r="AD24" s="3154"/>
    </row>
    <row r="25" spans="1:30" s="3167" customFormat="1" ht="12.75">
      <c r="A25" s="3158" t="s">
        <v>3376</v>
      </c>
      <c r="B25" s="3159">
        <v>2023</v>
      </c>
      <c r="C25" s="3160">
        <v>4</v>
      </c>
      <c r="D25" s="3161"/>
      <c r="E25" s="3161">
        <v>0</v>
      </c>
      <c r="F25" s="3161">
        <v>0</v>
      </c>
      <c r="G25" s="3161">
        <v>0</v>
      </c>
      <c r="H25" s="3161"/>
      <c r="I25" s="3162">
        <f t="shared" ref="I25:I36" si="26">F25</f>
        <v>0</v>
      </c>
      <c r="J25" s="3163"/>
      <c r="K25" s="3164"/>
      <c r="L25" s="3154">
        <f t="shared" ref="L25:N36" si="27">E25/100</f>
        <v>0</v>
      </c>
      <c r="M25" s="3154">
        <f t="shared" si="27"/>
        <v>0</v>
      </c>
      <c r="N25" s="3154">
        <f t="shared" si="27"/>
        <v>0</v>
      </c>
      <c r="O25" s="3154"/>
      <c r="P25" s="3154">
        <f>M25</f>
        <v>0</v>
      </c>
      <c r="Q25" s="3163"/>
      <c r="R25" s="3165"/>
      <c r="S25" s="3165">
        <f>ROUND(IF([2]项目基本情况!$B$8="出让",SUMPRODUCT(PRODUCT(1+L25:L$36)),SUMPRODUCT(PRODUCT(1+L25:L$35))),4)</f>
        <v>1.0286999999999999</v>
      </c>
      <c r="T25" s="3165">
        <f>ROUND(IF([2]项目基本情况!$B$8="出让",SUMPRODUCT(PRODUCT(1+M25:M$36)),SUMPRODUCT(PRODUCT(1+M25:M$35))),4)</f>
        <v>1.0164</v>
      </c>
      <c r="U25" s="3165">
        <f>ROUND(IF([2]项目基本情况!$B$8="出让",SUMPRODUCT(PRODUCT(1+N25:N$36)),SUMPRODUCT(PRODUCT(1+N25:N$35))),4)</f>
        <v>1.0506</v>
      </c>
      <c r="V25" s="3165"/>
      <c r="W25" s="3165">
        <f>T25</f>
        <v>1.0164</v>
      </c>
      <c r="X25" s="3163"/>
      <c r="Y25" s="3166"/>
      <c r="Z25" s="3194">
        <f>IF(E25=0,0,ROUND(AVERAGE(E25:E36)/100,4))</f>
        <v>0</v>
      </c>
      <c r="AA25" s="3194">
        <f>IF(F25=0,0,ROUND(AVERAGE(F25:F36)/100,4))</f>
        <v>0</v>
      </c>
      <c r="AB25" s="3194">
        <f>IF(G25=0,0,ROUND(AVERAGE(G25:G36)/100,4))</f>
        <v>0</v>
      </c>
      <c r="AC25" s="3195"/>
      <c r="AD25" s="3166">
        <f>IF(I25=0,0,ROUND(AVERAGE(I25:I36)/100,4))</f>
        <v>0</v>
      </c>
    </row>
    <row r="26" spans="1:30" s="3167" customFormat="1" ht="12.75">
      <c r="A26" s="3158" t="s">
        <v>3377</v>
      </c>
      <c r="B26" s="3159">
        <v>2023</v>
      </c>
      <c r="C26" s="3160">
        <v>3</v>
      </c>
      <c r="D26" s="3161"/>
      <c r="E26" s="3161">
        <v>0</v>
      </c>
      <c r="F26" s="3161">
        <v>0</v>
      </c>
      <c r="G26" s="3161">
        <v>0</v>
      </c>
      <c r="H26" s="3178"/>
      <c r="I26" s="3162">
        <f t="shared" si="26"/>
        <v>0</v>
      </c>
      <c r="J26" s="3163"/>
      <c r="K26" s="3164"/>
      <c r="L26" s="3154">
        <f t="shared" ref="L26:L28" si="28">E26/100</f>
        <v>0</v>
      </c>
      <c r="M26" s="3154">
        <f t="shared" ref="M26:M28" si="29">F26/100</f>
        <v>0</v>
      </c>
      <c r="N26" s="3154">
        <f t="shared" ref="N26:N28" si="30">G26/100</f>
        <v>0</v>
      </c>
      <c r="O26" s="3154"/>
      <c r="P26" s="3154">
        <f t="shared" ref="P26:P28" si="31">M26</f>
        <v>0</v>
      </c>
      <c r="Q26" s="3163"/>
      <c r="R26" s="3165"/>
      <c r="S26" s="3165">
        <f>ROUND(IF([2]项目基本情况!$B$8="出让",SUMPRODUCT(PRODUCT(1+L26:L$36)),SUMPRODUCT(PRODUCT(1+L26:L$35))),4)</f>
        <v>1.0286999999999999</v>
      </c>
      <c r="T26" s="3165">
        <f>ROUND(IF([2]项目基本情况!$B$8="出让",SUMPRODUCT(PRODUCT(1+M26:M$36)),SUMPRODUCT(PRODUCT(1+M26:M$35))),4)</f>
        <v>1.0164</v>
      </c>
      <c r="U26" s="3165">
        <f>ROUND(IF([2]项目基本情况!$B$8="出让",SUMPRODUCT(PRODUCT(1+N26:N$36)),SUMPRODUCT(PRODUCT(1+N26:N$35))),4)</f>
        <v>1.0506</v>
      </c>
      <c r="V26" s="3165"/>
      <c r="W26" s="3165">
        <f t="shared" ref="W26:W28" si="32">T26</f>
        <v>1.0164</v>
      </c>
      <c r="X26" s="3163"/>
      <c r="Y26" s="3166"/>
      <c r="Z26" s="3194"/>
      <c r="AA26" s="3431"/>
      <c r="AB26" s="3431"/>
      <c r="AC26" s="3195"/>
      <c r="AD26" s="3166"/>
    </row>
    <row r="27" spans="1:30" s="3167" customFormat="1" ht="12.75">
      <c r="A27" s="3158" t="s">
        <v>3375</v>
      </c>
      <c r="B27" s="3159">
        <v>2023</v>
      </c>
      <c r="C27" s="3160">
        <v>2</v>
      </c>
      <c r="D27" s="3161"/>
      <c r="E27" s="3161">
        <v>0</v>
      </c>
      <c r="F27" s="3161">
        <v>0</v>
      </c>
      <c r="G27" s="3161">
        <v>0</v>
      </c>
      <c r="H27" s="3178"/>
      <c r="I27" s="3162">
        <f t="shared" si="26"/>
        <v>0</v>
      </c>
      <c r="J27" s="3163"/>
      <c r="K27" s="3164"/>
      <c r="L27" s="3154">
        <f t="shared" si="28"/>
        <v>0</v>
      </c>
      <c r="M27" s="3154">
        <f t="shared" si="29"/>
        <v>0</v>
      </c>
      <c r="N27" s="3154">
        <f t="shared" si="30"/>
        <v>0</v>
      </c>
      <c r="O27" s="3154"/>
      <c r="P27" s="3154">
        <f t="shared" si="31"/>
        <v>0</v>
      </c>
      <c r="Q27" s="3163"/>
      <c r="R27" s="3165"/>
      <c r="S27" s="3165">
        <f>ROUND(IF([2]项目基本情况!$B$8="出让",SUMPRODUCT(PRODUCT(1+L27:L$36)),SUMPRODUCT(PRODUCT(1+L27:L$35))),4)</f>
        <v>1.0286999999999999</v>
      </c>
      <c r="T27" s="3165">
        <f>ROUND(IF([2]项目基本情况!$B$8="出让",SUMPRODUCT(PRODUCT(1+M27:M$36)),SUMPRODUCT(PRODUCT(1+M27:M$35))),4)</f>
        <v>1.0164</v>
      </c>
      <c r="U27" s="3165">
        <f>ROUND(IF([2]项目基本情况!$B$8="出让",SUMPRODUCT(PRODUCT(1+N27:N$36)),SUMPRODUCT(PRODUCT(1+N27:N$35))),4)</f>
        <v>1.0506</v>
      </c>
      <c r="V27" s="3165"/>
      <c r="W27" s="3165">
        <f t="shared" si="32"/>
        <v>1.0164</v>
      </c>
      <c r="X27" s="3163"/>
      <c r="Y27" s="3166"/>
      <c r="Z27" s="3194"/>
      <c r="AA27" s="3431"/>
      <c r="AB27" s="3431"/>
      <c r="AC27" s="3195"/>
      <c r="AD27" s="3166"/>
    </row>
    <row r="28" spans="1:30" s="3167" customFormat="1" ht="12.75">
      <c r="A28" s="3158" t="s">
        <v>2822</v>
      </c>
      <c r="B28" s="3159">
        <v>2023</v>
      </c>
      <c r="C28" s="3160">
        <v>1</v>
      </c>
      <c r="D28" s="3161"/>
      <c r="E28" s="3161">
        <v>0</v>
      </c>
      <c r="F28" s="3161">
        <v>0</v>
      </c>
      <c r="G28" s="3161">
        <v>0</v>
      </c>
      <c r="H28" s="3178"/>
      <c r="I28" s="3162">
        <f t="shared" si="26"/>
        <v>0</v>
      </c>
      <c r="J28" s="3163"/>
      <c r="K28" s="3164"/>
      <c r="L28" s="3154">
        <f t="shared" si="28"/>
        <v>0</v>
      </c>
      <c r="M28" s="3154">
        <f t="shared" si="29"/>
        <v>0</v>
      </c>
      <c r="N28" s="3154">
        <f t="shared" si="30"/>
        <v>0</v>
      </c>
      <c r="O28" s="3154"/>
      <c r="P28" s="3154">
        <f t="shared" si="31"/>
        <v>0</v>
      </c>
      <c r="Q28" s="3163"/>
      <c r="R28" s="3165"/>
      <c r="S28" s="3165">
        <f>ROUND(IF([2]项目基本情况!$B$8="出让",SUMPRODUCT(PRODUCT(1+L28:L$36)),SUMPRODUCT(PRODUCT(1+L28:L$35))),4)</f>
        <v>1.0286999999999999</v>
      </c>
      <c r="T28" s="3165">
        <f>ROUND(IF([2]项目基本情况!$B$8="出让",SUMPRODUCT(PRODUCT(1+M28:M$36)),SUMPRODUCT(PRODUCT(1+M28:M$35))),4)</f>
        <v>1.0164</v>
      </c>
      <c r="U28" s="3165">
        <f>ROUND(IF([2]项目基本情况!$B$8="出让",SUMPRODUCT(PRODUCT(1+N28:N$36)),SUMPRODUCT(PRODUCT(1+N28:N$35))),4)</f>
        <v>1.0506</v>
      </c>
      <c r="V28" s="3165"/>
      <c r="W28" s="3165">
        <f t="shared" si="32"/>
        <v>1.0164</v>
      </c>
      <c r="X28" s="3163"/>
      <c r="Y28" s="3166"/>
      <c r="Z28" s="3194"/>
      <c r="AA28" s="3431"/>
      <c r="AB28" s="3431"/>
      <c r="AC28" s="3195"/>
      <c r="AD28" s="3166"/>
    </row>
    <row r="29" spans="1:30" s="3177" customFormat="1" ht="12.75">
      <c r="A29" s="3168" t="s">
        <v>3371</v>
      </c>
      <c r="B29" s="3169">
        <v>2022</v>
      </c>
      <c r="C29" s="3170">
        <v>4</v>
      </c>
      <c r="D29" s="3171"/>
      <c r="E29" s="3171">
        <v>0.45</v>
      </c>
      <c r="F29" s="3171">
        <v>0.2</v>
      </c>
      <c r="G29" s="3171">
        <v>0.38</v>
      </c>
      <c r="H29" s="3172"/>
      <c r="I29" s="3173">
        <f t="shared" si="26"/>
        <v>0.2</v>
      </c>
      <c r="J29" s="3174"/>
      <c r="K29" s="3175"/>
      <c r="L29" s="3176">
        <f t="shared" si="27"/>
        <v>4.5000000000000005E-3</v>
      </c>
      <c r="M29" s="3176">
        <f t="shared" si="27"/>
        <v>2E-3</v>
      </c>
      <c r="N29" s="3176">
        <f t="shared" si="27"/>
        <v>3.8E-3</v>
      </c>
      <c r="O29" s="3176"/>
      <c r="P29" s="3176">
        <f t="shared" ref="P29:P36" si="33">M29</f>
        <v>2E-3</v>
      </c>
      <c r="Q29" s="3174"/>
      <c r="R29" s="3174"/>
      <c r="S29" s="3174">
        <f>ROUND(IF([2]项目基本情况!$B$8="出让",SUMPRODUCT(PRODUCT(1+L29:L$36)),SUMPRODUCT(PRODUCT(1+L29:L$35))),4)</f>
        <v>1.0286999999999999</v>
      </c>
      <c r="T29" s="3174">
        <f>ROUND(IF([2]项目基本情况!$B$8="出让",SUMPRODUCT(PRODUCT(1+M29:M$36)),SUMPRODUCT(PRODUCT(1+M29:M$35))),4)</f>
        <v>1.0164</v>
      </c>
      <c r="U29" s="3174">
        <f>ROUND(IF([2]项目基本情况!$B$8="出让",SUMPRODUCT(PRODUCT(1+N29:N$36)),SUMPRODUCT(PRODUCT(1+N29:N$35))),4)</f>
        <v>1.0506</v>
      </c>
      <c r="V29" s="3174"/>
      <c r="W29" s="3174">
        <f t="shared" ref="W29:W36" si="34">T29</f>
        <v>1.0164</v>
      </c>
      <c r="X29" s="3174"/>
      <c r="Y29" s="3176"/>
      <c r="Z29" s="3197">
        <f t="shared" ref="Z29:AD36" si="35">IF(E29=0,0,ROUND(AVERAGE(E29:E37)/100,4))</f>
        <v>4.0000000000000001E-3</v>
      </c>
      <c r="AA29" s="3198">
        <f t="shared" si="35"/>
        <v>2.5999999999999999E-3</v>
      </c>
      <c r="AB29" s="3176">
        <f t="shared" si="35"/>
        <v>7.4000000000000003E-3</v>
      </c>
      <c r="AC29" s="3199"/>
      <c r="AD29" s="3176">
        <f t="shared" si="35"/>
        <v>2.5999999999999999E-3</v>
      </c>
    </row>
    <row r="30" spans="1:30" s="3167" customFormat="1" ht="12.75">
      <c r="A30" s="3158" t="s">
        <v>3372</v>
      </c>
      <c r="B30" s="3159">
        <v>2022</v>
      </c>
      <c r="C30" s="3160">
        <v>3</v>
      </c>
      <c r="D30" s="3161"/>
      <c r="E30" s="3161">
        <v>0.3</v>
      </c>
      <c r="F30" s="3161">
        <v>0.28999999999999998</v>
      </c>
      <c r="G30" s="3161">
        <v>0.83</v>
      </c>
      <c r="H30" s="3178"/>
      <c r="I30" s="3162">
        <f t="shared" si="26"/>
        <v>0.28999999999999998</v>
      </c>
      <c r="J30" s="3163"/>
      <c r="K30" s="3164"/>
      <c r="L30" s="3154">
        <f t="shared" si="27"/>
        <v>3.0000000000000001E-3</v>
      </c>
      <c r="M30" s="3154">
        <f t="shared" si="27"/>
        <v>2.8999999999999998E-3</v>
      </c>
      <c r="N30" s="3154">
        <f t="shared" si="27"/>
        <v>8.3000000000000001E-3</v>
      </c>
      <c r="O30" s="3154"/>
      <c r="P30" s="3154">
        <f t="shared" si="33"/>
        <v>2.8999999999999998E-3</v>
      </c>
      <c r="Q30" s="3163"/>
      <c r="R30" s="3165"/>
      <c r="S30" s="3165">
        <f>ROUND(IF([2]项目基本情况!$B$8="出让",SUMPRODUCT(PRODUCT(1+L30:L$36)),SUMPRODUCT(PRODUCT(1+L30:L$35))),4)</f>
        <v>1.0241</v>
      </c>
      <c r="T30" s="3165">
        <f>ROUND(IF([2]项目基本情况!$B$8="出让",SUMPRODUCT(PRODUCT(1+M30:M$36)),SUMPRODUCT(PRODUCT(1+M30:M$35))),4)</f>
        <v>1.0144</v>
      </c>
      <c r="U30" s="3165">
        <f>ROUND(IF([2]项目基本情况!$B$8="出让",SUMPRODUCT(PRODUCT(1+N30:N$36)),SUMPRODUCT(PRODUCT(1+N30:N$35))),4)</f>
        <v>1.0467</v>
      </c>
      <c r="V30" s="3165"/>
      <c r="W30" s="3165">
        <f t="shared" si="34"/>
        <v>1.0144</v>
      </c>
      <c r="X30" s="3163"/>
      <c r="Y30" s="3166"/>
      <c r="Z30" s="3194">
        <f t="shared" si="35"/>
        <v>3.8999999999999998E-3</v>
      </c>
      <c r="AA30" s="3196">
        <f t="shared" si="35"/>
        <v>2.7000000000000001E-3</v>
      </c>
      <c r="AB30" s="3166">
        <f t="shared" si="35"/>
        <v>7.9000000000000008E-3</v>
      </c>
      <c r="AC30" s="3195"/>
      <c r="AD30" s="3166">
        <f t="shared" si="35"/>
        <v>2.7000000000000001E-3</v>
      </c>
    </row>
    <row r="31" spans="1:30" s="3167" customFormat="1" ht="12.75">
      <c r="A31" s="3158" t="s">
        <v>3361</v>
      </c>
      <c r="B31" s="3159">
        <v>2022</v>
      </c>
      <c r="C31" s="3160">
        <v>2</v>
      </c>
      <c r="D31" s="3161"/>
      <c r="E31" s="3161">
        <v>-0.11</v>
      </c>
      <c r="F31" s="3161">
        <v>-0.13</v>
      </c>
      <c r="G31" s="3161">
        <v>0.53</v>
      </c>
      <c r="H31" s="3178"/>
      <c r="I31" s="3162">
        <f t="shared" si="26"/>
        <v>-0.13</v>
      </c>
      <c r="J31" s="3163"/>
      <c r="K31" s="3164"/>
      <c r="L31" s="3154">
        <f t="shared" si="27"/>
        <v>-1.1000000000000001E-3</v>
      </c>
      <c r="M31" s="3154">
        <f t="shared" si="27"/>
        <v>-1.2999999999999999E-3</v>
      </c>
      <c r="N31" s="3154">
        <f t="shared" si="27"/>
        <v>5.3E-3</v>
      </c>
      <c r="O31" s="3154"/>
      <c r="P31" s="3154">
        <f t="shared" si="33"/>
        <v>-1.2999999999999999E-3</v>
      </c>
      <c r="Q31" s="3163"/>
      <c r="R31" s="3165"/>
      <c r="S31" s="3165">
        <f>ROUND(IF([2]项目基本情况!$B$8="出让",SUMPRODUCT(PRODUCT(1+L31:L$36)),SUMPRODUCT(PRODUCT(1+L31:L$35))),4)</f>
        <v>1.0210999999999999</v>
      </c>
      <c r="T31" s="3165">
        <f>ROUND(IF([2]项目基本情况!$B$8="出让",SUMPRODUCT(PRODUCT(1+M31:M$36)),SUMPRODUCT(PRODUCT(1+M31:M$35))),4)</f>
        <v>1.0114000000000001</v>
      </c>
      <c r="U31" s="3165">
        <f>ROUND(IF([2]项目基本情况!$B$8="出让",SUMPRODUCT(PRODUCT(1+N31:N$36)),SUMPRODUCT(PRODUCT(1+N31:N$35))),4)</f>
        <v>1.0381</v>
      </c>
      <c r="V31" s="3165"/>
      <c r="W31" s="3165">
        <f t="shared" si="34"/>
        <v>1.0114000000000001</v>
      </c>
      <c r="X31" s="3163"/>
      <c r="Y31" s="3166"/>
      <c r="Z31" s="3194">
        <f t="shared" si="35"/>
        <v>4.1000000000000003E-3</v>
      </c>
      <c r="AA31" s="3196">
        <f t="shared" si="35"/>
        <v>2.7000000000000001E-3</v>
      </c>
      <c r="AB31" s="3166">
        <f t="shared" si="35"/>
        <v>7.9000000000000008E-3</v>
      </c>
      <c r="AC31" s="3195"/>
      <c r="AD31" s="3166">
        <f t="shared" si="35"/>
        <v>2.7000000000000001E-3</v>
      </c>
    </row>
    <row r="32" spans="1:30" s="3167" customFormat="1" ht="12.75">
      <c r="A32" s="3158" t="s">
        <v>2840</v>
      </c>
      <c r="B32" s="3159">
        <v>2022</v>
      </c>
      <c r="C32" s="3160">
        <v>1</v>
      </c>
      <c r="D32" s="3161"/>
      <c r="E32" s="3161">
        <v>0.6</v>
      </c>
      <c r="F32" s="3161">
        <v>0.45</v>
      </c>
      <c r="G32" s="3161">
        <v>0.53</v>
      </c>
      <c r="H32" s="3178"/>
      <c r="I32" s="3162">
        <f t="shared" si="26"/>
        <v>0.45</v>
      </c>
      <c r="J32" s="3163"/>
      <c r="K32" s="3164"/>
      <c r="L32" s="3154">
        <f t="shared" si="27"/>
        <v>6.0000000000000001E-3</v>
      </c>
      <c r="M32" s="3154">
        <f t="shared" si="27"/>
        <v>4.5000000000000005E-3</v>
      </c>
      <c r="N32" s="3154">
        <f t="shared" si="27"/>
        <v>5.3E-3</v>
      </c>
      <c r="O32" s="3154"/>
      <c r="P32" s="3154">
        <f t="shared" si="33"/>
        <v>4.5000000000000005E-3</v>
      </c>
      <c r="Q32" s="3163"/>
      <c r="R32" s="3165"/>
      <c r="S32" s="3165">
        <f>ROUND(IF([2]项目基本情况!$B$8="出让",SUMPRODUCT(PRODUCT(1+L32:L$36)),SUMPRODUCT(PRODUCT(1+L32:L$35))),4)</f>
        <v>1.0222</v>
      </c>
      <c r="T32" s="3165">
        <f>ROUND(IF([2]项目基本情况!$B$8="出让",SUMPRODUCT(PRODUCT(1+M32:M$36)),SUMPRODUCT(PRODUCT(1+M32:M$35))),4)</f>
        <v>1.0127999999999999</v>
      </c>
      <c r="U32" s="3165">
        <f>ROUND(IF([2]项目基本情况!$B$8="出让",SUMPRODUCT(PRODUCT(1+N32:N$36)),SUMPRODUCT(PRODUCT(1+N32:N$35))),4)</f>
        <v>1.0326</v>
      </c>
      <c r="V32" s="3165"/>
      <c r="W32" s="3165">
        <f t="shared" si="34"/>
        <v>1.0127999999999999</v>
      </c>
      <c r="X32" s="3163"/>
      <c r="Y32" s="3166"/>
      <c r="Z32" s="3194">
        <f t="shared" si="35"/>
        <v>5.1000000000000004E-3</v>
      </c>
      <c r="AA32" s="3196">
        <f t="shared" si="35"/>
        <v>3.5000000000000001E-3</v>
      </c>
      <c r="AB32" s="3166">
        <f t="shared" si="35"/>
        <v>8.3999999999999995E-3</v>
      </c>
      <c r="AC32" s="3195"/>
      <c r="AD32" s="3166">
        <f t="shared" si="35"/>
        <v>3.5000000000000001E-3</v>
      </c>
    </row>
    <row r="33" spans="1:30" s="3167" customFormat="1" ht="12.75">
      <c r="A33" s="3158" t="s">
        <v>2841</v>
      </c>
      <c r="B33" s="3159">
        <v>2021</v>
      </c>
      <c r="C33" s="3160">
        <v>4</v>
      </c>
      <c r="D33" s="3161"/>
      <c r="E33" s="3161">
        <v>0.57999999999999996</v>
      </c>
      <c r="F33" s="3161">
        <v>0.08</v>
      </c>
      <c r="G33" s="3161">
        <v>0.68</v>
      </c>
      <c r="H33" s="3178"/>
      <c r="I33" s="3162">
        <f t="shared" si="26"/>
        <v>0.08</v>
      </c>
      <c r="J33" s="3163"/>
      <c r="K33" s="3164"/>
      <c r="L33" s="3154">
        <f t="shared" si="27"/>
        <v>5.7999999999999996E-3</v>
      </c>
      <c r="M33" s="3154">
        <f t="shared" si="27"/>
        <v>8.0000000000000004E-4</v>
      </c>
      <c r="N33" s="3154">
        <f t="shared" si="27"/>
        <v>6.8000000000000005E-3</v>
      </c>
      <c r="O33" s="3154"/>
      <c r="P33" s="3154">
        <f t="shared" si="33"/>
        <v>8.0000000000000004E-4</v>
      </c>
      <c r="Q33" s="3163"/>
      <c r="R33" s="3165"/>
      <c r="S33" s="3165">
        <f>ROUND(IF([2]项目基本情况!$B$8="出让",SUMPRODUCT(PRODUCT(1+L33:L$36)),SUMPRODUCT(PRODUCT(1+L33:L$35))),4)</f>
        <v>1.0161</v>
      </c>
      <c r="T33" s="3165">
        <f>ROUND(IF([2]项目基本情况!$B$8="出让",SUMPRODUCT(PRODUCT(1+M33:M$36)),SUMPRODUCT(PRODUCT(1+M33:M$35))),4)</f>
        <v>1.0082</v>
      </c>
      <c r="U33" s="3165">
        <f>ROUND(IF([2]项目基本情况!$B$8="出让",SUMPRODUCT(PRODUCT(1+N33:N$36)),SUMPRODUCT(PRODUCT(1+N33:N$35))),4)</f>
        <v>1.0270999999999999</v>
      </c>
      <c r="V33" s="3165"/>
      <c r="W33" s="3165">
        <f t="shared" si="34"/>
        <v>1.0082</v>
      </c>
      <c r="X33" s="3163"/>
      <c r="Y33" s="3166"/>
      <c r="Z33" s="3194">
        <f t="shared" si="35"/>
        <v>4.8999999999999998E-3</v>
      </c>
      <c r="AA33" s="3196">
        <f t="shared" si="35"/>
        <v>3.3E-3</v>
      </c>
      <c r="AB33" s="3166">
        <f t="shared" si="35"/>
        <v>9.1999999999999998E-3</v>
      </c>
      <c r="AC33" s="3195"/>
      <c r="AD33" s="3166">
        <f t="shared" si="35"/>
        <v>3.3E-3</v>
      </c>
    </row>
    <row r="34" spans="1:30" s="3167" customFormat="1" ht="12.75">
      <c r="A34" s="3158" t="s">
        <v>2842</v>
      </c>
      <c r="B34" s="3159">
        <v>2021</v>
      </c>
      <c r="C34" s="3160">
        <v>3</v>
      </c>
      <c r="D34" s="3161"/>
      <c r="E34" s="3161">
        <v>0.47</v>
      </c>
      <c r="F34" s="3161">
        <v>0.28000000000000003</v>
      </c>
      <c r="G34" s="3161">
        <v>0.91</v>
      </c>
      <c r="H34" s="3178"/>
      <c r="I34" s="3162">
        <f t="shared" si="26"/>
        <v>0.28000000000000003</v>
      </c>
      <c r="J34" s="3163"/>
      <c r="K34" s="3164"/>
      <c r="L34" s="3154">
        <f t="shared" si="27"/>
        <v>4.6999999999999993E-3</v>
      </c>
      <c r="M34" s="3154">
        <f t="shared" si="27"/>
        <v>2.8000000000000004E-3</v>
      </c>
      <c r="N34" s="3154">
        <f t="shared" si="27"/>
        <v>9.1000000000000004E-3</v>
      </c>
      <c r="O34" s="3154"/>
      <c r="P34" s="3154">
        <f t="shared" si="33"/>
        <v>2.8000000000000004E-3</v>
      </c>
      <c r="Q34" s="3163"/>
      <c r="R34" s="3165"/>
      <c r="S34" s="3165">
        <f>ROUND(IF([2]项目基本情况!$B$8="出让",SUMPRODUCT(PRODUCT(1+L34:L$36)),SUMPRODUCT(PRODUCT(1+L34:L$35))),4)</f>
        <v>1.0102</v>
      </c>
      <c r="T34" s="3165">
        <f>ROUND(IF([2]项目基本情况!$B$8="出让",SUMPRODUCT(PRODUCT(1+M34:M$36)),SUMPRODUCT(PRODUCT(1+M34:M$35))),4)</f>
        <v>1.0074000000000001</v>
      </c>
      <c r="U34" s="3165">
        <f>ROUND(IF([2]项目基本情况!$B$8="出让",SUMPRODUCT(PRODUCT(1+N34:N$36)),SUMPRODUCT(PRODUCT(1+N34:N$35))),4)</f>
        <v>1.0202</v>
      </c>
      <c r="V34" s="3165"/>
      <c r="W34" s="3165">
        <f t="shared" si="34"/>
        <v>1.0074000000000001</v>
      </c>
      <c r="X34" s="3163"/>
      <c r="Y34" s="3166"/>
      <c r="Z34" s="3194">
        <f t="shared" si="35"/>
        <v>4.5999999999999999E-3</v>
      </c>
      <c r="AA34" s="3196">
        <f t="shared" si="35"/>
        <v>4.1000000000000003E-3</v>
      </c>
      <c r="AB34" s="3166">
        <f t="shared" si="35"/>
        <v>0.01</v>
      </c>
      <c r="AC34" s="3195"/>
      <c r="AD34" s="3166">
        <f t="shared" si="35"/>
        <v>4.1000000000000003E-3</v>
      </c>
    </row>
    <row r="35" spans="1:30" s="3167" customFormat="1" ht="12.75">
      <c r="A35" s="3158" t="s">
        <v>2843</v>
      </c>
      <c r="B35" s="3159">
        <v>2021</v>
      </c>
      <c r="C35" s="3160">
        <v>2</v>
      </c>
      <c r="D35" s="3161"/>
      <c r="E35" s="3161">
        <v>0.55000000000000004</v>
      </c>
      <c r="F35" s="3161">
        <v>0.46</v>
      </c>
      <c r="G35" s="3161">
        <v>1.1000000000000001</v>
      </c>
      <c r="H35" s="3178"/>
      <c r="I35" s="3162">
        <f t="shared" si="26"/>
        <v>0.46</v>
      </c>
      <c r="J35" s="3163"/>
      <c r="K35" s="3164"/>
      <c r="L35" s="3154">
        <f t="shared" si="27"/>
        <v>5.5000000000000005E-3</v>
      </c>
      <c r="M35" s="3154">
        <f t="shared" si="27"/>
        <v>4.5999999999999999E-3</v>
      </c>
      <c r="N35" s="3154">
        <f t="shared" si="27"/>
        <v>1.1000000000000001E-2</v>
      </c>
      <c r="O35" s="3154"/>
      <c r="P35" s="3154">
        <f t="shared" si="33"/>
        <v>4.5999999999999999E-3</v>
      </c>
      <c r="Q35" s="3163"/>
      <c r="R35" s="3165"/>
      <c r="S35" s="3165">
        <f>ROUND(IF([2]项目基本情况!$B$8="出让",SUMPRODUCT(PRODUCT(1+L35:L$36)),SUMPRODUCT(PRODUCT(1+L35:L$35))),4)</f>
        <v>1.0055000000000001</v>
      </c>
      <c r="T35" s="3165">
        <f>ROUND(IF([2]项目基本情况!$B$8="出让",SUMPRODUCT(PRODUCT(1+M35:M$36)),SUMPRODUCT(PRODUCT(1+M35:M$35))),4)</f>
        <v>1.0045999999999999</v>
      </c>
      <c r="U35" s="3165">
        <f>ROUND(IF([2]项目基本情况!$B$8="出让",SUMPRODUCT(PRODUCT(1+N35:N$36)),SUMPRODUCT(PRODUCT(1+N35:N$35))),4)</f>
        <v>1.0109999999999999</v>
      </c>
      <c r="V35" s="3165"/>
      <c r="W35" s="3165">
        <f t="shared" si="34"/>
        <v>1.0045999999999999</v>
      </c>
      <c r="X35" s="3163"/>
      <c r="Y35" s="3166"/>
      <c r="Z35" s="3194">
        <f t="shared" si="35"/>
        <v>4.4999999999999997E-3</v>
      </c>
      <c r="AA35" s="3196">
        <f t="shared" si="35"/>
        <v>4.7000000000000002E-3</v>
      </c>
      <c r="AB35" s="3166">
        <f t="shared" si="35"/>
        <v>1.04E-2</v>
      </c>
      <c r="AC35" s="3195"/>
      <c r="AD35" s="3166">
        <f t="shared" si="35"/>
        <v>4.7000000000000002E-3</v>
      </c>
    </row>
    <row r="36" spans="1:30" s="3189" customFormat="1" thickBot="1">
      <c r="A36" s="3179" t="s">
        <v>2828</v>
      </c>
      <c r="B36" s="3180">
        <v>2021</v>
      </c>
      <c r="C36" s="3181">
        <v>1</v>
      </c>
      <c r="D36" s="3182"/>
      <c r="E36" s="3182">
        <v>0.35</v>
      </c>
      <c r="F36" s="3182">
        <v>0.48</v>
      </c>
      <c r="G36" s="3182">
        <v>0.98</v>
      </c>
      <c r="H36" s="3183"/>
      <c r="I36" s="3184">
        <f t="shared" si="26"/>
        <v>0.48</v>
      </c>
      <c r="J36" s="3185"/>
      <c r="K36" s="3186"/>
      <c r="L36" s="3187">
        <f t="shared" si="27"/>
        <v>3.4999999999999996E-3</v>
      </c>
      <c r="M36" s="3187">
        <f>F36/100</f>
        <v>4.7999999999999996E-3</v>
      </c>
      <c r="N36" s="3187">
        <f t="shared" si="27"/>
        <v>9.7999999999999997E-3</v>
      </c>
      <c r="O36" s="3187"/>
      <c r="P36" s="3187">
        <f t="shared" si="33"/>
        <v>4.7999999999999996E-3</v>
      </c>
      <c r="Q36" s="3185"/>
      <c r="R36" s="3188"/>
      <c r="S36" s="3188">
        <v>1</v>
      </c>
      <c r="T36" s="3188">
        <v>1</v>
      </c>
      <c r="U36" s="3188">
        <v>1</v>
      </c>
      <c r="V36" s="3188"/>
      <c r="W36" s="3188">
        <f t="shared" si="34"/>
        <v>1</v>
      </c>
      <c r="X36" s="3185"/>
      <c r="Y36" s="3187"/>
      <c r="Z36" s="3200">
        <f t="shared" si="35"/>
        <v>3.5000000000000001E-3</v>
      </c>
      <c r="AA36" s="3201">
        <f t="shared" si="35"/>
        <v>4.7999999999999996E-3</v>
      </c>
      <c r="AB36" s="3187">
        <f t="shared" si="35"/>
        <v>9.7999999999999997E-3</v>
      </c>
      <c r="AC36" s="3202"/>
      <c r="AD36" s="3187">
        <f t="shared" si="35"/>
        <v>4.7999999999999996E-3</v>
      </c>
    </row>
    <row r="37" spans="1:30" ht="14.25" thickTop="1"/>
    <row r="38" spans="1:30">
      <c r="A38" s="3430" t="s">
        <v>3374</v>
      </c>
    </row>
  </sheetData>
  <sheetProtection password="CEE9" sheet="1" objects="1" scenarios="1"/>
  <mergeCells count="4">
    <mergeCell ref="R21:W21"/>
    <mergeCell ref="Y21:AD21"/>
    <mergeCell ref="R1:W1"/>
    <mergeCell ref="Y1:AD1"/>
  </mergeCells>
  <phoneticPr fontId="1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70" t="s">
        <v>452</v>
      </c>
      <c r="C1" s="3870"/>
      <c r="D1" s="3870"/>
      <c r="E1" s="3870"/>
      <c r="F1" s="3870"/>
      <c r="G1" s="3866" t="s">
        <v>453</v>
      </c>
      <c r="H1" s="3866"/>
      <c r="I1" s="3866"/>
      <c r="J1" s="3866"/>
      <c r="K1" s="3866"/>
      <c r="L1" s="3866"/>
      <c r="N1" s="3866" t="s">
        <v>454</v>
      </c>
      <c r="O1" s="3866"/>
      <c r="P1" s="3866"/>
      <c r="Q1" s="3866"/>
      <c r="S1" s="3866" t="s">
        <v>455</v>
      </c>
      <c r="T1" s="3866"/>
      <c r="U1" s="3866"/>
      <c r="V1" s="3866"/>
      <c r="X1" s="3865" t="s">
        <v>456</v>
      </c>
      <c r="Y1" s="3866"/>
      <c r="Z1" s="3866"/>
      <c r="AA1" s="3866"/>
      <c r="AB1" s="3866"/>
      <c r="AD1" s="3865" t="s">
        <v>457</v>
      </c>
      <c r="AE1" s="3866"/>
      <c r="AF1" s="3866"/>
      <c r="AG1" s="3866"/>
      <c r="AH1" s="386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8">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8">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8">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8">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7">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12">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11">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5">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94">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91">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6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6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6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7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7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6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6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7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7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6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6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6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6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6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6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6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6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6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6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6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7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7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7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7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6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6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6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6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6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6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6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6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6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6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6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6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6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6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6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6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6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6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6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6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6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6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6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6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6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6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6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6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6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6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6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6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6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6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6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6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6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6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6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6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6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6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6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6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03">
        <v>44795</v>
      </c>
      <c r="D13" s="2804">
        <v>3.65</v>
      </c>
      <c r="E13" s="2804">
        <f>D13</f>
        <v>3.65</v>
      </c>
      <c r="F13" s="2804">
        <f>D13</f>
        <v>3.65</v>
      </c>
      <c r="G13" s="2804">
        <f>D13</f>
        <v>3.65</v>
      </c>
      <c r="H13" s="2804">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8"/>
      <c r="C14" s="2800">
        <v>44701</v>
      </c>
      <c r="D14" s="2799">
        <v>3.7</v>
      </c>
      <c r="E14" s="2799">
        <f>D14</f>
        <v>3.7</v>
      </c>
      <c r="F14" s="2799">
        <f>D14</f>
        <v>3.7</v>
      </c>
      <c r="G14" s="2799">
        <f>D14</f>
        <v>3.7</v>
      </c>
      <c r="H14" s="2799">
        <v>4.45</v>
      </c>
      <c r="I14" s="2804"/>
      <c r="J14" s="2804"/>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8"/>
      <c r="C15" s="2800">
        <v>44581</v>
      </c>
      <c r="D15" s="2799">
        <v>3.7</v>
      </c>
      <c r="E15" s="2799">
        <f>D15</f>
        <v>3.7</v>
      </c>
      <c r="F15" s="2799">
        <f>D15</f>
        <v>3.7</v>
      </c>
      <c r="G15" s="2799">
        <f>D15</f>
        <v>3.7</v>
      </c>
      <c r="H15" s="2799">
        <v>4.5999999999999996</v>
      </c>
      <c r="I15" s="2804"/>
      <c r="J15" s="2804"/>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9"/>
      <c r="C16" s="2800">
        <v>44550</v>
      </c>
      <c r="D16" s="2799">
        <v>3.8</v>
      </c>
      <c r="E16" s="2799">
        <f>D16</f>
        <v>3.8</v>
      </c>
      <c r="F16" s="2799">
        <f>D16</f>
        <v>3.8</v>
      </c>
      <c r="G16" s="2799">
        <f>D16</f>
        <v>3.8</v>
      </c>
      <c r="H16" s="2799">
        <v>4.6500000000000004</v>
      </c>
      <c r="I16" s="2799"/>
      <c r="J16" s="280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9"/>
      <c r="C17" s="2800">
        <v>43941</v>
      </c>
      <c r="D17" s="2799">
        <v>3.85</v>
      </c>
      <c r="E17" s="2799">
        <v>3.85</v>
      </c>
      <c r="F17" s="2799">
        <v>3.85</v>
      </c>
      <c r="G17" s="2799">
        <v>3.85</v>
      </c>
      <c r="H17" s="2799">
        <v>4.6500000000000004</v>
      </c>
      <c r="I17" s="2799"/>
      <c r="J17" s="279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9"/>
      <c r="C18" s="2800">
        <v>43881</v>
      </c>
      <c r="D18" s="2799">
        <v>4.05</v>
      </c>
      <c r="E18" s="2799">
        <v>4.05</v>
      </c>
      <c r="F18" s="2799">
        <v>4.05</v>
      </c>
      <c r="G18" s="2799">
        <v>4.05</v>
      </c>
      <c r="H18" s="2799">
        <v>4.75</v>
      </c>
      <c r="I18" s="2799"/>
      <c r="J18" s="2799"/>
      <c r="L18" s="2808"/>
      <c r="M18" s="2807">
        <v>41965</v>
      </c>
      <c r="N18" s="2808">
        <v>0.35</v>
      </c>
      <c r="O18" s="2808">
        <v>2.35</v>
      </c>
      <c r="P18" s="2808">
        <v>2.5499999999999998</v>
      </c>
      <c r="Q18" s="2808">
        <v>2.75</v>
      </c>
      <c r="R18" s="2808">
        <v>3.35</v>
      </c>
      <c r="S18" s="2808">
        <v>4</v>
      </c>
      <c r="T18" s="2808">
        <v>4.75</v>
      </c>
      <c r="U18" s="2809">
        <v>2.35</v>
      </c>
      <c r="V18" s="2809">
        <v>2.5499999999999998</v>
      </c>
      <c r="W18" s="2809">
        <v>2.75</v>
      </c>
      <c r="X18" s="2808"/>
      <c r="Y18" s="2809">
        <v>0.8</v>
      </c>
      <c r="Z18" s="2809">
        <v>1.35</v>
      </c>
    </row>
    <row r="19" spans="1:256" s="2810" customFormat="1" ht="14.25">
      <c r="A19" s="1284"/>
      <c r="B19" s="2799"/>
      <c r="C19" s="2800">
        <v>43789</v>
      </c>
      <c r="D19" s="2799">
        <v>4.1500000000000004</v>
      </c>
      <c r="E19" s="2799">
        <v>4.1500000000000004</v>
      </c>
      <c r="F19" s="2799">
        <v>4.1500000000000004</v>
      </c>
      <c r="G19" s="2799">
        <v>4.1500000000000004</v>
      </c>
      <c r="H19" s="2799">
        <v>4.8</v>
      </c>
      <c r="I19" s="2799"/>
      <c r="J19" s="279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9"/>
      <c r="C20" s="2800">
        <v>43728</v>
      </c>
      <c r="D20" s="2799">
        <v>4.2</v>
      </c>
      <c r="E20" s="2799">
        <v>4.2</v>
      </c>
      <c r="F20" s="2799">
        <v>4.2</v>
      </c>
      <c r="G20" s="2799">
        <v>4.2</v>
      </c>
      <c r="H20" s="2799">
        <v>4.8499999999999996</v>
      </c>
      <c r="I20" s="2799"/>
      <c r="J20" s="279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8" t="s">
        <v>2312</v>
      </c>
      <c r="C21" s="2801">
        <v>43697</v>
      </c>
      <c r="D21" s="2802">
        <v>4.25</v>
      </c>
      <c r="E21" s="2802">
        <v>4.25</v>
      </c>
      <c r="F21" s="2802">
        <v>4.25</v>
      </c>
      <c r="G21" s="2802">
        <v>4.25</v>
      </c>
      <c r="H21" s="2802">
        <v>4.8499999999999996</v>
      </c>
      <c r="I21" s="2802"/>
      <c r="J21" s="2802"/>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05"/>
      <c r="B22" s="2806"/>
      <c r="C22" s="2807">
        <v>42301</v>
      </c>
      <c r="D22" s="2808">
        <v>4.3499999999999996</v>
      </c>
      <c r="E22" s="2808">
        <v>4.3499999999999996</v>
      </c>
      <c r="F22" s="2808">
        <v>4.75</v>
      </c>
      <c r="G22" s="2808">
        <v>4.75</v>
      </c>
      <c r="H22" s="2808">
        <v>4.9000000000000004</v>
      </c>
      <c r="I22" s="2808"/>
      <c r="J22" s="280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A30" sqref="A30:XFD30"/>
    </sheetView>
  </sheetViews>
  <sheetFormatPr defaultRowHeight="13.5"/>
  <cols>
    <col min="6" max="6" width="11.875" customWidth="1"/>
    <col min="10" max="10" width="13.5" customWidth="1"/>
    <col min="12" max="12" width="13.5" customWidth="1"/>
  </cols>
  <sheetData>
    <row r="1" spans="1:13" s="3438" customFormat="1" ht="12.95" customHeight="1">
      <c r="A1" s="3436" t="s">
        <v>3399</v>
      </c>
      <c r="B1" s="3436" t="s">
        <v>3400</v>
      </c>
      <c r="C1" s="3436" t="s">
        <v>3401</v>
      </c>
      <c r="D1" s="3436" t="s">
        <v>3402</v>
      </c>
      <c r="E1" s="3436" t="s">
        <v>3403</v>
      </c>
      <c r="F1" s="3437" t="s">
        <v>3404</v>
      </c>
      <c r="G1" s="3436" t="s">
        <v>3405</v>
      </c>
      <c r="H1" s="3436" t="s">
        <v>3406</v>
      </c>
      <c r="I1" s="3436" t="s">
        <v>3407</v>
      </c>
      <c r="J1" s="3436" t="s">
        <v>3408</v>
      </c>
      <c r="K1" s="3437" t="s">
        <v>3409</v>
      </c>
      <c r="L1" s="3437" t="s">
        <v>3410</v>
      </c>
      <c r="M1" s="3436" t="s">
        <v>3411</v>
      </c>
    </row>
    <row r="2" spans="1:13" s="3438" customFormat="1" ht="15" customHeight="1">
      <c r="A2" s="3436">
        <v>71</v>
      </c>
      <c r="B2" s="3436" t="s">
        <v>3412</v>
      </c>
      <c r="C2" s="3436" t="s">
        <v>3413</v>
      </c>
      <c r="D2" s="3436" t="s">
        <v>3414</v>
      </c>
      <c r="E2" s="3436" t="s">
        <v>3415</v>
      </c>
      <c r="F2" s="3437">
        <v>6343</v>
      </c>
      <c r="G2" s="3436" t="s">
        <v>3416</v>
      </c>
      <c r="H2" s="3436">
        <v>2022</v>
      </c>
      <c r="I2" s="3436" t="s">
        <v>3417</v>
      </c>
      <c r="J2" s="3436" t="s">
        <v>3418</v>
      </c>
      <c r="K2" s="3437">
        <v>152</v>
      </c>
      <c r="L2" s="3437">
        <v>23963</v>
      </c>
      <c r="M2" s="3436" t="s">
        <v>3419</v>
      </c>
    </row>
    <row r="3" spans="1:13" s="3438" customFormat="1" ht="15" customHeight="1">
      <c r="A3" s="3436">
        <v>72</v>
      </c>
      <c r="B3" s="3436" t="s">
        <v>3420</v>
      </c>
      <c r="C3" s="3436" t="s">
        <v>3413</v>
      </c>
      <c r="D3" s="3436" t="s">
        <v>3421</v>
      </c>
      <c r="E3" s="3436" t="s">
        <v>3422</v>
      </c>
      <c r="F3" s="3437">
        <v>17265</v>
      </c>
      <c r="G3" s="3436" t="s">
        <v>3416</v>
      </c>
      <c r="H3" s="3436">
        <v>2022</v>
      </c>
      <c r="I3" s="3436" t="s">
        <v>3423</v>
      </c>
      <c r="J3" s="3436" t="s">
        <v>3424</v>
      </c>
      <c r="K3" s="3437">
        <v>163</v>
      </c>
      <c r="L3" s="3437">
        <v>9441</v>
      </c>
      <c r="M3" s="3436" t="s">
        <v>3419</v>
      </c>
    </row>
    <row r="4" spans="1:13" s="3438" customFormat="1" ht="15" customHeight="1">
      <c r="A4" s="3436">
        <v>73</v>
      </c>
      <c r="B4" s="3436" t="s">
        <v>3425</v>
      </c>
      <c r="C4" s="3436" t="s">
        <v>3413</v>
      </c>
      <c r="D4" s="3436" t="s">
        <v>3426</v>
      </c>
      <c r="E4" s="3436" t="s">
        <v>3415</v>
      </c>
      <c r="F4" s="3437">
        <v>24165</v>
      </c>
      <c r="G4" s="3436" t="s">
        <v>3416</v>
      </c>
      <c r="H4" s="3436">
        <v>2022</v>
      </c>
      <c r="I4" s="3436" t="s">
        <v>3427</v>
      </c>
      <c r="J4" s="3436" t="s">
        <v>3428</v>
      </c>
      <c r="K4" s="3437">
        <v>750</v>
      </c>
      <c r="L4" s="3437">
        <v>31037</v>
      </c>
      <c r="M4" s="3436" t="s">
        <v>3429</v>
      </c>
    </row>
    <row r="5" spans="1:13" s="3438" customFormat="1" ht="15" customHeight="1">
      <c r="A5" s="3436">
        <v>74</v>
      </c>
      <c r="B5" s="3436" t="s">
        <v>3430</v>
      </c>
      <c r="C5" s="3436" t="s">
        <v>3413</v>
      </c>
      <c r="D5" s="3436" t="s">
        <v>3431</v>
      </c>
      <c r="E5" s="3436" t="s">
        <v>3432</v>
      </c>
      <c r="F5" s="3437">
        <v>96740</v>
      </c>
      <c r="G5" s="3436" t="s">
        <v>3416</v>
      </c>
      <c r="H5" s="3436">
        <v>2022</v>
      </c>
      <c r="I5" s="3436" t="s">
        <v>3433</v>
      </c>
      <c r="J5" s="3436" t="s">
        <v>3434</v>
      </c>
      <c r="K5" s="3437">
        <v>1870</v>
      </c>
      <c r="L5" s="3437">
        <v>19330</v>
      </c>
      <c r="M5" s="3436" t="s">
        <v>3419</v>
      </c>
    </row>
    <row r="6" spans="1:13" s="3438" customFormat="1" ht="15" customHeight="1">
      <c r="A6" s="3436">
        <v>75</v>
      </c>
      <c r="B6" s="3436" t="s">
        <v>3435</v>
      </c>
      <c r="C6" s="3436" t="s">
        <v>3413</v>
      </c>
      <c r="D6" s="3436" t="s">
        <v>3436</v>
      </c>
      <c r="E6" s="3436" t="s">
        <v>3415</v>
      </c>
      <c r="F6" s="3437">
        <v>119000</v>
      </c>
      <c r="G6" s="3436" t="s">
        <v>3437</v>
      </c>
      <c r="H6" s="3436">
        <v>2022</v>
      </c>
      <c r="I6" s="3436" t="s">
        <v>3438</v>
      </c>
      <c r="J6" s="3436" t="s">
        <v>3439</v>
      </c>
      <c r="K6" s="3437">
        <v>5015</v>
      </c>
      <c r="L6" s="3437">
        <v>42143</v>
      </c>
      <c r="M6" s="3436" t="s">
        <v>3429</v>
      </c>
    </row>
    <row r="7" spans="1:13" s="3438" customFormat="1" ht="15" customHeight="1">
      <c r="A7" s="3436">
        <v>76</v>
      </c>
      <c r="B7" s="3436" t="s">
        <v>3440</v>
      </c>
      <c r="C7" s="3436" t="s">
        <v>3413</v>
      </c>
      <c r="D7" s="3436" t="s">
        <v>3441</v>
      </c>
      <c r="E7" s="3436" t="s">
        <v>3442</v>
      </c>
      <c r="F7" s="3437">
        <v>30120</v>
      </c>
      <c r="G7" s="3436" t="s">
        <v>3437</v>
      </c>
      <c r="H7" s="3436">
        <v>2022</v>
      </c>
      <c r="I7" s="3436" t="s">
        <v>3443</v>
      </c>
      <c r="J7" s="3436" t="s">
        <v>3444</v>
      </c>
      <c r="K7" s="3437">
        <v>1080</v>
      </c>
      <c r="L7" s="3437">
        <v>35857</v>
      </c>
      <c r="M7" s="3436" t="s">
        <v>3429</v>
      </c>
    </row>
    <row r="8" spans="1:13" s="3438" customFormat="1" ht="15" customHeight="1">
      <c r="A8" s="3436">
        <v>77</v>
      </c>
      <c r="B8" s="3436" t="s">
        <v>3445</v>
      </c>
      <c r="C8" s="3436" t="s">
        <v>3413</v>
      </c>
      <c r="D8" s="3436" t="s">
        <v>3426</v>
      </c>
      <c r="E8" s="3436" t="s">
        <v>3446</v>
      </c>
      <c r="F8" s="3437">
        <v>175969</v>
      </c>
      <c r="G8" s="3436" t="s">
        <v>3437</v>
      </c>
      <c r="H8" s="3436">
        <v>2022</v>
      </c>
      <c r="I8" s="3436" t="s">
        <v>3438</v>
      </c>
      <c r="J8" s="3436" t="s">
        <v>3447</v>
      </c>
      <c r="K8" s="3437">
        <v>3000</v>
      </c>
      <c r="L8" s="3437">
        <v>34097</v>
      </c>
      <c r="M8" s="3436" t="s">
        <v>3429</v>
      </c>
    </row>
    <row r="9" spans="1:13" s="3438" customFormat="1" ht="15" customHeight="1">
      <c r="A9" s="3436">
        <v>78</v>
      </c>
      <c r="B9" s="3436" t="s">
        <v>3448</v>
      </c>
      <c r="C9" s="3436" t="s">
        <v>3413</v>
      </c>
      <c r="D9" s="3436" t="s">
        <v>3449</v>
      </c>
      <c r="E9" s="3436" t="s">
        <v>3432</v>
      </c>
      <c r="F9" s="3437">
        <v>13139</v>
      </c>
      <c r="G9" s="3436" t="s">
        <v>3437</v>
      </c>
      <c r="H9" s="3436">
        <v>2022</v>
      </c>
      <c r="I9" s="3436" t="s">
        <v>3450</v>
      </c>
      <c r="J9" s="3436" t="s">
        <v>3451</v>
      </c>
      <c r="K9" s="3437">
        <v>580</v>
      </c>
      <c r="L9" s="3437">
        <v>44143</v>
      </c>
      <c r="M9" s="3436" t="s">
        <v>3429</v>
      </c>
    </row>
    <row r="10" spans="1:13" s="3438" customFormat="1" ht="15" customHeight="1">
      <c r="A10" s="3436">
        <v>79</v>
      </c>
      <c r="B10" s="3436" t="s">
        <v>3452</v>
      </c>
      <c r="C10" s="3436" t="s">
        <v>3413</v>
      </c>
      <c r="D10" s="3436" t="s">
        <v>3414</v>
      </c>
      <c r="E10" s="3436" t="s">
        <v>3453</v>
      </c>
      <c r="F10" s="3437">
        <v>14585</v>
      </c>
      <c r="G10" s="3436" t="s">
        <v>3454</v>
      </c>
      <c r="H10" s="3436">
        <v>2022</v>
      </c>
      <c r="I10" s="3436" t="s">
        <v>3455</v>
      </c>
      <c r="J10" s="3436" t="s">
        <v>3456</v>
      </c>
      <c r="K10" s="3437">
        <v>294</v>
      </c>
      <c r="L10" s="3437">
        <v>20158</v>
      </c>
      <c r="M10" s="3436" t="s">
        <v>3419</v>
      </c>
    </row>
    <row r="11" spans="1:13" s="3438" customFormat="1" ht="15" customHeight="1">
      <c r="A11" s="3436">
        <v>80</v>
      </c>
      <c r="B11" s="3436" t="s">
        <v>3457</v>
      </c>
      <c r="C11" s="3436" t="s">
        <v>3413</v>
      </c>
      <c r="D11" s="3436" t="s">
        <v>3426</v>
      </c>
      <c r="E11" s="3436" t="s">
        <v>3442</v>
      </c>
      <c r="F11" s="3437">
        <v>12092</v>
      </c>
      <c r="G11" s="3436" t="s">
        <v>3454</v>
      </c>
      <c r="H11" s="3436">
        <v>2022</v>
      </c>
      <c r="I11" s="3436" t="s">
        <v>3428</v>
      </c>
      <c r="J11" s="3436" t="s">
        <v>3458</v>
      </c>
      <c r="K11" s="3437">
        <v>500</v>
      </c>
      <c r="L11" s="3437">
        <v>41350</v>
      </c>
      <c r="M11" s="3436" t="s">
        <v>3429</v>
      </c>
    </row>
    <row r="12" spans="1:13" s="3438" customFormat="1" ht="15" customHeight="1">
      <c r="A12" s="3436">
        <v>81</v>
      </c>
      <c r="B12" s="3436" t="s">
        <v>3459</v>
      </c>
      <c r="C12" s="3436" t="s">
        <v>3413</v>
      </c>
      <c r="D12" s="3436" t="s">
        <v>3431</v>
      </c>
      <c r="E12" s="3436" t="s">
        <v>3453</v>
      </c>
      <c r="F12" s="3437">
        <v>118997</v>
      </c>
      <c r="G12" s="3436" t="s">
        <v>3454</v>
      </c>
      <c r="H12" s="3436">
        <v>2022</v>
      </c>
      <c r="I12" s="3436" t="s">
        <v>3460</v>
      </c>
      <c r="J12" s="3436" t="s">
        <v>3461</v>
      </c>
      <c r="K12" s="3437">
        <v>1250</v>
      </c>
      <c r="L12" s="3437">
        <v>10500</v>
      </c>
      <c r="M12" s="3436" t="s">
        <v>3429</v>
      </c>
    </row>
    <row r="13" spans="1:13" s="3451" customFormat="1" ht="15" customHeight="1">
      <c r="A13" s="3449">
        <v>82</v>
      </c>
      <c r="B13" s="3449" t="s">
        <v>3462</v>
      </c>
      <c r="C13" s="3449" t="s">
        <v>3413</v>
      </c>
      <c r="D13" s="3449" t="s">
        <v>3426</v>
      </c>
      <c r="E13" s="3449" t="s">
        <v>3415</v>
      </c>
      <c r="F13" s="3450">
        <v>40824</v>
      </c>
      <c r="G13" s="3449" t="s">
        <v>3454</v>
      </c>
      <c r="H13" s="3449">
        <v>2022</v>
      </c>
      <c r="I13" s="3449" t="s">
        <v>3463</v>
      </c>
      <c r="J13" s="3449" t="s">
        <v>3464</v>
      </c>
      <c r="K13" s="3450">
        <v>1342</v>
      </c>
      <c r="L13" s="3450">
        <v>70831</v>
      </c>
      <c r="M13" s="3449" t="s">
        <v>3429</v>
      </c>
    </row>
    <row r="14" spans="1:13" s="3438" customFormat="1" ht="15" customHeight="1">
      <c r="A14" s="3436">
        <v>83</v>
      </c>
      <c r="B14" s="3436" t="s">
        <v>3465</v>
      </c>
      <c r="C14" s="3436" t="s">
        <v>3413</v>
      </c>
      <c r="D14" s="3436" t="s">
        <v>3414</v>
      </c>
      <c r="E14" s="3436" t="s">
        <v>3453</v>
      </c>
      <c r="F14" s="3437">
        <v>11235</v>
      </c>
      <c r="G14" s="3436" t="s">
        <v>3454</v>
      </c>
      <c r="H14" s="3436">
        <v>2022</v>
      </c>
      <c r="I14" s="3436" t="s">
        <v>3466</v>
      </c>
      <c r="J14" s="3436" t="s">
        <v>3467</v>
      </c>
      <c r="K14" s="3437">
        <v>427</v>
      </c>
      <c r="L14" s="3437">
        <v>38000</v>
      </c>
      <c r="M14" s="3436" t="s">
        <v>3419</v>
      </c>
    </row>
    <row r="15" spans="1:13" s="3438" customFormat="1" ht="15" customHeight="1">
      <c r="A15" s="3436">
        <v>84</v>
      </c>
      <c r="B15" s="3436" t="s">
        <v>3468</v>
      </c>
      <c r="C15" s="3436" t="s">
        <v>3413</v>
      </c>
      <c r="D15" s="3436" t="s">
        <v>3436</v>
      </c>
      <c r="E15" s="3436" t="s">
        <v>3415</v>
      </c>
      <c r="F15" s="3437">
        <v>12500</v>
      </c>
      <c r="G15" s="3436" t="s">
        <v>3454</v>
      </c>
      <c r="H15" s="3436">
        <v>2022</v>
      </c>
      <c r="I15" s="3436" t="s">
        <v>3469</v>
      </c>
      <c r="J15" s="3436" t="s">
        <v>3470</v>
      </c>
      <c r="K15" s="3437">
        <v>550</v>
      </c>
      <c r="L15" s="3437">
        <v>44000</v>
      </c>
      <c r="M15" s="3436" t="s">
        <v>3419</v>
      </c>
    </row>
    <row r="16" spans="1:13" s="3438" customFormat="1" ht="15" customHeight="1">
      <c r="A16" s="3436">
        <v>85</v>
      </c>
      <c r="B16" s="3436" t="s">
        <v>3471</v>
      </c>
      <c r="C16" s="3436" t="s">
        <v>3413</v>
      </c>
      <c r="D16" s="3436" t="s">
        <v>3426</v>
      </c>
      <c r="E16" s="3436" t="s">
        <v>3422</v>
      </c>
      <c r="F16" s="3437">
        <v>6297</v>
      </c>
      <c r="G16" s="3436" t="s">
        <v>3454</v>
      </c>
      <c r="H16" s="3436">
        <v>2022</v>
      </c>
      <c r="I16" s="3436" t="s">
        <v>3472</v>
      </c>
      <c r="J16" s="3436" t="s">
        <v>3473</v>
      </c>
      <c r="K16" s="3437">
        <v>187</v>
      </c>
      <c r="L16" s="3437">
        <v>29697</v>
      </c>
      <c r="M16" s="3436" t="s">
        <v>3419</v>
      </c>
    </row>
    <row r="17" spans="1:13" s="3441" customFormat="1" ht="15" customHeight="1">
      <c r="A17" s="3439">
        <v>86</v>
      </c>
      <c r="B17" s="3439" t="s">
        <v>3474</v>
      </c>
      <c r="C17" s="3439" t="s">
        <v>3413</v>
      </c>
      <c r="D17" s="3439" t="s">
        <v>3436</v>
      </c>
      <c r="E17" s="3439" t="s">
        <v>3415</v>
      </c>
      <c r="F17" s="3440">
        <v>7618</v>
      </c>
      <c r="G17" s="3439" t="s">
        <v>3454</v>
      </c>
      <c r="H17" s="3439">
        <v>2022</v>
      </c>
      <c r="I17" s="3439" t="s">
        <v>3475</v>
      </c>
      <c r="J17" s="3439" t="s">
        <v>3476</v>
      </c>
      <c r="K17" s="3440">
        <v>433</v>
      </c>
      <c r="L17" s="3440">
        <v>56867</v>
      </c>
      <c r="M17" s="3439" t="s">
        <v>3419</v>
      </c>
    </row>
    <row r="18" spans="1:13" s="3438" customFormat="1" ht="15" customHeight="1">
      <c r="A18" s="3436">
        <v>87</v>
      </c>
      <c r="B18" s="3436" t="s">
        <v>3477</v>
      </c>
      <c r="C18" s="3436" t="s">
        <v>3413</v>
      </c>
      <c r="D18" s="3436" t="s">
        <v>3426</v>
      </c>
      <c r="E18" s="3436" t="s">
        <v>3415</v>
      </c>
      <c r="F18" s="3437">
        <v>58239</v>
      </c>
      <c r="G18" s="3436" t="s">
        <v>3478</v>
      </c>
      <c r="H18" s="3436">
        <v>2022</v>
      </c>
      <c r="I18" s="3436" t="s">
        <v>3479</v>
      </c>
      <c r="J18" s="3436" t="s">
        <v>3480</v>
      </c>
      <c r="K18" s="3437">
        <v>2037</v>
      </c>
      <c r="L18" s="3437">
        <v>34977</v>
      </c>
      <c r="M18" s="3436" t="s">
        <v>3419</v>
      </c>
    </row>
    <row r="19" spans="1:13" s="3438" customFormat="1" ht="15" customHeight="1">
      <c r="A19" s="3436">
        <v>88</v>
      </c>
      <c r="B19" s="3436" t="s">
        <v>3481</v>
      </c>
      <c r="C19" s="3436" t="s">
        <v>3413</v>
      </c>
      <c r="D19" s="3436" t="s">
        <v>3426</v>
      </c>
      <c r="E19" s="3436" t="s">
        <v>3442</v>
      </c>
      <c r="F19" s="3437">
        <v>30530</v>
      </c>
      <c r="G19" s="3436" t="s">
        <v>3478</v>
      </c>
      <c r="H19" s="3436">
        <v>2022</v>
      </c>
      <c r="I19" s="3436" t="s">
        <v>3482</v>
      </c>
      <c r="J19" s="3436" t="s">
        <v>3483</v>
      </c>
      <c r="K19" s="3437">
        <v>849</v>
      </c>
      <c r="L19" s="3437">
        <v>27809</v>
      </c>
      <c r="M19" s="3436" t="s">
        <v>3419</v>
      </c>
    </row>
    <row r="20" spans="1:13" s="3441" customFormat="1" ht="15" customHeight="1">
      <c r="A20" s="3439">
        <v>89</v>
      </c>
      <c r="B20" s="3479" t="s">
        <v>3772</v>
      </c>
      <c r="C20" s="3439" t="s">
        <v>3413</v>
      </c>
      <c r="D20" s="3439" t="s">
        <v>3436</v>
      </c>
      <c r="E20" s="3439" t="s">
        <v>3415</v>
      </c>
      <c r="F20" s="3440">
        <v>6461</v>
      </c>
      <c r="G20" s="3439" t="s">
        <v>3478</v>
      </c>
      <c r="H20" s="3439">
        <v>2022</v>
      </c>
      <c r="I20" s="3439" t="s">
        <v>3484</v>
      </c>
      <c r="J20" s="3439" t="s">
        <v>3485</v>
      </c>
      <c r="K20" s="3440">
        <v>321</v>
      </c>
      <c r="L20" s="3440">
        <v>49683</v>
      </c>
      <c r="M20" s="3439" t="s">
        <v>3419</v>
      </c>
    </row>
    <row r="21" spans="1:13" s="3451" customFormat="1" ht="15" customHeight="1">
      <c r="A21" s="3449">
        <v>90</v>
      </c>
      <c r="B21" s="3449" t="s">
        <v>3486</v>
      </c>
      <c r="C21" s="3449" t="s">
        <v>3413</v>
      </c>
      <c r="D21" s="3449" t="s">
        <v>3436</v>
      </c>
      <c r="E21" s="3449" t="s">
        <v>3415</v>
      </c>
      <c r="F21" s="3450">
        <v>5000</v>
      </c>
      <c r="G21" s="3449" t="s">
        <v>3478</v>
      </c>
      <c r="H21" s="3449">
        <v>2022</v>
      </c>
      <c r="I21" s="3449" t="s">
        <v>3487</v>
      </c>
      <c r="J21" s="3449" t="s">
        <v>3488</v>
      </c>
      <c r="K21" s="3450">
        <v>425</v>
      </c>
      <c r="L21" s="3450">
        <v>85000</v>
      </c>
      <c r="M21" s="3449" t="s">
        <v>3419</v>
      </c>
    </row>
    <row r="22" spans="1:13" s="3438" customFormat="1" ht="15" customHeight="1">
      <c r="A22" s="3436">
        <v>91</v>
      </c>
      <c r="B22" s="3436" t="s">
        <v>3489</v>
      </c>
      <c r="C22" s="3436" t="s">
        <v>3413</v>
      </c>
      <c r="D22" s="3436" t="s">
        <v>3490</v>
      </c>
      <c r="E22" s="3436" t="s">
        <v>3442</v>
      </c>
      <c r="F22" s="3437">
        <v>43460</v>
      </c>
      <c r="G22" s="3436" t="s">
        <v>3478</v>
      </c>
      <c r="H22" s="3436">
        <v>2022</v>
      </c>
      <c r="I22" s="3436" t="s">
        <v>3491</v>
      </c>
      <c r="J22" s="3436" t="s">
        <v>3492</v>
      </c>
      <c r="K22" s="3437">
        <v>550</v>
      </c>
      <c r="L22" s="3437">
        <v>12655</v>
      </c>
      <c r="M22" s="3436" t="s">
        <v>3429</v>
      </c>
    </row>
    <row r="23" spans="1:13" s="3438" customFormat="1" ht="15" customHeight="1">
      <c r="A23" s="3436">
        <v>92</v>
      </c>
      <c r="B23" s="3436" t="s">
        <v>3493</v>
      </c>
      <c r="C23" s="3436" t="s">
        <v>3413</v>
      </c>
      <c r="D23" s="3436" t="s">
        <v>3414</v>
      </c>
      <c r="E23" s="3436" t="s">
        <v>3453</v>
      </c>
      <c r="F23" s="3437">
        <v>26584</v>
      </c>
      <c r="G23" s="3436" t="s">
        <v>3478</v>
      </c>
      <c r="H23" s="3436">
        <v>2022</v>
      </c>
      <c r="I23" s="3436" t="s">
        <v>3494</v>
      </c>
      <c r="J23" s="3436" t="s">
        <v>3495</v>
      </c>
      <c r="K23" s="3437">
        <v>906</v>
      </c>
      <c r="L23" s="3437">
        <v>34081</v>
      </c>
      <c r="M23" s="3436" t="s">
        <v>3419</v>
      </c>
    </row>
    <row r="24" spans="1:13" s="3441" customFormat="1" ht="15" customHeight="1">
      <c r="A24" s="3439">
        <v>93</v>
      </c>
      <c r="B24" s="3439" t="s">
        <v>3496</v>
      </c>
      <c r="C24" s="3439" t="s">
        <v>3413</v>
      </c>
      <c r="D24" s="3439" t="s">
        <v>3421</v>
      </c>
      <c r="E24" s="3439" t="s">
        <v>3415</v>
      </c>
      <c r="F24" s="3440">
        <v>53000</v>
      </c>
      <c r="G24" s="3439" t="s">
        <v>3478</v>
      </c>
      <c r="H24" s="3439">
        <v>2022</v>
      </c>
      <c r="I24" s="3439" t="s">
        <v>3491</v>
      </c>
      <c r="J24" s="3439" t="s">
        <v>3497</v>
      </c>
      <c r="K24" s="3440">
        <v>2650</v>
      </c>
      <c r="L24" s="3440">
        <v>50000</v>
      </c>
      <c r="M24" s="3439" t="s">
        <v>3419</v>
      </c>
    </row>
    <row r="25" spans="1:13" s="3438" customFormat="1" ht="15" customHeight="1">
      <c r="A25" s="3436">
        <v>94</v>
      </c>
      <c r="B25" s="3436" t="s">
        <v>3498</v>
      </c>
      <c r="C25" s="3436" t="s">
        <v>3413</v>
      </c>
      <c r="D25" s="3436" t="s">
        <v>3431</v>
      </c>
      <c r="E25" s="3436" t="s">
        <v>3432</v>
      </c>
      <c r="F25" s="3437">
        <v>31100</v>
      </c>
      <c r="G25" s="3436" t="s">
        <v>3478</v>
      </c>
      <c r="H25" s="3436">
        <v>2022</v>
      </c>
      <c r="I25" s="3436" t="s">
        <v>3499</v>
      </c>
      <c r="J25" s="3436" t="s">
        <v>3500</v>
      </c>
      <c r="K25" s="3437">
        <v>373</v>
      </c>
      <c r="L25" s="3437">
        <v>12000</v>
      </c>
      <c r="M25" s="3436" t="s">
        <v>3419</v>
      </c>
    </row>
    <row r="26" spans="1:13" s="3451" customFormat="1" ht="15" customHeight="1">
      <c r="A26" s="3449">
        <v>95</v>
      </c>
      <c r="B26" s="3449" t="s">
        <v>3501</v>
      </c>
      <c r="C26" s="3449" t="s">
        <v>3413</v>
      </c>
      <c r="D26" s="3449" t="s">
        <v>3431</v>
      </c>
      <c r="E26" s="3449" t="s">
        <v>3415</v>
      </c>
      <c r="F26" s="3450">
        <v>6747</v>
      </c>
      <c r="G26" s="3449" t="s">
        <v>3478</v>
      </c>
      <c r="H26" s="3449">
        <v>2022</v>
      </c>
      <c r="I26" s="3449" t="s">
        <v>3502</v>
      </c>
      <c r="J26" s="3449" t="s">
        <v>3503</v>
      </c>
      <c r="K26" s="3450">
        <v>324</v>
      </c>
      <c r="L26" s="3450">
        <v>48036</v>
      </c>
      <c r="M26" s="3449" t="s">
        <v>3419</v>
      </c>
    </row>
    <row r="27" spans="1:13" s="3438" customFormat="1" ht="15" customHeight="1">
      <c r="A27" s="3436">
        <v>96</v>
      </c>
      <c r="B27" s="3436" t="s">
        <v>3504</v>
      </c>
      <c r="C27" s="3436" t="s">
        <v>3413</v>
      </c>
      <c r="D27" s="3436" t="s">
        <v>3426</v>
      </c>
      <c r="E27" s="3436" t="s">
        <v>3453</v>
      </c>
      <c r="F27" s="3437">
        <v>25503</v>
      </c>
      <c r="G27" s="3436" t="s">
        <v>3478</v>
      </c>
      <c r="H27" s="3436">
        <v>2022</v>
      </c>
      <c r="I27" s="3436" t="s">
        <v>3505</v>
      </c>
      <c r="J27" s="3436" t="s">
        <v>3506</v>
      </c>
      <c r="K27" s="3437">
        <v>592</v>
      </c>
      <c r="L27" s="3437">
        <v>23204</v>
      </c>
      <c r="M27" s="3436" t="s">
        <v>3419</v>
      </c>
    </row>
    <row r="28" spans="1:13" s="3438" customFormat="1" ht="15" customHeight="1">
      <c r="A28" s="3436">
        <v>97</v>
      </c>
      <c r="B28" s="3436" t="s">
        <v>3507</v>
      </c>
      <c r="C28" s="3436" t="s">
        <v>3413</v>
      </c>
      <c r="D28" s="3436" t="s">
        <v>3436</v>
      </c>
      <c r="E28" s="3436" t="s">
        <v>3415</v>
      </c>
      <c r="F28" s="3437">
        <v>34999</v>
      </c>
      <c r="G28" s="3436" t="s">
        <v>3478</v>
      </c>
      <c r="H28" s="3436">
        <v>2022</v>
      </c>
      <c r="I28" s="3436" t="s">
        <v>3472</v>
      </c>
      <c r="J28" s="3436" t="s">
        <v>3508</v>
      </c>
      <c r="K28" s="3437">
        <v>1500</v>
      </c>
      <c r="L28" s="3437">
        <v>42858</v>
      </c>
      <c r="M28" s="3436" t="s">
        <v>3419</v>
      </c>
    </row>
    <row r="29" spans="1:13" s="3438" customFormat="1" ht="15" customHeight="1">
      <c r="A29" s="3436">
        <v>98</v>
      </c>
      <c r="B29" s="3436" t="s">
        <v>3509</v>
      </c>
      <c r="C29" s="3436" t="s">
        <v>3413</v>
      </c>
      <c r="D29" s="3436" t="s">
        <v>3436</v>
      </c>
      <c r="E29" s="3436" t="s">
        <v>3415</v>
      </c>
      <c r="F29" s="3437">
        <v>184914</v>
      </c>
      <c r="G29" s="3436" t="s">
        <v>3478</v>
      </c>
      <c r="H29" s="3436">
        <v>2022</v>
      </c>
      <c r="I29" s="3436" t="s">
        <v>3510</v>
      </c>
      <c r="J29" s="3436" t="s">
        <v>3447</v>
      </c>
      <c r="K29" s="3437">
        <v>6404</v>
      </c>
      <c r="L29" s="3437">
        <v>34611</v>
      </c>
      <c r="M29" s="3436" t="s">
        <v>3429</v>
      </c>
    </row>
    <row r="30" spans="1:13" s="3438" customFormat="1" ht="15" customHeight="1">
      <c r="A30" s="3436">
        <v>99</v>
      </c>
      <c r="B30" s="3436" t="s">
        <v>3511</v>
      </c>
      <c r="C30" s="3436" t="s">
        <v>3413</v>
      </c>
      <c r="D30" s="3436" t="s">
        <v>3490</v>
      </c>
      <c r="E30" s="3436" t="s">
        <v>3422</v>
      </c>
      <c r="F30" s="3437">
        <v>3300</v>
      </c>
      <c r="G30" s="3436" t="s">
        <v>3478</v>
      </c>
      <c r="H30" s="3436">
        <v>2022</v>
      </c>
      <c r="I30" s="3436" t="s">
        <v>3512</v>
      </c>
      <c r="J30" s="3436" t="s">
        <v>3513</v>
      </c>
      <c r="K30" s="3437">
        <v>149</v>
      </c>
      <c r="L30" s="3437">
        <v>45000</v>
      </c>
      <c r="M30" s="3436" t="s">
        <v>3419</v>
      </c>
    </row>
    <row r="31" spans="1:13" s="3438" customFormat="1" ht="15" customHeight="1">
      <c r="A31" s="3436">
        <v>100</v>
      </c>
      <c r="B31" s="3436" t="s">
        <v>3514</v>
      </c>
      <c r="C31" s="3436" t="s">
        <v>3413</v>
      </c>
      <c r="D31" s="3436" t="s">
        <v>3449</v>
      </c>
      <c r="E31" s="3436" t="s">
        <v>3415</v>
      </c>
      <c r="F31" s="3437">
        <v>6200</v>
      </c>
      <c r="G31" s="3436" t="s">
        <v>3478</v>
      </c>
      <c r="H31" s="3436">
        <v>2022</v>
      </c>
      <c r="I31" s="3436" t="s">
        <v>3515</v>
      </c>
      <c r="J31" s="3436" t="s">
        <v>3516</v>
      </c>
      <c r="K31" s="3437">
        <v>242</v>
      </c>
      <c r="L31" s="3437">
        <v>39000</v>
      </c>
      <c r="M31" s="3436" t="s">
        <v>3419</v>
      </c>
    </row>
    <row r="32" spans="1:13" s="3438" customFormat="1" ht="15" customHeight="1">
      <c r="A32" s="3436">
        <v>101</v>
      </c>
      <c r="B32" s="3436" t="s">
        <v>3517</v>
      </c>
      <c r="C32" s="3436" t="s">
        <v>3413</v>
      </c>
      <c r="D32" s="3436" t="s">
        <v>3436</v>
      </c>
      <c r="E32" s="3436" t="s">
        <v>3422</v>
      </c>
      <c r="F32" s="3437">
        <v>17000</v>
      </c>
      <c r="G32" s="3436" t="s">
        <v>3478</v>
      </c>
      <c r="H32" s="3436">
        <v>2022</v>
      </c>
      <c r="I32" s="3436" t="s">
        <v>3518</v>
      </c>
      <c r="J32" s="3436" t="s">
        <v>3519</v>
      </c>
      <c r="K32" s="3437">
        <v>230</v>
      </c>
      <c r="L32" s="3437">
        <v>13529</v>
      </c>
      <c r="M32" s="3436" t="s">
        <v>3429</v>
      </c>
    </row>
  </sheetData>
  <phoneticPr fontId="13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2"/>
  <sheetViews>
    <sheetView topLeftCell="F112" workbookViewId="0">
      <selection activeCell="Q127" sqref="Q127"/>
    </sheetView>
  </sheetViews>
  <sheetFormatPr defaultRowHeight="13.5"/>
  <cols>
    <col min="5" max="6" width="15.625" bestFit="1" customWidth="1"/>
    <col min="14" max="14" width="22.75" bestFit="1" customWidth="1"/>
    <col min="17" max="17" width="12.75" bestFit="1" customWidth="1"/>
  </cols>
  <sheetData>
    <row r="1" spans="1:17">
      <c r="D1" t="s">
        <v>3533</v>
      </c>
    </row>
    <row r="2" spans="1:17">
      <c r="A2" t="s">
        <v>3534</v>
      </c>
    </row>
    <row r="3" spans="1:17" ht="94.5">
      <c r="A3" t="s">
        <v>3535</v>
      </c>
      <c r="I3" s="3462" t="s">
        <v>3536</v>
      </c>
      <c r="M3" t="s">
        <v>3537</v>
      </c>
      <c r="N3" t="s">
        <v>3538</v>
      </c>
    </row>
    <row r="4" spans="1:17">
      <c r="A4" t="s">
        <v>3539</v>
      </c>
      <c r="B4" t="s">
        <v>3540</v>
      </c>
      <c r="C4" t="s">
        <v>3541</v>
      </c>
      <c r="D4" t="s">
        <v>3542</v>
      </c>
      <c r="E4" t="s">
        <v>3543</v>
      </c>
      <c r="F4" t="s">
        <v>3544</v>
      </c>
      <c r="G4" t="s">
        <v>2510</v>
      </c>
      <c r="H4" t="s">
        <v>3545</v>
      </c>
      <c r="I4" t="s">
        <v>3546</v>
      </c>
      <c r="J4" t="s">
        <v>3547</v>
      </c>
      <c r="K4" t="s">
        <v>3548</v>
      </c>
      <c r="L4" t="s">
        <v>3549</v>
      </c>
      <c r="N4" t="s">
        <v>3546</v>
      </c>
      <c r="O4" t="s">
        <v>3547</v>
      </c>
      <c r="P4" t="s">
        <v>3548</v>
      </c>
      <c r="Q4" t="s">
        <v>3549</v>
      </c>
    </row>
    <row r="5" spans="1:17">
      <c r="A5">
        <v>1</v>
      </c>
      <c r="B5">
        <v>1001</v>
      </c>
      <c r="C5" t="s">
        <v>3550</v>
      </c>
      <c r="D5" t="s">
        <v>3551</v>
      </c>
      <c r="E5" s="3463">
        <v>44607</v>
      </c>
      <c r="F5" s="3463">
        <v>45838</v>
      </c>
      <c r="G5">
        <v>3.4</v>
      </c>
      <c r="H5">
        <v>261</v>
      </c>
      <c r="I5">
        <v>55.2</v>
      </c>
      <c r="J5">
        <v>7</v>
      </c>
      <c r="K5">
        <v>2.8</v>
      </c>
      <c r="L5">
        <v>65</v>
      </c>
      <c r="M5">
        <v>90</v>
      </c>
      <c r="N5" s="3464">
        <v>1296648</v>
      </c>
      <c r="O5" s="3464">
        <v>164430</v>
      </c>
      <c r="P5" s="3464">
        <v>65772</v>
      </c>
      <c r="Q5" s="3464">
        <v>1526850</v>
      </c>
    </row>
    <row r="6" spans="1:17">
      <c r="A6">
        <v>1</v>
      </c>
      <c r="B6">
        <v>1002</v>
      </c>
      <c r="C6" t="s">
        <v>3552</v>
      </c>
      <c r="D6" t="s">
        <v>3553</v>
      </c>
      <c r="E6" s="3463">
        <v>44652</v>
      </c>
      <c r="F6" s="3463">
        <v>45382</v>
      </c>
      <c r="G6">
        <v>2</v>
      </c>
      <c r="H6">
        <v>488.6</v>
      </c>
      <c r="I6">
        <v>12</v>
      </c>
      <c r="J6">
        <v>7</v>
      </c>
      <c r="K6">
        <v>2.8</v>
      </c>
      <c r="L6">
        <v>21.8</v>
      </c>
      <c r="M6">
        <v>90</v>
      </c>
      <c r="N6" s="3464">
        <v>527688</v>
      </c>
      <c r="O6" s="3464">
        <v>307818</v>
      </c>
      <c r="P6" s="3464">
        <v>123127</v>
      </c>
      <c r="Q6" s="3464">
        <v>958633</v>
      </c>
    </row>
    <row r="7" spans="1:17">
      <c r="A7">
        <v>1</v>
      </c>
      <c r="B7">
        <v>1010</v>
      </c>
      <c r="C7" t="s">
        <v>3554</v>
      </c>
      <c r="D7" t="s">
        <v>3555</v>
      </c>
      <c r="E7" s="3463">
        <v>44043</v>
      </c>
      <c r="F7" s="3463">
        <v>46964</v>
      </c>
      <c r="G7">
        <v>8</v>
      </c>
      <c r="H7">
        <v>105.6</v>
      </c>
      <c r="I7">
        <v>19.2</v>
      </c>
      <c r="J7">
        <v>0</v>
      </c>
      <c r="K7">
        <v>2.8</v>
      </c>
      <c r="L7">
        <v>22</v>
      </c>
      <c r="M7">
        <v>90</v>
      </c>
      <c r="N7" s="3464">
        <v>182477</v>
      </c>
      <c r="O7" t="s">
        <v>3556</v>
      </c>
      <c r="P7" s="3464">
        <v>26611</v>
      </c>
      <c r="Q7" s="3464">
        <v>209088</v>
      </c>
    </row>
    <row r="8" spans="1:17">
      <c r="A8">
        <v>1</v>
      </c>
      <c r="B8">
        <v>1012</v>
      </c>
      <c r="C8" t="s">
        <v>3557</v>
      </c>
      <c r="D8" t="s">
        <v>3558</v>
      </c>
      <c r="E8" s="3463">
        <v>44793</v>
      </c>
      <c r="F8" s="3463">
        <v>45900</v>
      </c>
      <c r="G8">
        <v>3</v>
      </c>
      <c r="H8">
        <v>293.60000000000002</v>
      </c>
      <c r="I8">
        <v>40.700000000000003</v>
      </c>
      <c r="J8">
        <v>7</v>
      </c>
      <c r="K8">
        <v>2.8</v>
      </c>
      <c r="L8">
        <v>50.5</v>
      </c>
      <c r="M8">
        <v>90</v>
      </c>
      <c r="N8" s="3464">
        <v>1075457</v>
      </c>
      <c r="O8" s="3464">
        <v>184968</v>
      </c>
      <c r="P8" s="3464">
        <v>73987</v>
      </c>
      <c r="Q8" s="3464">
        <v>1334412</v>
      </c>
    </row>
    <row r="9" spans="1:17">
      <c r="A9">
        <v>1</v>
      </c>
      <c r="B9">
        <v>1017</v>
      </c>
      <c r="C9" t="s">
        <v>3559</v>
      </c>
      <c r="D9" t="s">
        <v>3560</v>
      </c>
      <c r="E9" s="3463">
        <v>44835</v>
      </c>
      <c r="F9" s="3463">
        <v>45565</v>
      </c>
      <c r="G9">
        <v>2</v>
      </c>
      <c r="H9">
        <v>176.6</v>
      </c>
      <c r="I9">
        <v>22.2</v>
      </c>
      <c r="J9">
        <v>7</v>
      </c>
      <c r="K9">
        <v>2.8</v>
      </c>
      <c r="L9">
        <v>32</v>
      </c>
      <c r="M9">
        <v>90</v>
      </c>
      <c r="N9" s="3464">
        <v>352847</v>
      </c>
      <c r="O9" s="3464">
        <v>111258</v>
      </c>
      <c r="P9" s="3464">
        <v>44503</v>
      </c>
      <c r="Q9" s="3464">
        <v>508608</v>
      </c>
    </row>
    <row r="10" spans="1:17">
      <c r="A10">
        <v>1</v>
      </c>
      <c r="B10">
        <v>1023</v>
      </c>
      <c r="C10" t="s">
        <v>3561</v>
      </c>
      <c r="D10" t="s">
        <v>3562</v>
      </c>
      <c r="E10" s="3463">
        <v>43546</v>
      </c>
      <c r="F10" s="3463">
        <v>44286</v>
      </c>
      <c r="G10">
        <v>2</v>
      </c>
      <c r="H10">
        <v>65.400000000000006</v>
      </c>
      <c r="I10">
        <v>28</v>
      </c>
      <c r="J10">
        <v>7</v>
      </c>
      <c r="K10">
        <v>2.8</v>
      </c>
      <c r="L10">
        <v>37.799999999999997</v>
      </c>
      <c r="M10">
        <v>90</v>
      </c>
      <c r="N10" s="3464">
        <v>164808</v>
      </c>
      <c r="O10" s="3464">
        <v>41202</v>
      </c>
      <c r="P10" s="3464">
        <v>16481</v>
      </c>
      <c r="Q10" s="3464">
        <v>222491</v>
      </c>
    </row>
    <row r="11" spans="1:17">
      <c r="A11">
        <v>1</v>
      </c>
      <c r="B11">
        <v>1027</v>
      </c>
      <c r="C11" t="s">
        <v>3563</v>
      </c>
      <c r="D11" t="s">
        <v>3564</v>
      </c>
      <c r="E11" s="3463">
        <v>44287</v>
      </c>
      <c r="F11" s="3463">
        <v>45016</v>
      </c>
      <c r="G11">
        <v>2</v>
      </c>
      <c r="H11">
        <v>162.1</v>
      </c>
      <c r="I11">
        <v>19</v>
      </c>
      <c r="J11">
        <v>7</v>
      </c>
      <c r="K11">
        <v>2.8</v>
      </c>
      <c r="L11">
        <v>28.8</v>
      </c>
      <c r="M11">
        <v>90</v>
      </c>
      <c r="N11" s="3464">
        <v>277191</v>
      </c>
      <c r="O11" s="3464">
        <v>102123</v>
      </c>
      <c r="P11" s="3464">
        <v>40849</v>
      </c>
      <c r="Q11" s="3464">
        <v>420163</v>
      </c>
    </row>
    <row r="12" spans="1:17">
      <c r="A12">
        <v>1</v>
      </c>
      <c r="B12">
        <v>1030</v>
      </c>
      <c r="C12" t="s">
        <v>3552</v>
      </c>
      <c r="D12" t="s">
        <v>3553</v>
      </c>
      <c r="E12" s="3463">
        <v>44652</v>
      </c>
      <c r="F12" s="3463">
        <v>45382</v>
      </c>
      <c r="G12">
        <v>2</v>
      </c>
      <c r="H12">
        <v>97.1</v>
      </c>
      <c r="I12">
        <v>2.0499999999999998</v>
      </c>
      <c r="J12">
        <v>7</v>
      </c>
      <c r="K12">
        <v>2.8</v>
      </c>
      <c r="L12">
        <v>11.85</v>
      </c>
      <c r="M12">
        <v>90</v>
      </c>
      <c r="N12" s="3464">
        <v>17915</v>
      </c>
      <c r="O12" s="3464">
        <v>61173</v>
      </c>
      <c r="P12" s="3464">
        <v>24469</v>
      </c>
      <c r="Q12" s="3464">
        <v>103557</v>
      </c>
    </row>
    <row r="13" spans="1:17">
      <c r="A13">
        <v>1</v>
      </c>
      <c r="B13">
        <v>1053</v>
      </c>
      <c r="C13" t="s">
        <v>3565</v>
      </c>
      <c r="D13" t="s">
        <v>3566</v>
      </c>
      <c r="E13" s="3463">
        <v>44652</v>
      </c>
      <c r="F13" s="3463">
        <v>45382</v>
      </c>
      <c r="G13">
        <v>2</v>
      </c>
      <c r="H13">
        <v>136</v>
      </c>
      <c r="I13">
        <v>17.2</v>
      </c>
      <c r="J13">
        <v>7</v>
      </c>
      <c r="K13">
        <v>2.8</v>
      </c>
      <c r="L13">
        <v>27</v>
      </c>
      <c r="M13">
        <v>90</v>
      </c>
      <c r="N13" s="3464">
        <v>210528</v>
      </c>
      <c r="O13" s="3464">
        <v>85680</v>
      </c>
      <c r="P13" s="3464">
        <v>34272</v>
      </c>
      <c r="Q13" s="3464">
        <v>330480</v>
      </c>
    </row>
    <row r="14" spans="1:17">
      <c r="A14">
        <v>1</v>
      </c>
      <c r="B14">
        <v>1055</v>
      </c>
      <c r="C14" t="s">
        <v>3565</v>
      </c>
      <c r="D14" t="s">
        <v>3566</v>
      </c>
      <c r="E14" s="3463">
        <v>44652</v>
      </c>
      <c r="F14" s="3463">
        <v>45382</v>
      </c>
      <c r="G14">
        <v>2</v>
      </c>
      <c r="H14">
        <v>138</v>
      </c>
      <c r="I14">
        <v>4.54</v>
      </c>
      <c r="J14">
        <v>1</v>
      </c>
      <c r="K14">
        <v>2.8</v>
      </c>
      <c r="L14">
        <v>8.34</v>
      </c>
      <c r="M14">
        <v>90</v>
      </c>
      <c r="N14" s="3464">
        <v>56387</v>
      </c>
      <c r="O14" s="3464">
        <v>12420</v>
      </c>
      <c r="P14" s="3464">
        <v>34776</v>
      </c>
      <c r="Q14" s="3464">
        <v>103583</v>
      </c>
    </row>
    <row r="15" spans="1:17">
      <c r="A15">
        <v>1</v>
      </c>
      <c r="B15">
        <v>1059</v>
      </c>
      <c r="C15" t="s">
        <v>3567</v>
      </c>
      <c r="D15" t="s">
        <v>3553</v>
      </c>
      <c r="E15" s="3463">
        <v>44652</v>
      </c>
      <c r="F15" s="3463">
        <v>45382</v>
      </c>
      <c r="G15">
        <v>2</v>
      </c>
      <c r="H15">
        <v>185.3</v>
      </c>
      <c r="I15">
        <v>14.7</v>
      </c>
      <c r="J15">
        <v>7</v>
      </c>
      <c r="K15">
        <v>2.8</v>
      </c>
      <c r="L15">
        <v>24.5</v>
      </c>
      <c r="M15">
        <v>90</v>
      </c>
      <c r="N15" s="3464">
        <v>245152</v>
      </c>
      <c r="O15" s="3464">
        <v>116739</v>
      </c>
      <c r="P15" s="3464">
        <v>46696</v>
      </c>
      <c r="Q15" s="3464">
        <v>408587</v>
      </c>
    </row>
    <row r="16" spans="1:17">
      <c r="A16">
        <v>1</v>
      </c>
      <c r="B16">
        <v>1060</v>
      </c>
      <c r="C16" t="s">
        <v>3568</v>
      </c>
      <c r="G16">
        <v>0</v>
      </c>
      <c r="H16">
        <v>119.2</v>
      </c>
      <c r="L16" t="s">
        <v>3556</v>
      </c>
      <c r="N16" t="s">
        <v>3556</v>
      </c>
      <c r="O16" t="s">
        <v>3556</v>
      </c>
      <c r="P16" t="s">
        <v>3556</v>
      </c>
      <c r="Q16" t="s">
        <v>3556</v>
      </c>
    </row>
    <row r="17" spans="1:17">
      <c r="A17">
        <v>1</v>
      </c>
      <c r="B17">
        <v>1076</v>
      </c>
      <c r="C17" t="s">
        <v>3565</v>
      </c>
      <c r="D17" t="s">
        <v>3566</v>
      </c>
      <c r="E17" s="3463">
        <v>44652</v>
      </c>
      <c r="F17" s="3463">
        <v>45382</v>
      </c>
      <c r="G17">
        <v>2</v>
      </c>
      <c r="H17">
        <v>95.5</v>
      </c>
      <c r="I17">
        <v>15.2</v>
      </c>
      <c r="J17">
        <v>7</v>
      </c>
      <c r="K17">
        <v>2.8</v>
      </c>
      <c r="L17">
        <v>25</v>
      </c>
      <c r="M17">
        <v>90</v>
      </c>
      <c r="N17" s="3464">
        <v>130644</v>
      </c>
      <c r="O17" s="3464">
        <v>60165</v>
      </c>
      <c r="P17" s="3464">
        <v>24066</v>
      </c>
      <c r="Q17" s="3464">
        <v>214875</v>
      </c>
    </row>
    <row r="18" spans="1:17">
      <c r="A18">
        <v>1</v>
      </c>
      <c r="B18">
        <v>1077</v>
      </c>
      <c r="C18" t="s">
        <v>3569</v>
      </c>
      <c r="D18" t="s">
        <v>3570</v>
      </c>
      <c r="E18" s="3463">
        <v>44819</v>
      </c>
      <c r="F18" s="3463">
        <v>45900</v>
      </c>
      <c r="G18">
        <v>3</v>
      </c>
      <c r="H18">
        <v>204.64</v>
      </c>
      <c r="I18">
        <v>7.87</v>
      </c>
      <c r="J18">
        <v>7</v>
      </c>
      <c r="K18">
        <v>2.8</v>
      </c>
      <c r="L18">
        <v>17.670000000000002</v>
      </c>
      <c r="M18">
        <v>90</v>
      </c>
      <c r="N18" s="3464">
        <v>144947</v>
      </c>
      <c r="O18" s="3464">
        <v>128923</v>
      </c>
      <c r="P18" s="3464">
        <v>51569</v>
      </c>
      <c r="Q18" s="3464">
        <v>325439</v>
      </c>
    </row>
    <row r="19" spans="1:17">
      <c r="A19">
        <v>1</v>
      </c>
      <c r="B19">
        <v>1088</v>
      </c>
      <c r="C19" t="s">
        <v>3571</v>
      </c>
      <c r="D19" t="s">
        <v>3572</v>
      </c>
      <c r="E19" s="3463">
        <v>44180</v>
      </c>
      <c r="F19" s="3463">
        <v>44926</v>
      </c>
      <c r="G19">
        <v>2</v>
      </c>
      <c r="H19">
        <v>116.2</v>
      </c>
      <c r="I19">
        <v>11.7</v>
      </c>
      <c r="J19">
        <v>7</v>
      </c>
      <c r="K19">
        <v>2.8</v>
      </c>
      <c r="L19">
        <v>21.5</v>
      </c>
      <c r="M19">
        <v>90</v>
      </c>
      <c r="N19" s="3464">
        <v>122359</v>
      </c>
      <c r="O19" s="3464">
        <v>73206</v>
      </c>
      <c r="P19" s="3464">
        <v>29282</v>
      </c>
      <c r="Q19" s="3464">
        <v>224847</v>
      </c>
    </row>
    <row r="20" spans="1:17">
      <c r="A20">
        <v>1</v>
      </c>
      <c r="B20">
        <v>1089</v>
      </c>
      <c r="C20" t="s">
        <v>3573</v>
      </c>
      <c r="D20" t="s">
        <v>3574</v>
      </c>
      <c r="E20" s="3463">
        <v>44776</v>
      </c>
      <c r="F20" s="3463">
        <v>45504</v>
      </c>
      <c r="G20">
        <v>2</v>
      </c>
      <c r="H20">
        <v>53.12</v>
      </c>
      <c r="I20">
        <v>5.47</v>
      </c>
      <c r="J20">
        <v>7</v>
      </c>
      <c r="K20">
        <v>3</v>
      </c>
      <c r="L20">
        <v>15.47</v>
      </c>
      <c r="M20">
        <v>90</v>
      </c>
      <c r="N20" s="3464">
        <v>26151</v>
      </c>
      <c r="O20" s="3464">
        <v>33466</v>
      </c>
      <c r="P20" s="3464">
        <v>14342</v>
      </c>
      <c r="Q20" s="3464">
        <v>73959</v>
      </c>
    </row>
    <row r="21" spans="1:17">
      <c r="A21">
        <v>1</v>
      </c>
      <c r="B21">
        <v>1096</v>
      </c>
      <c r="C21" t="s">
        <v>3575</v>
      </c>
      <c r="D21" t="s">
        <v>3576</v>
      </c>
      <c r="E21" s="3463">
        <v>44652</v>
      </c>
      <c r="F21" s="3463">
        <v>45382</v>
      </c>
      <c r="G21">
        <v>2</v>
      </c>
      <c r="H21">
        <v>112</v>
      </c>
      <c r="I21">
        <v>16.77</v>
      </c>
      <c r="J21">
        <v>7</v>
      </c>
      <c r="K21">
        <v>2.8</v>
      </c>
      <c r="L21">
        <v>26.57</v>
      </c>
      <c r="M21">
        <v>90</v>
      </c>
      <c r="N21" s="3464">
        <v>169042</v>
      </c>
      <c r="O21" s="3464">
        <v>70560</v>
      </c>
      <c r="P21" s="3464">
        <v>28224</v>
      </c>
      <c r="Q21" s="3464">
        <v>267826</v>
      </c>
    </row>
    <row r="22" spans="1:17">
      <c r="A22">
        <v>1</v>
      </c>
      <c r="B22">
        <v>1098</v>
      </c>
      <c r="C22" t="s">
        <v>3577</v>
      </c>
      <c r="D22" t="s">
        <v>3578</v>
      </c>
      <c r="E22" s="3463">
        <v>44652</v>
      </c>
      <c r="F22" s="3463">
        <v>45382</v>
      </c>
      <c r="G22">
        <v>2</v>
      </c>
      <c r="H22">
        <v>383</v>
      </c>
      <c r="I22">
        <v>26.7</v>
      </c>
      <c r="J22">
        <v>7</v>
      </c>
      <c r="K22">
        <v>2.8</v>
      </c>
      <c r="L22">
        <v>36.5</v>
      </c>
      <c r="M22">
        <v>90</v>
      </c>
      <c r="N22" s="3464">
        <v>920349</v>
      </c>
      <c r="O22" s="3464">
        <v>241290</v>
      </c>
      <c r="P22" s="3464">
        <v>96516</v>
      </c>
      <c r="Q22" s="3464">
        <v>1258155</v>
      </c>
    </row>
    <row r="23" spans="1:17">
      <c r="A23">
        <v>1</v>
      </c>
      <c r="B23">
        <v>1099</v>
      </c>
      <c r="C23" t="s">
        <v>3579</v>
      </c>
      <c r="E23" s="3463">
        <v>44652</v>
      </c>
      <c r="F23" s="3463">
        <v>45382</v>
      </c>
      <c r="G23">
        <v>2</v>
      </c>
      <c r="H23">
        <v>168.32</v>
      </c>
      <c r="I23">
        <v>17.2</v>
      </c>
      <c r="J23">
        <v>7</v>
      </c>
      <c r="K23">
        <v>2.8</v>
      </c>
      <c r="L23">
        <v>27</v>
      </c>
      <c r="M23">
        <v>90</v>
      </c>
      <c r="N23" s="3464">
        <v>260559</v>
      </c>
      <c r="O23" s="3464">
        <v>106042</v>
      </c>
      <c r="P23" s="3464">
        <v>42417</v>
      </c>
      <c r="Q23" s="3464">
        <v>409018</v>
      </c>
    </row>
    <row r="24" spans="1:17">
      <c r="A24">
        <v>1</v>
      </c>
      <c r="B24">
        <v>1108</v>
      </c>
      <c r="C24" t="s">
        <v>3580</v>
      </c>
      <c r="D24" t="s">
        <v>3581</v>
      </c>
      <c r="E24" s="3463">
        <v>44357</v>
      </c>
      <c r="F24" s="3463">
        <v>45016</v>
      </c>
      <c r="G24">
        <v>1.8</v>
      </c>
      <c r="H24">
        <v>111</v>
      </c>
      <c r="I24">
        <v>11.7</v>
      </c>
      <c r="J24">
        <v>7</v>
      </c>
      <c r="K24">
        <v>2.8</v>
      </c>
      <c r="L24">
        <v>21.5</v>
      </c>
      <c r="M24">
        <v>90</v>
      </c>
      <c r="N24" s="3464">
        <v>116883</v>
      </c>
      <c r="O24" s="3464">
        <v>69930</v>
      </c>
      <c r="P24" s="3464">
        <v>27972</v>
      </c>
      <c r="Q24" s="3464">
        <v>214785</v>
      </c>
    </row>
    <row r="25" spans="1:17">
      <c r="A25">
        <v>1</v>
      </c>
      <c r="B25">
        <v>1109</v>
      </c>
      <c r="C25" t="s">
        <v>3582</v>
      </c>
      <c r="D25" t="s">
        <v>3583</v>
      </c>
      <c r="E25" s="3463">
        <v>44896</v>
      </c>
      <c r="F25" s="3463">
        <v>45382</v>
      </c>
      <c r="G25">
        <v>1.3</v>
      </c>
      <c r="H25">
        <v>141.4</v>
      </c>
      <c r="I25">
        <v>11.7</v>
      </c>
      <c r="J25">
        <v>7</v>
      </c>
      <c r="K25">
        <v>2.8</v>
      </c>
      <c r="L25">
        <v>21.5</v>
      </c>
      <c r="M25">
        <v>90</v>
      </c>
      <c r="N25" s="3464">
        <v>148894</v>
      </c>
      <c r="O25" s="3464">
        <v>89082</v>
      </c>
      <c r="P25" s="3464">
        <v>35633</v>
      </c>
      <c r="Q25" s="3464">
        <v>273609</v>
      </c>
    </row>
    <row r="26" spans="1:17">
      <c r="A26">
        <v>1</v>
      </c>
      <c r="B26">
        <v>1119</v>
      </c>
      <c r="C26" t="s">
        <v>3584</v>
      </c>
      <c r="D26" t="s">
        <v>3585</v>
      </c>
      <c r="E26" s="3463">
        <v>44367</v>
      </c>
      <c r="F26" s="3463">
        <v>45077</v>
      </c>
      <c r="G26">
        <v>1.9</v>
      </c>
      <c r="H26">
        <v>200</v>
      </c>
      <c r="I26">
        <v>29.27</v>
      </c>
      <c r="J26">
        <v>7</v>
      </c>
      <c r="K26">
        <v>2.8</v>
      </c>
      <c r="L26">
        <v>39.07</v>
      </c>
      <c r="M26">
        <v>90</v>
      </c>
      <c r="N26" s="3464">
        <v>526860</v>
      </c>
      <c r="O26" s="3464">
        <v>126000</v>
      </c>
      <c r="P26" s="3464">
        <v>50400</v>
      </c>
      <c r="Q26" s="3464">
        <v>703260</v>
      </c>
    </row>
    <row r="27" spans="1:17">
      <c r="A27">
        <v>1</v>
      </c>
      <c r="B27">
        <v>1120</v>
      </c>
      <c r="C27" t="s">
        <v>3568</v>
      </c>
      <c r="G27">
        <v>0</v>
      </c>
      <c r="H27">
        <v>230.4</v>
      </c>
      <c r="L27" t="s">
        <v>3556</v>
      </c>
      <c r="N27" t="s">
        <v>3556</v>
      </c>
      <c r="O27" t="s">
        <v>3556</v>
      </c>
      <c r="P27" t="s">
        <v>3556</v>
      </c>
      <c r="Q27" t="s">
        <v>3556</v>
      </c>
    </row>
    <row r="28" spans="1:17">
      <c r="A28">
        <v>1</v>
      </c>
      <c r="B28">
        <v>1121</v>
      </c>
      <c r="C28" t="s">
        <v>3586</v>
      </c>
      <c r="D28" t="s">
        <v>3587</v>
      </c>
      <c r="E28" s="3463">
        <v>44287</v>
      </c>
      <c r="F28" s="3463">
        <v>45016</v>
      </c>
      <c r="G28">
        <v>2</v>
      </c>
      <c r="H28">
        <v>25.6</v>
      </c>
      <c r="I28">
        <v>0</v>
      </c>
      <c r="J28">
        <v>0</v>
      </c>
      <c r="K28">
        <v>2.8</v>
      </c>
      <c r="L28">
        <v>2.8</v>
      </c>
      <c r="M28">
        <v>90</v>
      </c>
      <c r="N28" t="s">
        <v>3556</v>
      </c>
      <c r="O28" t="s">
        <v>3556</v>
      </c>
      <c r="P28" s="3464">
        <v>6451</v>
      </c>
      <c r="Q28" s="3464">
        <v>6451</v>
      </c>
    </row>
    <row r="29" spans="1:17">
      <c r="A29">
        <v>1</v>
      </c>
      <c r="B29">
        <v>1122</v>
      </c>
      <c r="C29" t="s">
        <v>3588</v>
      </c>
      <c r="D29" t="s">
        <v>3589</v>
      </c>
      <c r="E29" s="3463">
        <v>44378</v>
      </c>
      <c r="F29" s="3463">
        <v>45107</v>
      </c>
      <c r="G29">
        <v>2</v>
      </c>
      <c r="H29">
        <v>116.64</v>
      </c>
      <c r="I29">
        <v>28.48</v>
      </c>
      <c r="J29">
        <v>7</v>
      </c>
      <c r="K29">
        <v>2.8</v>
      </c>
      <c r="L29">
        <v>38.28</v>
      </c>
      <c r="M29">
        <v>90</v>
      </c>
      <c r="N29" s="3464">
        <v>298972</v>
      </c>
      <c r="O29" s="3464">
        <v>73483</v>
      </c>
      <c r="P29" s="3464">
        <v>29393</v>
      </c>
      <c r="Q29" s="3464">
        <v>401848</v>
      </c>
    </row>
    <row r="30" spans="1:17">
      <c r="A30">
        <v>1</v>
      </c>
      <c r="B30">
        <v>1123</v>
      </c>
      <c r="C30" t="s">
        <v>3553</v>
      </c>
      <c r="D30" t="s">
        <v>3553</v>
      </c>
      <c r="E30" s="3463">
        <v>44825</v>
      </c>
      <c r="F30" s="3463">
        <v>45565</v>
      </c>
      <c r="G30">
        <v>2</v>
      </c>
      <c r="H30">
        <v>114.6</v>
      </c>
      <c r="I30">
        <v>26.7</v>
      </c>
      <c r="J30">
        <v>7</v>
      </c>
      <c r="K30">
        <v>2.8</v>
      </c>
      <c r="L30">
        <v>36.5</v>
      </c>
      <c r="M30">
        <v>90</v>
      </c>
      <c r="N30" s="3464">
        <v>275384</v>
      </c>
      <c r="O30" s="3464">
        <v>72198</v>
      </c>
      <c r="P30" s="3464">
        <v>28879</v>
      </c>
      <c r="Q30" s="3464">
        <v>376461</v>
      </c>
    </row>
    <row r="31" spans="1:17">
      <c r="A31">
        <v>2</v>
      </c>
      <c r="B31">
        <v>2012</v>
      </c>
      <c r="C31" t="s">
        <v>3590</v>
      </c>
      <c r="D31" t="s">
        <v>3591</v>
      </c>
      <c r="E31" s="3463">
        <v>44777</v>
      </c>
      <c r="F31" s="3463">
        <v>45382</v>
      </c>
      <c r="G31">
        <v>1.7</v>
      </c>
      <c r="H31">
        <v>68.319999999999993</v>
      </c>
      <c r="I31">
        <v>12.2</v>
      </c>
      <c r="J31">
        <v>6</v>
      </c>
      <c r="K31">
        <v>2.8</v>
      </c>
      <c r="L31">
        <v>21</v>
      </c>
      <c r="M31">
        <v>90</v>
      </c>
      <c r="N31" s="3464">
        <v>75015</v>
      </c>
      <c r="O31" s="3464">
        <v>36893</v>
      </c>
      <c r="P31" s="3464">
        <v>17217</v>
      </c>
      <c r="Q31" s="3464">
        <v>129125</v>
      </c>
    </row>
    <row r="32" spans="1:17">
      <c r="A32">
        <v>2</v>
      </c>
      <c r="B32">
        <v>2041</v>
      </c>
      <c r="C32" t="s">
        <v>3580</v>
      </c>
      <c r="D32" t="s">
        <v>3581</v>
      </c>
      <c r="E32" s="3463">
        <v>44577</v>
      </c>
      <c r="F32" s="3463">
        <v>45382</v>
      </c>
      <c r="G32">
        <v>2.2000000000000002</v>
      </c>
      <c r="H32">
        <v>127.52</v>
      </c>
      <c r="I32">
        <v>0</v>
      </c>
      <c r="J32">
        <v>0</v>
      </c>
      <c r="K32">
        <v>2.8</v>
      </c>
      <c r="L32">
        <v>2.8</v>
      </c>
      <c r="M32">
        <v>90</v>
      </c>
      <c r="N32" t="s">
        <v>3556</v>
      </c>
      <c r="O32" t="s">
        <v>3556</v>
      </c>
      <c r="P32" s="3464">
        <v>32135</v>
      </c>
      <c r="Q32" s="3464">
        <v>32135</v>
      </c>
    </row>
    <row r="33" spans="1:17">
      <c r="A33">
        <v>2</v>
      </c>
      <c r="B33">
        <v>2051</v>
      </c>
      <c r="C33" t="s">
        <v>3557</v>
      </c>
      <c r="D33" t="s">
        <v>3558</v>
      </c>
      <c r="E33" s="3463">
        <v>44793</v>
      </c>
      <c r="F33" s="3463">
        <v>45900</v>
      </c>
      <c r="G33">
        <v>3</v>
      </c>
      <c r="H33">
        <v>321.60000000000002</v>
      </c>
      <c r="I33">
        <v>16.7</v>
      </c>
      <c r="J33">
        <v>6</v>
      </c>
      <c r="K33">
        <v>2.8</v>
      </c>
      <c r="L33">
        <v>25.5</v>
      </c>
      <c r="M33">
        <v>90</v>
      </c>
      <c r="N33" s="3464">
        <v>483365</v>
      </c>
      <c r="O33" s="3464">
        <v>173664</v>
      </c>
      <c r="P33" s="3464">
        <v>81043</v>
      </c>
      <c r="Q33" s="3464">
        <v>738072</v>
      </c>
    </row>
    <row r="34" spans="1:17">
      <c r="A34">
        <v>2</v>
      </c>
      <c r="B34">
        <v>2058</v>
      </c>
      <c r="C34" t="s">
        <v>3592</v>
      </c>
      <c r="D34" t="s">
        <v>3593</v>
      </c>
      <c r="E34" s="3463">
        <v>44777</v>
      </c>
      <c r="F34" s="3463">
        <v>45382</v>
      </c>
      <c r="G34">
        <v>1.7</v>
      </c>
      <c r="H34">
        <v>88.32</v>
      </c>
      <c r="I34">
        <v>7.95</v>
      </c>
      <c r="J34">
        <v>6</v>
      </c>
      <c r="K34">
        <v>2.8</v>
      </c>
      <c r="L34">
        <v>16.75</v>
      </c>
      <c r="M34">
        <v>90</v>
      </c>
      <c r="N34" s="3464">
        <v>63193</v>
      </c>
      <c r="O34" s="3464">
        <v>47693</v>
      </c>
      <c r="P34" s="3464">
        <v>22257</v>
      </c>
      <c r="Q34" s="3464">
        <v>133143</v>
      </c>
    </row>
    <row r="35" spans="1:17">
      <c r="A35">
        <v>2</v>
      </c>
      <c r="B35">
        <v>2059</v>
      </c>
      <c r="C35" t="s">
        <v>3594</v>
      </c>
      <c r="D35" t="s">
        <v>3595</v>
      </c>
      <c r="E35" s="3463">
        <v>44577</v>
      </c>
      <c r="F35" s="3463">
        <v>45382</v>
      </c>
      <c r="G35">
        <v>2.2000000000000002</v>
      </c>
      <c r="H35">
        <v>151.04</v>
      </c>
      <c r="I35">
        <v>10.199999999999999</v>
      </c>
      <c r="J35">
        <v>6</v>
      </c>
      <c r="K35">
        <v>2.8</v>
      </c>
      <c r="L35">
        <v>19</v>
      </c>
      <c r="M35">
        <v>90</v>
      </c>
      <c r="N35" s="3464">
        <v>138655</v>
      </c>
      <c r="O35" s="3464">
        <v>81562</v>
      </c>
      <c r="P35" s="3464">
        <v>38062</v>
      </c>
      <c r="Q35" s="3464">
        <v>258279</v>
      </c>
    </row>
    <row r="36" spans="1:17">
      <c r="A36">
        <v>2</v>
      </c>
      <c r="B36">
        <v>2063</v>
      </c>
      <c r="C36" t="s">
        <v>3596</v>
      </c>
      <c r="D36" t="s">
        <v>3597</v>
      </c>
      <c r="E36" s="3463">
        <v>44625</v>
      </c>
      <c r="F36" s="3463">
        <v>45382</v>
      </c>
      <c r="G36">
        <v>2.1</v>
      </c>
      <c r="H36">
        <v>44.8</v>
      </c>
      <c r="I36">
        <v>9.5500000000000007</v>
      </c>
      <c r="J36">
        <v>6</v>
      </c>
      <c r="K36">
        <v>2.8</v>
      </c>
      <c r="L36">
        <v>18.350000000000001</v>
      </c>
      <c r="M36">
        <v>90</v>
      </c>
      <c r="N36" s="3464">
        <v>38506</v>
      </c>
      <c r="O36" s="3464">
        <v>24192</v>
      </c>
      <c r="P36" s="3464">
        <v>11290</v>
      </c>
      <c r="Q36" s="3464">
        <v>73988</v>
      </c>
    </row>
    <row r="37" spans="1:17">
      <c r="A37">
        <v>2</v>
      </c>
      <c r="B37">
        <v>2065</v>
      </c>
      <c r="C37" t="s">
        <v>3598</v>
      </c>
      <c r="D37" t="s">
        <v>3599</v>
      </c>
      <c r="E37" s="3463">
        <v>44577</v>
      </c>
      <c r="F37" s="3463">
        <v>45382</v>
      </c>
      <c r="G37">
        <v>2.2000000000000002</v>
      </c>
      <c r="H37">
        <v>78.239999999999995</v>
      </c>
      <c r="I37">
        <v>0</v>
      </c>
      <c r="J37">
        <v>0</v>
      </c>
      <c r="K37">
        <v>2.8</v>
      </c>
      <c r="L37">
        <v>2.8</v>
      </c>
      <c r="M37">
        <v>90</v>
      </c>
      <c r="N37" t="s">
        <v>3556</v>
      </c>
      <c r="O37" t="s">
        <v>3556</v>
      </c>
      <c r="P37" s="3464">
        <v>19716</v>
      </c>
      <c r="Q37" s="3464">
        <v>19716</v>
      </c>
    </row>
    <row r="38" spans="1:17">
      <c r="A38">
        <v>2</v>
      </c>
      <c r="B38">
        <v>2078</v>
      </c>
      <c r="C38" t="s">
        <v>3569</v>
      </c>
      <c r="D38" t="s">
        <v>3600</v>
      </c>
      <c r="E38" s="3463">
        <v>44577</v>
      </c>
      <c r="F38" s="3463">
        <v>45657</v>
      </c>
      <c r="G38">
        <v>3</v>
      </c>
      <c r="H38">
        <v>244.8</v>
      </c>
      <c r="I38">
        <v>6.2</v>
      </c>
      <c r="J38">
        <v>6</v>
      </c>
      <c r="K38">
        <v>2.8</v>
      </c>
      <c r="L38">
        <v>15</v>
      </c>
      <c r="M38">
        <v>90</v>
      </c>
      <c r="N38" s="3464">
        <v>136598</v>
      </c>
      <c r="O38" s="3464">
        <v>132192</v>
      </c>
      <c r="P38" s="3464">
        <v>61690</v>
      </c>
      <c r="Q38" s="3464">
        <v>330480</v>
      </c>
    </row>
    <row r="39" spans="1:17">
      <c r="A39">
        <v>2</v>
      </c>
      <c r="B39">
        <v>2087</v>
      </c>
      <c r="C39" t="s">
        <v>3601</v>
      </c>
      <c r="D39" t="s">
        <v>3602</v>
      </c>
      <c r="E39" s="3463">
        <v>44577</v>
      </c>
      <c r="F39" s="3463">
        <v>45382</v>
      </c>
      <c r="G39">
        <v>2.2000000000000002</v>
      </c>
      <c r="H39">
        <v>92.8</v>
      </c>
      <c r="I39">
        <v>12.7</v>
      </c>
      <c r="J39">
        <v>6</v>
      </c>
      <c r="K39">
        <v>2.8</v>
      </c>
      <c r="L39">
        <v>21.5</v>
      </c>
      <c r="M39">
        <v>90</v>
      </c>
      <c r="N39" s="3464">
        <v>106070</v>
      </c>
      <c r="O39" s="3464">
        <v>50112</v>
      </c>
      <c r="P39" s="3464">
        <v>23386</v>
      </c>
      <c r="Q39" s="3464">
        <v>179568</v>
      </c>
    </row>
    <row r="40" spans="1:17">
      <c r="A40">
        <v>2</v>
      </c>
      <c r="B40">
        <v>2088</v>
      </c>
      <c r="C40" t="s">
        <v>3603</v>
      </c>
      <c r="D40" t="s">
        <v>3604</v>
      </c>
      <c r="E40" s="3463">
        <v>44577</v>
      </c>
      <c r="F40" s="3463">
        <v>45382</v>
      </c>
      <c r="G40">
        <v>2.2000000000000002</v>
      </c>
      <c r="H40">
        <v>120.48</v>
      </c>
      <c r="K40">
        <v>2.8</v>
      </c>
      <c r="L40">
        <v>2.8</v>
      </c>
      <c r="M40">
        <v>90</v>
      </c>
      <c r="N40" t="s">
        <v>3556</v>
      </c>
      <c r="O40" t="s">
        <v>3556</v>
      </c>
      <c r="P40" s="3464">
        <v>30361</v>
      </c>
      <c r="Q40" s="3464">
        <v>30361</v>
      </c>
    </row>
    <row r="41" spans="1:17">
      <c r="A41">
        <v>2</v>
      </c>
      <c r="B41">
        <v>2093</v>
      </c>
      <c r="C41" t="s">
        <v>3605</v>
      </c>
      <c r="D41" t="s">
        <v>3583</v>
      </c>
      <c r="E41" s="3463">
        <v>44577</v>
      </c>
      <c r="F41" s="3463">
        <v>45382</v>
      </c>
      <c r="G41">
        <v>2.2000000000000002</v>
      </c>
      <c r="H41">
        <v>88.32</v>
      </c>
      <c r="I41">
        <v>4.2</v>
      </c>
      <c r="J41">
        <v>6</v>
      </c>
      <c r="K41">
        <v>2.8</v>
      </c>
      <c r="L41">
        <v>13</v>
      </c>
      <c r="M41">
        <v>90</v>
      </c>
      <c r="N41" s="3464">
        <v>33385</v>
      </c>
      <c r="O41" s="3464">
        <v>47693</v>
      </c>
      <c r="P41" s="3464">
        <v>22257</v>
      </c>
      <c r="Q41" s="3464">
        <v>103335</v>
      </c>
    </row>
    <row r="42" spans="1:17">
      <c r="A42">
        <v>2</v>
      </c>
      <c r="B42">
        <v>2095</v>
      </c>
      <c r="C42" t="s">
        <v>3605</v>
      </c>
      <c r="D42" t="s">
        <v>3583</v>
      </c>
      <c r="E42" s="3463">
        <v>44577</v>
      </c>
      <c r="F42" s="3463">
        <v>45382</v>
      </c>
      <c r="G42">
        <v>2.2000000000000002</v>
      </c>
      <c r="H42">
        <v>242.56</v>
      </c>
      <c r="I42">
        <v>4.2</v>
      </c>
      <c r="J42">
        <v>6</v>
      </c>
      <c r="K42">
        <v>2.8</v>
      </c>
      <c r="L42">
        <v>13</v>
      </c>
      <c r="M42">
        <v>90</v>
      </c>
      <c r="N42" s="3464">
        <v>91688</v>
      </c>
      <c r="O42" s="3464">
        <v>130982</v>
      </c>
      <c r="P42" s="3464">
        <v>61125</v>
      </c>
      <c r="Q42" s="3464">
        <v>283795</v>
      </c>
    </row>
    <row r="43" spans="1:17">
      <c r="A43">
        <v>2</v>
      </c>
      <c r="B43">
        <v>2096</v>
      </c>
      <c r="C43" t="s">
        <v>3568</v>
      </c>
      <c r="G43">
        <v>0</v>
      </c>
      <c r="H43">
        <v>134.56</v>
      </c>
      <c r="L43" t="s">
        <v>3556</v>
      </c>
      <c r="N43" t="s">
        <v>3556</v>
      </c>
      <c r="O43" t="s">
        <v>3556</v>
      </c>
      <c r="P43" t="s">
        <v>3556</v>
      </c>
      <c r="Q43" t="s">
        <v>3556</v>
      </c>
    </row>
    <row r="44" spans="1:17">
      <c r="A44">
        <v>2</v>
      </c>
      <c r="B44">
        <v>2097</v>
      </c>
      <c r="C44" t="s">
        <v>3568</v>
      </c>
      <c r="G44">
        <v>0</v>
      </c>
      <c r="H44">
        <v>56.8</v>
      </c>
      <c r="L44" t="s">
        <v>3556</v>
      </c>
      <c r="N44" t="s">
        <v>3556</v>
      </c>
      <c r="O44" t="s">
        <v>3556</v>
      </c>
      <c r="P44" t="s">
        <v>3556</v>
      </c>
      <c r="Q44" t="s">
        <v>3556</v>
      </c>
    </row>
    <row r="45" spans="1:17">
      <c r="A45">
        <v>2</v>
      </c>
      <c r="B45">
        <v>2098</v>
      </c>
      <c r="C45" t="s">
        <v>3568</v>
      </c>
      <c r="G45">
        <v>0</v>
      </c>
      <c r="H45">
        <v>88.24</v>
      </c>
      <c r="L45" t="s">
        <v>3556</v>
      </c>
      <c r="N45" t="s">
        <v>3556</v>
      </c>
      <c r="O45" t="s">
        <v>3556</v>
      </c>
      <c r="P45" t="s">
        <v>3556</v>
      </c>
      <c r="Q45" t="s">
        <v>3556</v>
      </c>
    </row>
    <row r="46" spans="1:17">
      <c r="A46">
        <v>2</v>
      </c>
      <c r="B46">
        <v>2099</v>
      </c>
      <c r="C46" t="s">
        <v>3606</v>
      </c>
      <c r="D46" t="s">
        <v>3607</v>
      </c>
      <c r="E46" s="3463">
        <v>44577</v>
      </c>
      <c r="F46" s="3463">
        <v>45382</v>
      </c>
      <c r="G46">
        <v>2.2000000000000002</v>
      </c>
      <c r="H46">
        <v>151.68</v>
      </c>
      <c r="I46">
        <v>1.79</v>
      </c>
      <c r="J46">
        <v>3</v>
      </c>
      <c r="K46">
        <v>2.8</v>
      </c>
      <c r="L46">
        <v>7.59</v>
      </c>
      <c r="M46">
        <v>90</v>
      </c>
      <c r="N46" s="3464">
        <v>24436</v>
      </c>
      <c r="O46" s="3464">
        <v>40954</v>
      </c>
      <c r="P46" s="3464">
        <v>38223</v>
      </c>
      <c r="Q46" s="3464">
        <v>103613</v>
      </c>
    </row>
    <row r="47" spans="1:17">
      <c r="A47">
        <v>2</v>
      </c>
      <c r="B47">
        <v>2101</v>
      </c>
      <c r="C47" t="s">
        <v>3608</v>
      </c>
      <c r="D47" t="s">
        <v>3609</v>
      </c>
      <c r="E47" s="3463">
        <v>44577</v>
      </c>
      <c r="F47" s="3463">
        <v>45382</v>
      </c>
      <c r="G47">
        <v>2.2000000000000002</v>
      </c>
      <c r="H47">
        <v>104.72</v>
      </c>
      <c r="K47">
        <v>2.8</v>
      </c>
      <c r="L47">
        <v>2.8</v>
      </c>
      <c r="M47">
        <v>90</v>
      </c>
      <c r="N47" t="s">
        <v>3556</v>
      </c>
      <c r="O47" t="s">
        <v>3556</v>
      </c>
      <c r="P47" s="3464">
        <v>26389</v>
      </c>
      <c r="Q47" s="3464">
        <v>26389</v>
      </c>
    </row>
    <row r="48" spans="1:17">
      <c r="A48">
        <v>2</v>
      </c>
      <c r="B48">
        <v>2102</v>
      </c>
      <c r="C48" t="s">
        <v>3610</v>
      </c>
      <c r="G48">
        <v>0</v>
      </c>
      <c r="H48">
        <v>77.28</v>
      </c>
      <c r="I48">
        <v>0</v>
      </c>
      <c r="J48">
        <v>0</v>
      </c>
      <c r="K48">
        <v>2.8</v>
      </c>
      <c r="L48">
        <v>2.8</v>
      </c>
      <c r="M48">
        <v>90</v>
      </c>
      <c r="N48" t="s">
        <v>3556</v>
      </c>
      <c r="O48" t="s">
        <v>3556</v>
      </c>
      <c r="P48" s="3464">
        <v>19475</v>
      </c>
      <c r="Q48" s="3464">
        <v>19475</v>
      </c>
    </row>
    <row r="49" spans="1:17">
      <c r="A49">
        <v>2</v>
      </c>
      <c r="B49">
        <v>2103</v>
      </c>
      <c r="C49" t="s">
        <v>3611</v>
      </c>
      <c r="D49" t="s">
        <v>3612</v>
      </c>
      <c r="E49" s="3463">
        <v>44805</v>
      </c>
      <c r="F49" s="3463">
        <v>45535</v>
      </c>
      <c r="G49">
        <v>2</v>
      </c>
      <c r="H49">
        <v>100.96</v>
      </c>
      <c r="I49">
        <v>3.71</v>
      </c>
      <c r="K49">
        <v>2.8</v>
      </c>
      <c r="L49">
        <v>6.51</v>
      </c>
      <c r="M49">
        <v>90</v>
      </c>
      <c r="N49" s="3464">
        <v>33711</v>
      </c>
      <c r="O49" t="s">
        <v>3556</v>
      </c>
      <c r="P49" s="3464">
        <v>25442</v>
      </c>
      <c r="Q49" s="3464">
        <v>59153</v>
      </c>
    </row>
    <row r="50" spans="1:17">
      <c r="A50">
        <v>2</v>
      </c>
      <c r="B50">
        <v>2106</v>
      </c>
      <c r="C50" t="s">
        <v>3613</v>
      </c>
      <c r="D50" t="s">
        <v>3613</v>
      </c>
      <c r="E50" s="3463">
        <v>44866</v>
      </c>
      <c r="F50" s="3463">
        <v>44957</v>
      </c>
      <c r="G50">
        <v>0.2</v>
      </c>
      <c r="H50">
        <v>109.28</v>
      </c>
      <c r="K50">
        <v>2.8</v>
      </c>
      <c r="L50">
        <v>2.8</v>
      </c>
      <c r="M50">
        <v>90</v>
      </c>
      <c r="N50" t="s">
        <v>3556</v>
      </c>
      <c r="O50" t="s">
        <v>3556</v>
      </c>
      <c r="P50" s="3464">
        <v>27539</v>
      </c>
      <c r="Q50" s="3464">
        <v>27539</v>
      </c>
    </row>
    <row r="51" spans="1:17">
      <c r="A51">
        <v>2</v>
      </c>
      <c r="B51">
        <v>2107</v>
      </c>
      <c r="C51" t="s">
        <v>3568</v>
      </c>
      <c r="G51">
        <v>0</v>
      </c>
      <c r="H51">
        <v>383.2</v>
      </c>
      <c r="L51" t="s">
        <v>3556</v>
      </c>
      <c r="M51">
        <v>90</v>
      </c>
      <c r="N51" t="s">
        <v>3556</v>
      </c>
      <c r="O51" t="s">
        <v>3556</v>
      </c>
      <c r="P51" t="s">
        <v>3556</v>
      </c>
      <c r="Q51" t="s">
        <v>3556</v>
      </c>
    </row>
    <row r="52" spans="1:17">
      <c r="A52">
        <v>2</v>
      </c>
      <c r="B52">
        <v>2128</v>
      </c>
      <c r="C52" t="s">
        <v>3579</v>
      </c>
      <c r="E52" s="3463">
        <v>44577</v>
      </c>
      <c r="F52" s="3463">
        <v>45382</v>
      </c>
      <c r="G52">
        <v>2.2000000000000002</v>
      </c>
      <c r="H52">
        <v>355.36</v>
      </c>
      <c r="I52">
        <v>3.6</v>
      </c>
      <c r="J52">
        <v>6</v>
      </c>
      <c r="K52">
        <v>2.8</v>
      </c>
      <c r="L52">
        <v>12.4</v>
      </c>
      <c r="M52">
        <v>90</v>
      </c>
      <c r="N52" s="3464">
        <v>115137</v>
      </c>
      <c r="O52" s="3464">
        <v>191894</v>
      </c>
      <c r="P52" s="3464">
        <v>89551</v>
      </c>
      <c r="Q52" s="3464">
        <v>396582</v>
      </c>
    </row>
    <row r="53" spans="1:17">
      <c r="A53">
        <v>2</v>
      </c>
      <c r="B53">
        <v>2137</v>
      </c>
      <c r="C53" t="s">
        <v>3614</v>
      </c>
      <c r="D53" t="s">
        <v>3615</v>
      </c>
      <c r="E53" s="3463">
        <v>44577</v>
      </c>
      <c r="F53" s="3463">
        <v>45382</v>
      </c>
      <c r="G53">
        <v>2.2000000000000002</v>
      </c>
      <c r="H53">
        <v>116.32</v>
      </c>
      <c r="I53">
        <v>2.5</v>
      </c>
      <c r="J53">
        <v>6</v>
      </c>
      <c r="K53">
        <v>2.8</v>
      </c>
      <c r="L53">
        <v>11.3</v>
      </c>
      <c r="M53">
        <v>90</v>
      </c>
      <c r="N53" s="3464">
        <v>26172</v>
      </c>
      <c r="O53" s="3464">
        <v>62813</v>
      </c>
      <c r="P53" s="3464">
        <v>29313</v>
      </c>
      <c r="Q53" s="3464">
        <v>118298</v>
      </c>
    </row>
    <row r="54" spans="1:17">
      <c r="A54">
        <v>2</v>
      </c>
      <c r="B54">
        <v>2141</v>
      </c>
      <c r="C54" t="s">
        <v>3616</v>
      </c>
      <c r="D54" t="s">
        <v>3617</v>
      </c>
      <c r="E54" s="3463">
        <v>44577</v>
      </c>
      <c r="F54" s="3463">
        <v>45382</v>
      </c>
      <c r="G54">
        <v>2.2000000000000002</v>
      </c>
      <c r="H54">
        <v>150.88</v>
      </c>
      <c r="I54">
        <v>4.2699999999999996</v>
      </c>
      <c r="J54">
        <v>6</v>
      </c>
      <c r="K54">
        <v>2.8</v>
      </c>
      <c r="L54">
        <v>13.07</v>
      </c>
      <c r="M54">
        <v>90</v>
      </c>
      <c r="N54" s="3464">
        <v>57983</v>
      </c>
      <c r="O54" s="3464">
        <v>81475</v>
      </c>
      <c r="P54" s="3464">
        <v>38022</v>
      </c>
      <c r="Q54" s="3464">
        <v>177480</v>
      </c>
    </row>
    <row r="55" spans="1:17">
      <c r="A55">
        <v>3</v>
      </c>
      <c r="B55">
        <v>3003</v>
      </c>
      <c r="C55" t="s">
        <v>3618</v>
      </c>
      <c r="D55" t="s">
        <v>3619</v>
      </c>
      <c r="E55" s="3463">
        <v>44835</v>
      </c>
      <c r="F55" s="3463">
        <v>45565</v>
      </c>
      <c r="G55">
        <v>2</v>
      </c>
      <c r="H55">
        <v>284.3</v>
      </c>
      <c r="I55">
        <v>4.2</v>
      </c>
      <c r="J55">
        <v>3</v>
      </c>
      <c r="K55">
        <v>2.8</v>
      </c>
      <c r="L55">
        <v>10</v>
      </c>
      <c r="M55">
        <v>90</v>
      </c>
      <c r="N55" s="3464">
        <v>107465</v>
      </c>
      <c r="O55" s="3464">
        <v>76761</v>
      </c>
      <c r="P55" s="3464">
        <v>71644</v>
      </c>
      <c r="Q55" s="3464">
        <v>255870</v>
      </c>
    </row>
    <row r="56" spans="1:17">
      <c r="A56">
        <v>3</v>
      </c>
      <c r="B56">
        <v>3005</v>
      </c>
      <c r="C56" t="s">
        <v>3620</v>
      </c>
      <c r="G56">
        <v>0</v>
      </c>
      <c r="H56">
        <v>235.2</v>
      </c>
      <c r="I56">
        <v>0</v>
      </c>
      <c r="J56">
        <v>0</v>
      </c>
      <c r="K56">
        <v>2.8</v>
      </c>
      <c r="L56">
        <v>2.8</v>
      </c>
      <c r="M56">
        <v>90</v>
      </c>
      <c r="N56" t="s">
        <v>3556</v>
      </c>
      <c r="O56" t="s">
        <v>3556</v>
      </c>
      <c r="P56" s="3464">
        <v>59270</v>
      </c>
      <c r="Q56" s="3464">
        <v>59270</v>
      </c>
    </row>
    <row r="57" spans="1:17">
      <c r="A57">
        <v>3</v>
      </c>
      <c r="B57">
        <v>3006</v>
      </c>
      <c r="C57" t="s">
        <v>3621</v>
      </c>
      <c r="D57" t="s">
        <v>3622</v>
      </c>
      <c r="E57" s="3463">
        <v>44078</v>
      </c>
      <c r="F57" s="3463">
        <v>45291</v>
      </c>
      <c r="G57">
        <v>3.3</v>
      </c>
      <c r="H57">
        <v>1100</v>
      </c>
      <c r="I57">
        <v>4.7</v>
      </c>
      <c r="J57">
        <v>0</v>
      </c>
      <c r="K57">
        <v>2.8</v>
      </c>
      <c r="L57">
        <v>7.5</v>
      </c>
      <c r="M57">
        <v>90</v>
      </c>
      <c r="N57" s="3464">
        <v>465300</v>
      </c>
      <c r="O57" t="s">
        <v>3556</v>
      </c>
      <c r="P57" s="3464">
        <v>277200</v>
      </c>
      <c r="Q57" s="3464">
        <v>742500</v>
      </c>
    </row>
    <row r="58" spans="1:17">
      <c r="A58">
        <v>3</v>
      </c>
      <c r="B58">
        <v>3008</v>
      </c>
      <c r="C58" t="s">
        <v>3623</v>
      </c>
      <c r="D58" t="s">
        <v>3624</v>
      </c>
      <c r="E58" s="3463">
        <v>43070</v>
      </c>
      <c r="F58" s="3463">
        <v>45565</v>
      </c>
      <c r="G58">
        <v>6.8</v>
      </c>
      <c r="H58">
        <v>657</v>
      </c>
      <c r="I58">
        <v>5</v>
      </c>
      <c r="J58">
        <v>3</v>
      </c>
      <c r="K58">
        <v>2.8</v>
      </c>
      <c r="L58">
        <v>10.8</v>
      </c>
      <c r="M58">
        <v>90</v>
      </c>
      <c r="N58" s="3464">
        <v>295650</v>
      </c>
      <c r="O58" s="3464">
        <v>177390</v>
      </c>
      <c r="P58" s="3464">
        <v>165564</v>
      </c>
      <c r="Q58" s="3464">
        <v>638604</v>
      </c>
    </row>
    <row r="59" spans="1:17">
      <c r="A59">
        <v>3</v>
      </c>
      <c r="B59">
        <v>3019</v>
      </c>
      <c r="C59" t="s">
        <v>3623</v>
      </c>
      <c r="D59" t="s">
        <v>3624</v>
      </c>
      <c r="G59">
        <v>0</v>
      </c>
      <c r="H59">
        <v>303.10000000000002</v>
      </c>
      <c r="I59">
        <v>0</v>
      </c>
      <c r="J59">
        <v>0</v>
      </c>
      <c r="K59">
        <v>2.8</v>
      </c>
      <c r="L59">
        <v>2.8</v>
      </c>
      <c r="M59">
        <v>90</v>
      </c>
      <c r="N59" t="s">
        <v>3556</v>
      </c>
      <c r="O59" t="s">
        <v>3556</v>
      </c>
      <c r="P59" s="3464">
        <v>76381</v>
      </c>
      <c r="Q59" s="3464">
        <v>76381</v>
      </c>
    </row>
    <row r="60" spans="1:17">
      <c r="A60">
        <v>3</v>
      </c>
      <c r="B60">
        <v>3021</v>
      </c>
      <c r="C60" t="s">
        <v>3625</v>
      </c>
      <c r="D60" t="s">
        <v>3626</v>
      </c>
      <c r="E60" s="3463">
        <v>43466</v>
      </c>
      <c r="F60" s="3463">
        <v>45016</v>
      </c>
      <c r="G60">
        <v>4.2</v>
      </c>
      <c r="H60">
        <v>274.8</v>
      </c>
      <c r="I60">
        <v>6.3</v>
      </c>
      <c r="J60">
        <v>3</v>
      </c>
      <c r="K60">
        <v>2.8</v>
      </c>
      <c r="L60">
        <v>12.1</v>
      </c>
      <c r="M60">
        <v>90</v>
      </c>
      <c r="N60" s="3464">
        <v>155812</v>
      </c>
      <c r="O60" s="3464">
        <v>74196</v>
      </c>
      <c r="P60" s="3464">
        <v>69250</v>
      </c>
      <c r="Q60" s="3464">
        <v>299258</v>
      </c>
    </row>
    <row r="61" spans="1:17">
      <c r="A61">
        <v>3</v>
      </c>
      <c r="B61">
        <v>3022</v>
      </c>
      <c r="C61" t="s">
        <v>3626</v>
      </c>
      <c r="D61" t="s">
        <v>3626</v>
      </c>
      <c r="E61" s="3463">
        <v>43997</v>
      </c>
      <c r="F61" s="3463">
        <v>44651</v>
      </c>
      <c r="G61">
        <v>1.8</v>
      </c>
      <c r="H61">
        <v>188.2</v>
      </c>
      <c r="I61">
        <v>3.2</v>
      </c>
      <c r="J61">
        <v>3</v>
      </c>
      <c r="K61">
        <v>2.8</v>
      </c>
      <c r="L61">
        <v>9</v>
      </c>
      <c r="M61">
        <v>90</v>
      </c>
      <c r="N61" s="3464">
        <v>54202</v>
      </c>
      <c r="O61" s="3464">
        <v>50814</v>
      </c>
      <c r="P61" s="3464">
        <v>47426</v>
      </c>
      <c r="Q61" s="3464">
        <v>152442</v>
      </c>
    </row>
    <row r="62" spans="1:17">
      <c r="A62">
        <v>3</v>
      </c>
      <c r="B62">
        <v>3023</v>
      </c>
      <c r="C62" t="s">
        <v>3627</v>
      </c>
      <c r="D62" t="s">
        <v>3628</v>
      </c>
      <c r="E62" s="3463">
        <v>44287</v>
      </c>
      <c r="F62" s="3463">
        <v>45016</v>
      </c>
      <c r="G62">
        <v>2</v>
      </c>
      <c r="H62">
        <v>145.1</v>
      </c>
      <c r="I62">
        <v>9.6</v>
      </c>
      <c r="J62">
        <v>3</v>
      </c>
      <c r="K62">
        <v>2.8</v>
      </c>
      <c r="L62">
        <v>15.4</v>
      </c>
      <c r="M62">
        <v>90</v>
      </c>
      <c r="N62" s="3464">
        <v>125366</v>
      </c>
      <c r="O62" s="3464">
        <v>39177</v>
      </c>
      <c r="P62" s="3464">
        <v>36565</v>
      </c>
      <c r="Q62" s="3464">
        <v>201108</v>
      </c>
    </row>
    <row r="63" spans="1:17">
      <c r="A63">
        <v>3</v>
      </c>
      <c r="B63">
        <v>3026</v>
      </c>
      <c r="C63" t="s">
        <v>3629</v>
      </c>
      <c r="D63" t="s">
        <v>3630</v>
      </c>
      <c r="E63" s="3463">
        <v>44835</v>
      </c>
      <c r="F63" s="3463">
        <v>45565</v>
      </c>
      <c r="G63">
        <v>2</v>
      </c>
      <c r="H63">
        <v>149.19999999999999</v>
      </c>
      <c r="I63">
        <v>4.2</v>
      </c>
      <c r="J63">
        <v>3</v>
      </c>
      <c r="K63">
        <v>2.8</v>
      </c>
      <c r="L63">
        <v>10</v>
      </c>
      <c r="M63">
        <v>90</v>
      </c>
      <c r="N63" s="3464">
        <v>56398</v>
      </c>
      <c r="O63" s="3464">
        <v>40284</v>
      </c>
      <c r="P63" s="3464">
        <v>37598</v>
      </c>
      <c r="Q63" s="3464">
        <v>134280</v>
      </c>
    </row>
    <row r="64" spans="1:17">
      <c r="A64">
        <v>3</v>
      </c>
      <c r="B64">
        <v>3028</v>
      </c>
      <c r="C64" t="s">
        <v>3631</v>
      </c>
      <c r="D64" t="s">
        <v>3632</v>
      </c>
      <c r="E64" s="3463">
        <v>44652</v>
      </c>
      <c r="F64" s="3463">
        <v>45382</v>
      </c>
      <c r="G64">
        <v>2</v>
      </c>
      <c r="H64">
        <v>83.3</v>
      </c>
      <c r="I64">
        <v>9.8000000000000007</v>
      </c>
      <c r="J64">
        <v>3</v>
      </c>
      <c r="K64">
        <v>2.8</v>
      </c>
      <c r="L64">
        <v>15.6</v>
      </c>
      <c r="M64">
        <v>90</v>
      </c>
      <c r="N64" s="3464">
        <v>73471</v>
      </c>
      <c r="O64" s="3464">
        <v>22491</v>
      </c>
      <c r="P64" s="3464">
        <v>20992</v>
      </c>
      <c r="Q64" s="3464">
        <v>116954</v>
      </c>
    </row>
    <row r="65" spans="1:17">
      <c r="A65">
        <v>3</v>
      </c>
      <c r="B65">
        <v>3037</v>
      </c>
      <c r="C65" t="s">
        <v>3633</v>
      </c>
      <c r="D65" t="s">
        <v>3634</v>
      </c>
      <c r="E65" s="3463">
        <v>43435</v>
      </c>
      <c r="F65" s="3463">
        <v>44530</v>
      </c>
      <c r="G65">
        <v>3</v>
      </c>
      <c r="H65">
        <v>285.10000000000002</v>
      </c>
      <c r="I65">
        <v>4.2</v>
      </c>
      <c r="J65">
        <v>3</v>
      </c>
      <c r="K65">
        <v>2.8</v>
      </c>
      <c r="L65">
        <v>10</v>
      </c>
      <c r="M65">
        <v>90</v>
      </c>
      <c r="N65" s="3464">
        <v>107768</v>
      </c>
      <c r="O65" s="3464">
        <v>76977</v>
      </c>
      <c r="P65" s="3464">
        <v>71845</v>
      </c>
      <c r="Q65" s="3464">
        <v>256590</v>
      </c>
    </row>
    <row r="66" spans="1:17">
      <c r="A66">
        <v>4</v>
      </c>
      <c r="B66">
        <v>4003</v>
      </c>
      <c r="C66" t="s">
        <v>3635</v>
      </c>
      <c r="D66" t="s">
        <v>3636</v>
      </c>
      <c r="E66" s="3463">
        <v>44652</v>
      </c>
      <c r="F66" s="3463">
        <v>45382</v>
      </c>
      <c r="G66">
        <v>2</v>
      </c>
      <c r="H66">
        <v>351.2</v>
      </c>
      <c r="I66">
        <v>4.03</v>
      </c>
      <c r="J66">
        <v>3</v>
      </c>
      <c r="K66">
        <v>2.8</v>
      </c>
      <c r="L66">
        <v>9.83</v>
      </c>
      <c r="M66">
        <v>90</v>
      </c>
      <c r="N66" s="3464">
        <v>127380</v>
      </c>
      <c r="O66" s="3464">
        <v>94824</v>
      </c>
      <c r="P66" s="3464">
        <v>88502</v>
      </c>
      <c r="Q66" s="3464">
        <v>310706</v>
      </c>
    </row>
    <row r="67" spans="1:17">
      <c r="A67">
        <v>4</v>
      </c>
      <c r="B67">
        <v>4006</v>
      </c>
      <c r="C67" t="s">
        <v>3637</v>
      </c>
      <c r="D67" t="s">
        <v>3638</v>
      </c>
      <c r="E67" s="3463">
        <v>44845</v>
      </c>
      <c r="F67" s="3463">
        <v>45565</v>
      </c>
      <c r="G67">
        <v>2</v>
      </c>
      <c r="H67">
        <v>265.60000000000002</v>
      </c>
      <c r="I67">
        <v>3.39</v>
      </c>
      <c r="J67">
        <v>0</v>
      </c>
      <c r="K67">
        <v>2.8</v>
      </c>
      <c r="L67">
        <v>6.19</v>
      </c>
      <c r="M67">
        <v>90</v>
      </c>
      <c r="N67" s="3464">
        <v>81035</v>
      </c>
      <c r="O67" t="s">
        <v>3556</v>
      </c>
      <c r="P67" s="3464">
        <v>66931</v>
      </c>
      <c r="Q67" s="3464">
        <v>147966</v>
      </c>
    </row>
    <row r="68" spans="1:17">
      <c r="A68">
        <v>4</v>
      </c>
      <c r="B68">
        <v>4007</v>
      </c>
      <c r="C68" t="s">
        <v>3639</v>
      </c>
      <c r="D68" t="s">
        <v>3640</v>
      </c>
      <c r="E68" s="3463">
        <v>44844</v>
      </c>
      <c r="F68" s="3463">
        <v>45565</v>
      </c>
      <c r="G68">
        <v>2</v>
      </c>
      <c r="H68">
        <v>233.28</v>
      </c>
      <c r="I68">
        <v>3.95</v>
      </c>
      <c r="J68">
        <v>1</v>
      </c>
      <c r="K68">
        <v>2.8</v>
      </c>
      <c r="L68">
        <v>7.75</v>
      </c>
      <c r="M68">
        <v>90</v>
      </c>
      <c r="N68" s="3464">
        <v>82931</v>
      </c>
      <c r="O68" s="3464">
        <v>20995</v>
      </c>
      <c r="P68" s="3464">
        <v>58787</v>
      </c>
      <c r="Q68" s="3464">
        <v>162713</v>
      </c>
    </row>
    <row r="69" spans="1:17">
      <c r="A69">
        <v>4</v>
      </c>
      <c r="B69">
        <v>4008</v>
      </c>
      <c r="C69" t="s">
        <v>3641</v>
      </c>
      <c r="D69" t="s">
        <v>3642</v>
      </c>
      <c r="E69" s="3463">
        <v>44652</v>
      </c>
      <c r="F69" s="3463">
        <v>45016</v>
      </c>
      <c r="G69">
        <v>1</v>
      </c>
      <c r="H69">
        <v>451.5</v>
      </c>
      <c r="I69">
        <v>0.9</v>
      </c>
      <c r="K69">
        <v>2.8</v>
      </c>
      <c r="L69">
        <v>3.7</v>
      </c>
      <c r="M69">
        <v>90</v>
      </c>
      <c r="N69" s="3464">
        <v>36572</v>
      </c>
      <c r="O69" t="s">
        <v>3556</v>
      </c>
      <c r="P69" s="3464">
        <v>113778</v>
      </c>
      <c r="Q69" s="3464">
        <v>150350</v>
      </c>
    </row>
    <row r="70" spans="1:17">
      <c r="A70">
        <v>4</v>
      </c>
      <c r="B70">
        <v>4010</v>
      </c>
      <c r="C70" t="s">
        <v>3643</v>
      </c>
      <c r="D70" t="s">
        <v>3644</v>
      </c>
      <c r="E70" s="3463">
        <v>44413</v>
      </c>
      <c r="F70" s="3463">
        <v>45138</v>
      </c>
      <c r="G70">
        <v>2</v>
      </c>
      <c r="H70">
        <v>182.88</v>
      </c>
      <c r="I70">
        <v>4.2</v>
      </c>
      <c r="J70">
        <v>3</v>
      </c>
      <c r="K70">
        <v>2.8</v>
      </c>
      <c r="L70">
        <v>10</v>
      </c>
      <c r="M70">
        <v>90</v>
      </c>
      <c r="N70" s="3464">
        <v>69129</v>
      </c>
      <c r="O70" s="3464">
        <v>49378</v>
      </c>
      <c r="P70" s="3464">
        <v>46086</v>
      </c>
      <c r="Q70" s="3464">
        <v>164593</v>
      </c>
    </row>
    <row r="71" spans="1:17">
      <c r="A71">
        <v>4</v>
      </c>
      <c r="B71">
        <v>4013</v>
      </c>
      <c r="C71" t="s">
        <v>3645</v>
      </c>
      <c r="D71" t="s">
        <v>3646</v>
      </c>
      <c r="E71" s="3463">
        <v>44652</v>
      </c>
      <c r="F71" s="3463">
        <v>45382</v>
      </c>
      <c r="G71">
        <v>2</v>
      </c>
      <c r="H71">
        <v>279.5</v>
      </c>
      <c r="I71">
        <v>4.7</v>
      </c>
      <c r="J71">
        <v>3</v>
      </c>
      <c r="K71">
        <v>2.8</v>
      </c>
      <c r="L71">
        <v>10.5</v>
      </c>
      <c r="M71">
        <v>90</v>
      </c>
      <c r="N71" s="3464">
        <v>118229</v>
      </c>
      <c r="O71" s="3464">
        <v>75465</v>
      </c>
      <c r="P71" s="3464">
        <v>70434</v>
      </c>
      <c r="Q71" s="3464">
        <v>264128</v>
      </c>
    </row>
    <row r="72" spans="1:17">
      <c r="A72">
        <v>4</v>
      </c>
      <c r="B72">
        <v>4015</v>
      </c>
      <c r="C72" t="s">
        <v>3645</v>
      </c>
      <c r="D72" t="s">
        <v>3647</v>
      </c>
      <c r="E72" s="3463">
        <v>44880</v>
      </c>
      <c r="F72" s="3463">
        <v>45382</v>
      </c>
      <c r="G72">
        <v>1.4</v>
      </c>
      <c r="H72">
        <v>120.8</v>
      </c>
      <c r="I72">
        <v>4.7</v>
      </c>
      <c r="J72">
        <v>3</v>
      </c>
      <c r="K72">
        <v>2.8</v>
      </c>
      <c r="L72">
        <v>10.5</v>
      </c>
      <c r="M72">
        <v>90</v>
      </c>
      <c r="N72" s="3464">
        <v>51098</v>
      </c>
      <c r="O72" s="3464">
        <v>32616</v>
      </c>
      <c r="P72" s="3464">
        <v>30442</v>
      </c>
      <c r="Q72" s="3464">
        <v>114156</v>
      </c>
    </row>
    <row r="73" spans="1:17">
      <c r="A73">
        <v>4</v>
      </c>
      <c r="B73">
        <v>4016</v>
      </c>
      <c r="C73" t="s">
        <v>3648</v>
      </c>
      <c r="D73" t="s">
        <v>3649</v>
      </c>
      <c r="E73" s="3463">
        <v>44387</v>
      </c>
      <c r="F73" s="3463">
        <v>45138</v>
      </c>
      <c r="G73">
        <v>2.1</v>
      </c>
      <c r="H73">
        <v>117.92</v>
      </c>
      <c r="I73">
        <v>5.2</v>
      </c>
      <c r="J73">
        <v>3</v>
      </c>
      <c r="K73">
        <v>2.8</v>
      </c>
      <c r="L73">
        <v>11</v>
      </c>
      <c r="M73">
        <v>90</v>
      </c>
      <c r="N73" s="3464">
        <v>55187</v>
      </c>
      <c r="O73" s="3464">
        <v>31838</v>
      </c>
      <c r="P73" s="3464">
        <v>29716</v>
      </c>
      <c r="Q73" s="3464">
        <v>116741</v>
      </c>
    </row>
    <row r="74" spans="1:17">
      <c r="A74">
        <v>4</v>
      </c>
      <c r="B74">
        <v>4017</v>
      </c>
      <c r="C74" t="s">
        <v>3568</v>
      </c>
      <c r="G74">
        <v>0</v>
      </c>
      <c r="H74">
        <v>41.92</v>
      </c>
      <c r="L74" t="s">
        <v>3556</v>
      </c>
      <c r="N74" t="s">
        <v>3556</v>
      </c>
      <c r="O74" t="s">
        <v>3556</v>
      </c>
      <c r="P74" t="s">
        <v>3556</v>
      </c>
      <c r="Q74" t="s">
        <v>3556</v>
      </c>
    </row>
    <row r="75" spans="1:17">
      <c r="A75">
        <v>4</v>
      </c>
      <c r="B75">
        <v>4018</v>
      </c>
      <c r="C75" t="s">
        <v>3650</v>
      </c>
      <c r="D75" t="s">
        <v>3651</v>
      </c>
      <c r="E75" s="3463">
        <v>44397</v>
      </c>
      <c r="F75" s="3463">
        <v>45138</v>
      </c>
      <c r="G75">
        <v>2</v>
      </c>
      <c r="H75">
        <v>70.400000000000006</v>
      </c>
      <c r="I75">
        <v>5.2</v>
      </c>
      <c r="J75">
        <v>3</v>
      </c>
      <c r="K75">
        <v>2.8</v>
      </c>
      <c r="L75">
        <v>11</v>
      </c>
      <c r="M75">
        <v>90</v>
      </c>
      <c r="N75" s="3464">
        <v>32947</v>
      </c>
      <c r="O75" s="3464">
        <v>19008</v>
      </c>
      <c r="P75" s="3464">
        <v>17741</v>
      </c>
      <c r="Q75" s="3464">
        <v>69696</v>
      </c>
    </row>
    <row r="76" spans="1:17">
      <c r="A76">
        <v>4</v>
      </c>
      <c r="B76">
        <v>4026</v>
      </c>
      <c r="C76" t="s">
        <v>3652</v>
      </c>
      <c r="D76" t="s">
        <v>3653</v>
      </c>
      <c r="E76" s="3463">
        <v>43922</v>
      </c>
      <c r="F76" s="3463">
        <v>44286</v>
      </c>
      <c r="G76">
        <v>1</v>
      </c>
      <c r="H76">
        <v>178</v>
      </c>
      <c r="I76">
        <v>2.1</v>
      </c>
      <c r="J76">
        <v>1</v>
      </c>
      <c r="K76">
        <v>2.8</v>
      </c>
      <c r="L76">
        <v>5.9</v>
      </c>
      <c r="M76">
        <v>90</v>
      </c>
      <c r="N76" s="3464">
        <v>33642</v>
      </c>
      <c r="O76" s="3464">
        <v>16020</v>
      </c>
      <c r="P76" s="3464">
        <v>44856</v>
      </c>
      <c r="Q76" s="3464">
        <v>94518</v>
      </c>
    </row>
    <row r="77" spans="1:17">
      <c r="A77">
        <v>4</v>
      </c>
      <c r="B77">
        <v>4032</v>
      </c>
      <c r="C77" t="s">
        <v>3654</v>
      </c>
      <c r="D77" t="s">
        <v>3602</v>
      </c>
      <c r="E77" s="3463">
        <v>44409</v>
      </c>
      <c r="F77" s="3463">
        <v>45138</v>
      </c>
      <c r="G77">
        <v>2</v>
      </c>
      <c r="H77">
        <v>142.4</v>
      </c>
      <c r="I77">
        <v>10.199999999999999</v>
      </c>
      <c r="J77">
        <v>3</v>
      </c>
      <c r="K77">
        <v>2.8</v>
      </c>
      <c r="L77">
        <v>16</v>
      </c>
      <c r="M77">
        <v>90</v>
      </c>
      <c r="N77" s="3464">
        <v>130723</v>
      </c>
      <c r="O77" s="3464">
        <v>38448</v>
      </c>
      <c r="P77" s="3464">
        <v>35885</v>
      </c>
      <c r="Q77" s="3464">
        <v>205056</v>
      </c>
    </row>
    <row r="78" spans="1:17">
      <c r="A78">
        <v>4</v>
      </c>
      <c r="B78">
        <v>4033</v>
      </c>
      <c r="C78" t="s">
        <v>3655</v>
      </c>
      <c r="D78" t="s">
        <v>3656</v>
      </c>
      <c r="E78" s="3463">
        <v>44652</v>
      </c>
      <c r="F78" s="3463">
        <v>45382</v>
      </c>
      <c r="G78">
        <v>2</v>
      </c>
      <c r="H78">
        <v>451</v>
      </c>
      <c r="I78">
        <v>4.5</v>
      </c>
      <c r="J78">
        <v>3</v>
      </c>
      <c r="K78">
        <v>2.8</v>
      </c>
      <c r="L78">
        <v>10.3</v>
      </c>
      <c r="M78">
        <v>90</v>
      </c>
      <c r="N78" s="3464">
        <v>182655</v>
      </c>
      <c r="O78" s="3464">
        <v>121770</v>
      </c>
      <c r="P78" s="3464">
        <v>113652</v>
      </c>
      <c r="Q78" s="3464">
        <v>418077</v>
      </c>
    </row>
    <row r="79" spans="1:17">
      <c r="A79">
        <v>4</v>
      </c>
      <c r="B79">
        <v>4088</v>
      </c>
      <c r="C79" t="s">
        <v>3568</v>
      </c>
      <c r="G79">
        <v>0</v>
      </c>
      <c r="H79">
        <v>409.2</v>
      </c>
      <c r="L79" t="s">
        <v>3556</v>
      </c>
      <c r="N79" t="s">
        <v>3556</v>
      </c>
      <c r="O79" t="s">
        <v>3556</v>
      </c>
      <c r="P79" t="s">
        <v>3556</v>
      </c>
      <c r="Q79" t="s">
        <v>3556</v>
      </c>
    </row>
    <row r="80" spans="1:17">
      <c r="A80">
        <v>4</v>
      </c>
      <c r="B80">
        <v>4089</v>
      </c>
      <c r="C80" t="s">
        <v>3657</v>
      </c>
      <c r="D80" t="s">
        <v>3657</v>
      </c>
      <c r="G80">
        <v>0</v>
      </c>
      <c r="H80">
        <v>188.48</v>
      </c>
      <c r="I80">
        <v>0</v>
      </c>
      <c r="J80">
        <v>0</v>
      </c>
      <c r="K80">
        <v>2.8</v>
      </c>
      <c r="L80">
        <v>2.8</v>
      </c>
      <c r="M80">
        <v>90</v>
      </c>
      <c r="N80" t="s">
        <v>3556</v>
      </c>
      <c r="O80" t="s">
        <v>3556</v>
      </c>
      <c r="P80" s="3464">
        <v>47497</v>
      </c>
      <c r="Q80" s="3464">
        <v>47497</v>
      </c>
    </row>
    <row r="81" spans="1:17">
      <c r="A81">
        <v>5</v>
      </c>
      <c r="B81">
        <v>5001</v>
      </c>
      <c r="C81" t="s">
        <v>3658</v>
      </c>
      <c r="D81" t="s">
        <v>3659</v>
      </c>
      <c r="E81" s="3463">
        <v>44287</v>
      </c>
      <c r="F81" s="3463">
        <v>45382</v>
      </c>
      <c r="G81">
        <v>3</v>
      </c>
      <c r="H81">
        <v>113.1</v>
      </c>
      <c r="I81">
        <v>10.199999999999999</v>
      </c>
      <c r="J81">
        <v>1</v>
      </c>
      <c r="K81">
        <v>2.8</v>
      </c>
      <c r="L81">
        <v>14</v>
      </c>
      <c r="M81">
        <v>90</v>
      </c>
      <c r="N81" s="3464">
        <v>103826</v>
      </c>
      <c r="O81" s="3464">
        <v>10179</v>
      </c>
      <c r="P81" s="3464">
        <v>28501</v>
      </c>
      <c r="Q81" s="3464">
        <v>142506</v>
      </c>
    </row>
    <row r="82" spans="1:17">
      <c r="A82">
        <v>5</v>
      </c>
      <c r="B82">
        <v>5002</v>
      </c>
      <c r="C82" t="s">
        <v>3660</v>
      </c>
      <c r="D82" t="s">
        <v>3661</v>
      </c>
      <c r="E82" s="3463">
        <v>44392</v>
      </c>
      <c r="F82" s="3463">
        <v>45473</v>
      </c>
      <c r="G82">
        <v>3</v>
      </c>
      <c r="H82">
        <v>296</v>
      </c>
      <c r="I82">
        <v>7.2</v>
      </c>
      <c r="J82">
        <v>1</v>
      </c>
      <c r="K82">
        <v>2.8</v>
      </c>
      <c r="L82">
        <v>11</v>
      </c>
      <c r="M82">
        <v>90</v>
      </c>
      <c r="N82" s="3464">
        <v>191808</v>
      </c>
      <c r="O82" s="3464">
        <v>26640</v>
      </c>
      <c r="P82" s="3464">
        <v>74592</v>
      </c>
      <c r="Q82" s="3464">
        <v>293040</v>
      </c>
    </row>
    <row r="83" spans="1:17">
      <c r="A83">
        <v>5</v>
      </c>
      <c r="B83">
        <v>5003</v>
      </c>
      <c r="C83" t="s">
        <v>3662</v>
      </c>
      <c r="D83" t="s">
        <v>3663</v>
      </c>
      <c r="E83" s="3463">
        <v>44393</v>
      </c>
      <c r="G83">
        <v>-121.6</v>
      </c>
      <c r="H83">
        <v>113.9</v>
      </c>
      <c r="I83">
        <v>2.7</v>
      </c>
      <c r="J83">
        <v>1</v>
      </c>
      <c r="K83">
        <v>2.8</v>
      </c>
      <c r="L83">
        <v>6.5</v>
      </c>
      <c r="M83">
        <v>90</v>
      </c>
      <c r="N83" s="3464">
        <v>27678</v>
      </c>
      <c r="O83" s="3464">
        <v>10251</v>
      </c>
      <c r="P83" s="3464">
        <v>28703</v>
      </c>
      <c r="Q83" s="3464">
        <v>66632</v>
      </c>
    </row>
    <row r="84" spans="1:17">
      <c r="A84">
        <v>5</v>
      </c>
      <c r="B84">
        <v>5005</v>
      </c>
      <c r="C84" t="s">
        <v>3664</v>
      </c>
      <c r="D84" t="s">
        <v>3665</v>
      </c>
      <c r="E84" s="3463">
        <v>44409</v>
      </c>
      <c r="F84" s="3463">
        <v>45504</v>
      </c>
      <c r="G84">
        <v>3</v>
      </c>
      <c r="H84">
        <v>108.1</v>
      </c>
      <c r="I84">
        <v>5.7</v>
      </c>
      <c r="J84">
        <v>1</v>
      </c>
      <c r="K84">
        <v>2.8</v>
      </c>
      <c r="L84">
        <v>9.5</v>
      </c>
      <c r="M84">
        <v>90</v>
      </c>
      <c r="N84" s="3464">
        <v>55455</v>
      </c>
      <c r="O84" s="3464">
        <v>9729</v>
      </c>
      <c r="P84" s="3464">
        <v>27241</v>
      </c>
      <c r="Q84" s="3464">
        <v>92425</v>
      </c>
    </row>
    <row r="85" spans="1:17">
      <c r="A85">
        <v>5</v>
      </c>
      <c r="B85">
        <v>5006</v>
      </c>
      <c r="C85" t="s">
        <v>3666</v>
      </c>
      <c r="D85" t="s">
        <v>3667</v>
      </c>
      <c r="E85" s="3463">
        <v>44520</v>
      </c>
      <c r="F85" s="3463">
        <v>45747</v>
      </c>
      <c r="G85">
        <v>3.4</v>
      </c>
      <c r="H85">
        <v>509.28</v>
      </c>
      <c r="I85">
        <v>5.2</v>
      </c>
      <c r="J85">
        <v>1</v>
      </c>
      <c r="K85">
        <v>2.8</v>
      </c>
      <c r="L85">
        <v>9</v>
      </c>
      <c r="M85">
        <v>90</v>
      </c>
      <c r="N85" s="3464">
        <v>238343</v>
      </c>
      <c r="O85" s="3464">
        <v>45835</v>
      </c>
      <c r="P85" s="3464">
        <v>128339</v>
      </c>
      <c r="Q85" s="3464">
        <v>412517</v>
      </c>
    </row>
    <row r="86" spans="1:17">
      <c r="A86">
        <v>5</v>
      </c>
      <c r="B86">
        <v>5007</v>
      </c>
      <c r="C86" t="s">
        <v>3668</v>
      </c>
      <c r="D86" t="s">
        <v>3669</v>
      </c>
      <c r="E86" s="3463">
        <v>44287</v>
      </c>
      <c r="F86" s="3463">
        <v>45016</v>
      </c>
      <c r="G86">
        <v>2</v>
      </c>
      <c r="H86">
        <v>164.21</v>
      </c>
      <c r="I86">
        <v>11.7</v>
      </c>
      <c r="J86">
        <v>1</v>
      </c>
      <c r="K86">
        <v>2.8</v>
      </c>
      <c r="L86">
        <v>15.5</v>
      </c>
      <c r="M86">
        <v>90</v>
      </c>
      <c r="N86" s="3464">
        <v>172913</v>
      </c>
      <c r="O86" s="3464">
        <v>14779</v>
      </c>
      <c r="P86" s="3464">
        <v>41381</v>
      </c>
      <c r="Q86" s="3464">
        <v>229073</v>
      </c>
    </row>
    <row r="87" spans="1:17">
      <c r="A87">
        <v>5</v>
      </c>
      <c r="B87">
        <v>5009</v>
      </c>
      <c r="C87" t="s">
        <v>3670</v>
      </c>
      <c r="D87" t="s">
        <v>3671</v>
      </c>
      <c r="E87" s="3463">
        <v>43692</v>
      </c>
      <c r="F87" s="3463">
        <v>45565</v>
      </c>
      <c r="G87">
        <v>5.0999999999999996</v>
      </c>
      <c r="H87">
        <v>613.5</v>
      </c>
      <c r="I87">
        <v>3.22</v>
      </c>
      <c r="J87">
        <v>1</v>
      </c>
      <c r="K87">
        <v>2.8</v>
      </c>
      <c r="L87">
        <v>7.02</v>
      </c>
      <c r="M87">
        <v>90</v>
      </c>
      <c r="N87" s="3464">
        <v>177792</v>
      </c>
      <c r="O87" s="3464">
        <v>55215</v>
      </c>
      <c r="P87" s="3464">
        <v>154602</v>
      </c>
      <c r="Q87" s="3464">
        <v>387609</v>
      </c>
    </row>
    <row r="88" spans="1:17">
      <c r="A88">
        <v>5</v>
      </c>
      <c r="B88">
        <v>5012</v>
      </c>
      <c r="C88" t="s">
        <v>3672</v>
      </c>
      <c r="D88" t="s">
        <v>3673</v>
      </c>
      <c r="E88" s="3463">
        <v>43070</v>
      </c>
      <c r="F88" s="3463">
        <v>45016</v>
      </c>
      <c r="G88">
        <v>5.3</v>
      </c>
      <c r="H88">
        <v>233.8</v>
      </c>
      <c r="I88">
        <v>10.78</v>
      </c>
      <c r="J88">
        <v>1</v>
      </c>
      <c r="K88">
        <v>2.8</v>
      </c>
      <c r="L88">
        <v>14.58</v>
      </c>
      <c r="M88">
        <v>90</v>
      </c>
      <c r="N88" s="3464">
        <v>226833</v>
      </c>
      <c r="O88" s="3464">
        <v>21042</v>
      </c>
      <c r="P88" s="3464">
        <v>58918</v>
      </c>
      <c r="Q88" s="3464">
        <v>306793</v>
      </c>
    </row>
    <row r="89" spans="1:17">
      <c r="A89">
        <v>5</v>
      </c>
      <c r="B89">
        <v>5016</v>
      </c>
      <c r="C89" t="s">
        <v>3674</v>
      </c>
      <c r="D89" t="s">
        <v>3675</v>
      </c>
      <c r="E89" s="3463">
        <v>44857</v>
      </c>
      <c r="F89" s="3463">
        <v>46691</v>
      </c>
      <c r="G89">
        <v>5</v>
      </c>
      <c r="H89">
        <v>201</v>
      </c>
      <c r="I89">
        <v>6.2</v>
      </c>
      <c r="J89">
        <v>1</v>
      </c>
      <c r="K89">
        <v>2.8</v>
      </c>
      <c r="L89">
        <v>10</v>
      </c>
      <c r="M89">
        <v>90</v>
      </c>
      <c r="N89" s="3464">
        <v>112158</v>
      </c>
      <c r="O89" s="3464">
        <v>18090</v>
      </c>
      <c r="P89" s="3464">
        <v>50652</v>
      </c>
      <c r="Q89" s="3464">
        <v>180900</v>
      </c>
    </row>
    <row r="90" spans="1:17">
      <c r="A90">
        <v>5</v>
      </c>
      <c r="B90">
        <v>5018</v>
      </c>
      <c r="C90" t="s">
        <v>3676</v>
      </c>
      <c r="D90" t="s">
        <v>3677</v>
      </c>
      <c r="E90" s="3463">
        <v>44185</v>
      </c>
      <c r="F90" s="3463">
        <v>45291</v>
      </c>
      <c r="G90">
        <v>3</v>
      </c>
      <c r="H90">
        <v>149.80000000000001</v>
      </c>
      <c r="I90">
        <v>8.1999999999999993</v>
      </c>
      <c r="J90">
        <v>1</v>
      </c>
      <c r="K90">
        <v>2.8</v>
      </c>
      <c r="L90">
        <v>12</v>
      </c>
      <c r="M90">
        <v>90</v>
      </c>
      <c r="N90" s="3464">
        <v>110552</v>
      </c>
      <c r="O90" s="3464">
        <v>13482</v>
      </c>
      <c r="P90" s="3464">
        <v>37750</v>
      </c>
      <c r="Q90" s="3464">
        <v>161784</v>
      </c>
    </row>
    <row r="91" spans="1:17">
      <c r="A91">
        <v>5</v>
      </c>
      <c r="B91">
        <v>5019</v>
      </c>
      <c r="C91" t="s">
        <v>3678</v>
      </c>
      <c r="D91" t="s">
        <v>3679</v>
      </c>
      <c r="E91" s="3463">
        <v>44180</v>
      </c>
      <c r="F91" s="3463">
        <v>45291</v>
      </c>
      <c r="G91">
        <v>3</v>
      </c>
      <c r="H91">
        <v>234.08</v>
      </c>
      <c r="I91">
        <v>6.2</v>
      </c>
      <c r="J91">
        <v>1</v>
      </c>
      <c r="K91">
        <v>2.8</v>
      </c>
      <c r="L91">
        <v>10</v>
      </c>
      <c r="M91">
        <v>90</v>
      </c>
      <c r="N91" s="3464">
        <v>130617</v>
      </c>
      <c r="O91" s="3464">
        <v>21067</v>
      </c>
      <c r="P91" s="3464">
        <v>58988</v>
      </c>
      <c r="Q91" s="3464">
        <v>210672</v>
      </c>
    </row>
    <row r="92" spans="1:17">
      <c r="A92">
        <v>5</v>
      </c>
      <c r="B92">
        <v>5021</v>
      </c>
      <c r="C92" t="s">
        <v>3680</v>
      </c>
      <c r="D92" t="s">
        <v>3681</v>
      </c>
      <c r="E92" s="3463">
        <v>42826</v>
      </c>
      <c r="F92" s="3463">
        <v>45016</v>
      </c>
      <c r="G92">
        <v>6</v>
      </c>
      <c r="H92">
        <v>642.1</v>
      </c>
      <c r="I92">
        <v>3.7</v>
      </c>
      <c r="J92">
        <v>1</v>
      </c>
      <c r="K92">
        <v>2.8</v>
      </c>
      <c r="L92">
        <v>7.5</v>
      </c>
      <c r="M92">
        <v>90</v>
      </c>
      <c r="N92" s="3464">
        <v>213819</v>
      </c>
      <c r="O92" s="3464">
        <v>57789</v>
      </c>
      <c r="P92" s="3464">
        <v>161809</v>
      </c>
      <c r="Q92" s="3464">
        <v>433417</v>
      </c>
    </row>
    <row r="93" spans="1:17">
      <c r="A93">
        <v>5</v>
      </c>
      <c r="B93">
        <v>5027</v>
      </c>
      <c r="C93" t="s">
        <v>3682</v>
      </c>
      <c r="D93" t="s">
        <v>3683</v>
      </c>
      <c r="E93" s="3463">
        <v>42826</v>
      </c>
      <c r="F93" s="3463">
        <v>45016</v>
      </c>
      <c r="G93">
        <v>6</v>
      </c>
      <c r="H93">
        <v>193.4</v>
      </c>
      <c r="I93">
        <v>3.7</v>
      </c>
      <c r="J93">
        <v>1</v>
      </c>
      <c r="K93">
        <v>2.8</v>
      </c>
      <c r="L93">
        <v>7.5</v>
      </c>
      <c r="M93">
        <v>90</v>
      </c>
      <c r="N93" s="3464">
        <v>64402</v>
      </c>
      <c r="O93" s="3464">
        <v>17406</v>
      </c>
      <c r="P93" s="3464">
        <v>48737</v>
      </c>
      <c r="Q93" s="3464">
        <v>130545</v>
      </c>
    </row>
    <row r="94" spans="1:17">
      <c r="A94">
        <v>5</v>
      </c>
      <c r="B94">
        <v>5031</v>
      </c>
      <c r="C94" t="s">
        <v>3684</v>
      </c>
      <c r="D94" t="s">
        <v>3685</v>
      </c>
      <c r="E94" s="3463">
        <v>44306</v>
      </c>
      <c r="F94" s="3463">
        <v>45382</v>
      </c>
      <c r="G94">
        <v>2.9</v>
      </c>
      <c r="H94">
        <v>259.83999999999997</v>
      </c>
      <c r="I94">
        <v>7.2</v>
      </c>
      <c r="J94">
        <v>1</v>
      </c>
      <c r="K94">
        <v>2.8</v>
      </c>
      <c r="L94">
        <v>11</v>
      </c>
      <c r="M94">
        <v>90</v>
      </c>
      <c r="N94" s="3464">
        <v>168376</v>
      </c>
      <c r="O94" s="3464">
        <v>23386</v>
      </c>
      <c r="P94" s="3464">
        <v>65480</v>
      </c>
      <c r="Q94" s="3464">
        <v>257242</v>
      </c>
    </row>
    <row r="95" spans="1:17">
      <c r="A95">
        <v>6</v>
      </c>
      <c r="B95">
        <v>6001</v>
      </c>
      <c r="C95" t="s">
        <v>3568</v>
      </c>
      <c r="G95">
        <v>0</v>
      </c>
      <c r="H95">
        <v>603.20000000000005</v>
      </c>
      <c r="L95" t="s">
        <v>3556</v>
      </c>
      <c r="N95" t="s">
        <v>3556</v>
      </c>
      <c r="O95" t="s">
        <v>3556</v>
      </c>
      <c r="P95" t="s">
        <v>3556</v>
      </c>
      <c r="Q95" t="s">
        <v>3556</v>
      </c>
    </row>
    <row r="96" spans="1:17">
      <c r="A96">
        <v>6</v>
      </c>
      <c r="B96">
        <v>6003</v>
      </c>
      <c r="C96" t="s">
        <v>3686</v>
      </c>
      <c r="G96">
        <v>0</v>
      </c>
      <c r="H96">
        <v>222.24</v>
      </c>
      <c r="I96">
        <v>0</v>
      </c>
      <c r="J96">
        <v>0</v>
      </c>
      <c r="K96">
        <v>2.8</v>
      </c>
      <c r="L96">
        <v>2.8</v>
      </c>
      <c r="M96">
        <v>90</v>
      </c>
      <c r="N96" t="s">
        <v>3556</v>
      </c>
      <c r="O96" t="s">
        <v>3556</v>
      </c>
      <c r="P96" s="3464">
        <v>56004</v>
      </c>
      <c r="Q96" s="3464">
        <v>56004</v>
      </c>
    </row>
    <row r="97" spans="1:17">
      <c r="A97">
        <v>6</v>
      </c>
      <c r="B97">
        <v>6005</v>
      </c>
      <c r="C97" t="s">
        <v>3568</v>
      </c>
      <c r="G97">
        <v>0</v>
      </c>
      <c r="H97">
        <v>280.95999999999998</v>
      </c>
      <c r="L97" t="s">
        <v>3556</v>
      </c>
      <c r="N97" t="s">
        <v>3556</v>
      </c>
      <c r="O97" t="s">
        <v>3556</v>
      </c>
      <c r="P97" t="s">
        <v>3556</v>
      </c>
      <c r="Q97" t="s">
        <v>3556</v>
      </c>
    </row>
    <row r="98" spans="1:17">
      <c r="A98">
        <v>6</v>
      </c>
      <c r="B98">
        <v>6006</v>
      </c>
      <c r="C98" t="s">
        <v>3687</v>
      </c>
      <c r="D98" t="s">
        <v>3688</v>
      </c>
      <c r="E98" s="3463">
        <v>44793</v>
      </c>
      <c r="F98" s="3463">
        <v>45504</v>
      </c>
      <c r="G98">
        <v>1.9</v>
      </c>
      <c r="H98">
        <v>572.96</v>
      </c>
      <c r="I98">
        <v>2.94</v>
      </c>
      <c r="K98">
        <v>2.8</v>
      </c>
      <c r="L98">
        <v>5.74</v>
      </c>
      <c r="M98">
        <v>90</v>
      </c>
      <c r="N98" s="3464">
        <v>151605</v>
      </c>
      <c r="O98" t="s">
        <v>3556</v>
      </c>
      <c r="P98" s="3464">
        <v>144386</v>
      </c>
      <c r="Q98" s="3464">
        <v>295991</v>
      </c>
    </row>
    <row r="99" spans="1:17">
      <c r="A99">
        <v>6</v>
      </c>
      <c r="B99">
        <v>6007</v>
      </c>
      <c r="C99" t="s">
        <v>3568</v>
      </c>
      <c r="G99">
        <v>0</v>
      </c>
      <c r="H99">
        <v>424.64</v>
      </c>
      <c r="L99" t="s">
        <v>3556</v>
      </c>
      <c r="N99" t="s">
        <v>3556</v>
      </c>
      <c r="O99" t="s">
        <v>3556</v>
      </c>
      <c r="P99" t="s">
        <v>3556</v>
      </c>
      <c r="Q99" t="s">
        <v>3556</v>
      </c>
    </row>
    <row r="100" spans="1:17">
      <c r="A100">
        <v>6</v>
      </c>
      <c r="B100">
        <v>6008</v>
      </c>
      <c r="C100" t="s">
        <v>3689</v>
      </c>
      <c r="D100" t="s">
        <v>3690</v>
      </c>
      <c r="E100" s="3463">
        <v>42213</v>
      </c>
      <c r="F100" s="3463">
        <v>44404</v>
      </c>
      <c r="G100">
        <v>6</v>
      </c>
      <c r="H100">
        <v>1265.2</v>
      </c>
      <c r="I100">
        <v>5.2</v>
      </c>
      <c r="J100">
        <v>0</v>
      </c>
      <c r="K100">
        <v>2.8</v>
      </c>
      <c r="L100">
        <v>8</v>
      </c>
      <c r="M100">
        <v>90</v>
      </c>
      <c r="N100" s="3464">
        <v>592114</v>
      </c>
      <c r="O100" t="s">
        <v>3556</v>
      </c>
      <c r="P100" s="3464">
        <v>318830</v>
      </c>
      <c r="Q100" s="3464">
        <v>910944</v>
      </c>
    </row>
    <row r="101" spans="1:17">
      <c r="A101">
        <v>6</v>
      </c>
      <c r="B101">
        <v>6009</v>
      </c>
      <c r="C101" t="s">
        <v>3691</v>
      </c>
      <c r="D101" t="s">
        <v>3692</v>
      </c>
      <c r="E101" s="3463">
        <v>44652</v>
      </c>
      <c r="F101" s="3463">
        <v>45382</v>
      </c>
      <c r="G101">
        <v>2</v>
      </c>
      <c r="H101">
        <v>340.8</v>
      </c>
      <c r="I101">
        <v>4.7</v>
      </c>
      <c r="J101">
        <v>1</v>
      </c>
      <c r="K101">
        <v>2.8</v>
      </c>
      <c r="L101">
        <v>8.5</v>
      </c>
      <c r="M101">
        <v>90</v>
      </c>
      <c r="N101" s="3464">
        <v>144158</v>
      </c>
      <c r="O101" s="3464">
        <v>30672</v>
      </c>
      <c r="P101" s="3464">
        <v>85882</v>
      </c>
      <c r="Q101" s="3464">
        <v>260712</v>
      </c>
    </row>
    <row r="102" spans="1:17">
      <c r="A102" t="s">
        <v>3693</v>
      </c>
      <c r="B102" t="s">
        <v>3694</v>
      </c>
      <c r="C102" t="s">
        <v>3695</v>
      </c>
      <c r="G102">
        <v>0</v>
      </c>
      <c r="H102">
        <v>700</v>
      </c>
      <c r="I102">
        <v>0</v>
      </c>
      <c r="J102">
        <v>0</v>
      </c>
      <c r="K102">
        <v>2.8</v>
      </c>
      <c r="L102">
        <v>2.8</v>
      </c>
      <c r="M102">
        <v>90</v>
      </c>
      <c r="N102" t="s">
        <v>3556</v>
      </c>
      <c r="O102" t="s">
        <v>3556</v>
      </c>
      <c r="P102" s="3464">
        <v>176400</v>
      </c>
      <c r="Q102" s="3464">
        <v>176400</v>
      </c>
    </row>
    <row r="103" spans="1:17">
      <c r="A103" t="s">
        <v>3693</v>
      </c>
      <c r="B103" t="s">
        <v>3696</v>
      </c>
      <c r="C103" t="s">
        <v>3697</v>
      </c>
      <c r="D103" t="s">
        <v>3698</v>
      </c>
      <c r="E103" s="3463">
        <v>43497</v>
      </c>
      <c r="F103" s="3463">
        <v>44286</v>
      </c>
      <c r="G103">
        <v>2.2000000000000002</v>
      </c>
      <c r="H103">
        <v>360</v>
      </c>
      <c r="I103">
        <v>3.2</v>
      </c>
      <c r="J103">
        <v>2</v>
      </c>
      <c r="K103">
        <v>2.8</v>
      </c>
      <c r="L103">
        <v>8</v>
      </c>
      <c r="M103">
        <v>90</v>
      </c>
      <c r="N103" s="3464">
        <v>103680</v>
      </c>
      <c r="O103" s="3464">
        <v>64800</v>
      </c>
      <c r="P103" s="3464">
        <v>90720</v>
      </c>
      <c r="Q103" s="3464">
        <v>259200</v>
      </c>
    </row>
    <row r="104" spans="1:17">
      <c r="A104" t="s">
        <v>3693</v>
      </c>
      <c r="B104" t="s">
        <v>3699</v>
      </c>
      <c r="C104" t="s">
        <v>3700</v>
      </c>
      <c r="D104" t="s">
        <v>3701</v>
      </c>
      <c r="E104" s="3463">
        <v>44652</v>
      </c>
      <c r="F104" s="3463">
        <v>45382</v>
      </c>
      <c r="G104">
        <v>2</v>
      </c>
      <c r="H104">
        <v>105.4</v>
      </c>
      <c r="I104">
        <v>4.26</v>
      </c>
      <c r="J104">
        <v>2</v>
      </c>
      <c r="K104">
        <v>2.8</v>
      </c>
      <c r="L104">
        <v>9.06</v>
      </c>
      <c r="M104">
        <v>90</v>
      </c>
      <c r="N104" s="3464">
        <v>40410</v>
      </c>
      <c r="O104" s="3464">
        <v>18972</v>
      </c>
      <c r="P104" s="3464">
        <v>26561</v>
      </c>
      <c r="Q104" s="3464">
        <v>85943</v>
      </c>
    </row>
    <row r="105" spans="1:17">
      <c r="A105" t="s">
        <v>3693</v>
      </c>
      <c r="B105" t="s">
        <v>3702</v>
      </c>
      <c r="C105" t="s">
        <v>3703</v>
      </c>
      <c r="D105" t="s">
        <v>3704</v>
      </c>
      <c r="E105" s="3463">
        <v>43393</v>
      </c>
      <c r="F105" s="3463">
        <v>45199</v>
      </c>
      <c r="G105">
        <v>4.9000000000000004</v>
      </c>
      <c r="H105">
        <v>54</v>
      </c>
      <c r="I105">
        <v>7.3</v>
      </c>
      <c r="J105">
        <v>2</v>
      </c>
      <c r="K105">
        <v>2.8</v>
      </c>
      <c r="L105">
        <v>12.1</v>
      </c>
      <c r="M105">
        <v>90</v>
      </c>
      <c r="N105" s="3464">
        <v>35478</v>
      </c>
      <c r="O105" s="3464">
        <v>9720</v>
      </c>
      <c r="P105" s="3464">
        <v>13608</v>
      </c>
      <c r="Q105" s="3464">
        <v>58806</v>
      </c>
    </row>
    <row r="106" spans="1:17">
      <c r="A106" t="s">
        <v>3693</v>
      </c>
      <c r="B106" t="s">
        <v>3705</v>
      </c>
      <c r="C106" t="s">
        <v>3706</v>
      </c>
      <c r="D106" t="s">
        <v>3707</v>
      </c>
      <c r="E106" s="3463">
        <v>44835</v>
      </c>
      <c r="F106" s="3463">
        <v>45565</v>
      </c>
      <c r="G106">
        <v>2</v>
      </c>
      <c r="H106">
        <v>225.28</v>
      </c>
      <c r="I106">
        <v>4.2</v>
      </c>
      <c r="J106">
        <v>2</v>
      </c>
      <c r="K106">
        <v>2.8</v>
      </c>
      <c r="L106">
        <v>9</v>
      </c>
      <c r="M106">
        <v>90</v>
      </c>
      <c r="N106" s="3464">
        <v>85156</v>
      </c>
      <c r="O106" s="3464">
        <v>40550</v>
      </c>
      <c r="P106" s="3464">
        <v>56771</v>
      </c>
      <c r="Q106" s="3464">
        <v>182477</v>
      </c>
    </row>
    <row r="107" spans="1:17">
      <c r="A107" t="s">
        <v>3693</v>
      </c>
      <c r="B107" t="s">
        <v>3708</v>
      </c>
      <c r="C107" t="s">
        <v>3709</v>
      </c>
      <c r="D107" t="s">
        <v>3710</v>
      </c>
      <c r="E107" s="3463">
        <v>44835</v>
      </c>
      <c r="F107" s="3463">
        <v>45565</v>
      </c>
      <c r="G107">
        <v>2</v>
      </c>
      <c r="H107">
        <v>146.9</v>
      </c>
      <c r="I107">
        <v>3.82</v>
      </c>
      <c r="J107">
        <v>2</v>
      </c>
      <c r="K107">
        <v>2.8</v>
      </c>
      <c r="L107">
        <v>8.6199999999999992</v>
      </c>
      <c r="M107">
        <v>90</v>
      </c>
      <c r="N107" s="3464">
        <v>50504</v>
      </c>
      <c r="O107" s="3464">
        <v>26442</v>
      </c>
      <c r="P107" s="3464">
        <v>37019</v>
      </c>
      <c r="Q107" s="3464">
        <v>113965</v>
      </c>
    </row>
    <row r="108" spans="1:17">
      <c r="A108" t="s">
        <v>3693</v>
      </c>
      <c r="B108" t="s">
        <v>3711</v>
      </c>
      <c r="C108" t="s">
        <v>3712</v>
      </c>
      <c r="D108" t="s">
        <v>3713</v>
      </c>
      <c r="E108" s="3463">
        <v>44105</v>
      </c>
      <c r="F108" s="3463">
        <v>44834</v>
      </c>
      <c r="G108">
        <v>2</v>
      </c>
      <c r="H108">
        <v>160.1</v>
      </c>
      <c r="I108">
        <v>6.23</v>
      </c>
      <c r="J108">
        <v>2</v>
      </c>
      <c r="K108">
        <v>2.8</v>
      </c>
      <c r="L108">
        <v>11.03</v>
      </c>
      <c r="M108">
        <v>90</v>
      </c>
      <c r="N108" s="3464">
        <v>89768</v>
      </c>
      <c r="O108" s="3464">
        <v>28818</v>
      </c>
      <c r="P108" s="3464">
        <v>40345</v>
      </c>
      <c r="Q108" s="3464">
        <v>158931</v>
      </c>
    </row>
    <row r="109" spans="1:17">
      <c r="A109" t="s">
        <v>3693</v>
      </c>
      <c r="B109" t="s">
        <v>3714</v>
      </c>
      <c r="C109" t="s">
        <v>3715</v>
      </c>
      <c r="D109" t="s">
        <v>3716</v>
      </c>
      <c r="E109" s="3463">
        <v>44105</v>
      </c>
      <c r="F109" s="3463">
        <v>44834</v>
      </c>
      <c r="G109">
        <v>2</v>
      </c>
      <c r="H109">
        <v>74.2</v>
      </c>
      <c r="I109">
        <v>6.23</v>
      </c>
      <c r="J109">
        <v>2</v>
      </c>
      <c r="K109">
        <v>2.8</v>
      </c>
      <c r="L109">
        <v>11.03</v>
      </c>
      <c r="M109">
        <v>90</v>
      </c>
      <c r="N109" s="3464">
        <v>41604</v>
      </c>
      <c r="O109" s="3464">
        <v>13356</v>
      </c>
      <c r="P109" s="3464">
        <v>18698</v>
      </c>
      <c r="Q109" s="3464">
        <v>73658</v>
      </c>
    </row>
    <row r="110" spans="1:17">
      <c r="A110" t="s">
        <v>3693</v>
      </c>
      <c r="B110" t="s">
        <v>3717</v>
      </c>
      <c r="C110" t="s">
        <v>3718</v>
      </c>
      <c r="D110" t="s">
        <v>3719</v>
      </c>
      <c r="E110" s="3463">
        <v>44105</v>
      </c>
      <c r="F110" s="3463">
        <v>44834</v>
      </c>
      <c r="G110">
        <v>2</v>
      </c>
      <c r="H110">
        <v>100.9</v>
      </c>
      <c r="I110">
        <v>5.7</v>
      </c>
      <c r="J110">
        <v>2</v>
      </c>
      <c r="K110">
        <v>2.8</v>
      </c>
      <c r="L110">
        <v>10.5</v>
      </c>
      <c r="M110">
        <v>90</v>
      </c>
      <c r="N110" s="3464">
        <v>51762</v>
      </c>
      <c r="O110" s="3464">
        <v>18162</v>
      </c>
      <c r="P110" s="3464">
        <v>25427</v>
      </c>
      <c r="Q110" s="3464">
        <v>95351</v>
      </c>
    </row>
    <row r="111" spans="1:17">
      <c r="A111" t="s">
        <v>3693</v>
      </c>
      <c r="B111" t="s">
        <v>3720</v>
      </c>
      <c r="C111" t="s">
        <v>3721</v>
      </c>
      <c r="D111" t="s">
        <v>3722</v>
      </c>
      <c r="E111" s="3463">
        <v>43393</v>
      </c>
      <c r="F111" s="3463">
        <v>44469</v>
      </c>
      <c r="G111">
        <v>2.9</v>
      </c>
      <c r="H111">
        <v>229.9</v>
      </c>
      <c r="I111">
        <v>4.2</v>
      </c>
      <c r="J111">
        <v>2</v>
      </c>
      <c r="K111">
        <v>2.8</v>
      </c>
      <c r="L111">
        <v>9</v>
      </c>
      <c r="M111">
        <v>90</v>
      </c>
      <c r="N111" s="3464">
        <v>86902</v>
      </c>
      <c r="O111" s="3464">
        <v>41382</v>
      </c>
      <c r="P111" s="3464">
        <v>57935</v>
      </c>
      <c r="Q111" s="3464">
        <v>186219</v>
      </c>
    </row>
    <row r="112" spans="1:17">
      <c r="A112" t="s">
        <v>3693</v>
      </c>
      <c r="B112" t="s">
        <v>3723</v>
      </c>
      <c r="C112" t="s">
        <v>3724</v>
      </c>
      <c r="D112" t="s">
        <v>3725</v>
      </c>
      <c r="E112" s="3463">
        <v>44835</v>
      </c>
      <c r="F112" s="3463">
        <v>45565</v>
      </c>
      <c r="G112">
        <v>2</v>
      </c>
      <c r="H112">
        <v>91.8</v>
      </c>
      <c r="I112">
        <v>6.23</v>
      </c>
      <c r="J112">
        <v>2</v>
      </c>
      <c r="K112">
        <v>2.8</v>
      </c>
      <c r="L112">
        <v>11.03</v>
      </c>
      <c r="M112">
        <v>90</v>
      </c>
      <c r="N112" s="3464">
        <v>51472</v>
      </c>
      <c r="O112" s="3464">
        <v>16524</v>
      </c>
      <c r="P112" s="3464">
        <v>23134</v>
      </c>
      <c r="Q112" s="3464">
        <v>91130</v>
      </c>
    </row>
    <row r="113" spans="1:17">
      <c r="A113" t="s">
        <v>3693</v>
      </c>
      <c r="B113" t="s">
        <v>3726</v>
      </c>
      <c r="C113" t="s">
        <v>3727</v>
      </c>
      <c r="D113" t="s">
        <v>3728</v>
      </c>
      <c r="E113" s="3463">
        <v>44105</v>
      </c>
      <c r="F113" s="3463">
        <v>44834</v>
      </c>
      <c r="G113">
        <v>2</v>
      </c>
      <c r="H113">
        <v>54.5</v>
      </c>
      <c r="I113">
        <v>5.2</v>
      </c>
      <c r="J113">
        <v>2</v>
      </c>
      <c r="K113">
        <v>2.8</v>
      </c>
      <c r="L113">
        <v>10</v>
      </c>
      <c r="M113">
        <v>90</v>
      </c>
      <c r="N113" s="3464">
        <v>25506</v>
      </c>
      <c r="O113" s="3464">
        <v>9810</v>
      </c>
      <c r="P113" s="3464">
        <v>13734</v>
      </c>
      <c r="Q113" s="3464">
        <v>49050</v>
      </c>
    </row>
    <row r="114" spans="1:17">
      <c r="A114" t="s">
        <v>3693</v>
      </c>
      <c r="B114" t="s">
        <v>3729</v>
      </c>
      <c r="C114" t="s">
        <v>3730</v>
      </c>
      <c r="D114" t="s">
        <v>3731</v>
      </c>
      <c r="E114" s="3463">
        <v>44105</v>
      </c>
      <c r="F114" s="3463">
        <v>44834</v>
      </c>
      <c r="G114">
        <v>2</v>
      </c>
      <c r="H114">
        <v>170.8</v>
      </c>
      <c r="I114">
        <v>5.7</v>
      </c>
      <c r="J114">
        <v>2</v>
      </c>
      <c r="K114">
        <v>2.8</v>
      </c>
      <c r="L114">
        <v>10.5</v>
      </c>
      <c r="M114">
        <v>90</v>
      </c>
      <c r="N114" s="3464">
        <v>87620</v>
      </c>
      <c r="O114" s="3464">
        <v>30744</v>
      </c>
      <c r="P114" s="3464">
        <v>43042</v>
      </c>
      <c r="Q114" s="3464">
        <v>161406</v>
      </c>
    </row>
    <row r="115" spans="1:17">
      <c r="A115" t="s">
        <v>3693</v>
      </c>
      <c r="B115" t="s">
        <v>3732</v>
      </c>
      <c r="C115" t="s">
        <v>3730</v>
      </c>
      <c r="D115" t="s">
        <v>3731</v>
      </c>
      <c r="E115" s="3463">
        <v>44835</v>
      </c>
      <c r="F115" s="3463">
        <v>45565</v>
      </c>
      <c r="G115">
        <v>2</v>
      </c>
      <c r="H115">
        <v>82.2</v>
      </c>
      <c r="I115">
        <v>3.7</v>
      </c>
      <c r="J115">
        <v>2</v>
      </c>
      <c r="K115">
        <v>2.8</v>
      </c>
      <c r="L115">
        <v>8.5</v>
      </c>
      <c r="M115">
        <v>90</v>
      </c>
      <c r="N115" s="3464">
        <v>27373</v>
      </c>
      <c r="O115" s="3464">
        <v>14796</v>
      </c>
      <c r="P115" s="3464">
        <v>20714</v>
      </c>
      <c r="Q115" s="3464">
        <v>62883</v>
      </c>
    </row>
    <row r="116" spans="1:17">
      <c r="A116" t="s">
        <v>3693</v>
      </c>
      <c r="B116" t="s">
        <v>3733</v>
      </c>
      <c r="C116" t="s">
        <v>3734</v>
      </c>
      <c r="D116" t="s">
        <v>3735</v>
      </c>
      <c r="E116" s="3463">
        <v>44652</v>
      </c>
      <c r="F116" s="3463">
        <v>45382</v>
      </c>
      <c r="G116">
        <v>2</v>
      </c>
      <c r="H116">
        <v>114.4</v>
      </c>
      <c r="I116">
        <v>7.2</v>
      </c>
      <c r="J116">
        <v>2</v>
      </c>
      <c r="K116">
        <v>2.8</v>
      </c>
      <c r="L116">
        <v>12</v>
      </c>
      <c r="M116">
        <v>90</v>
      </c>
      <c r="N116" s="3464">
        <v>74131</v>
      </c>
      <c r="O116" s="3464">
        <v>20592</v>
      </c>
      <c r="P116" s="3464">
        <v>28829</v>
      </c>
      <c r="Q116" s="3464">
        <v>123552</v>
      </c>
    </row>
    <row r="117" spans="1:17">
      <c r="A117" t="s">
        <v>3693</v>
      </c>
      <c r="B117" t="s">
        <v>3736</v>
      </c>
      <c r="C117" t="s">
        <v>3737</v>
      </c>
      <c r="D117" t="s">
        <v>3738</v>
      </c>
      <c r="E117" s="3463">
        <v>44835</v>
      </c>
      <c r="F117" s="3463">
        <v>45565</v>
      </c>
      <c r="G117">
        <v>2</v>
      </c>
      <c r="H117">
        <v>37.9</v>
      </c>
      <c r="I117">
        <v>6.23</v>
      </c>
      <c r="J117">
        <v>2</v>
      </c>
      <c r="K117">
        <v>2.8</v>
      </c>
      <c r="L117">
        <v>11.03</v>
      </c>
      <c r="M117">
        <v>90</v>
      </c>
      <c r="N117" s="3464">
        <v>21251</v>
      </c>
      <c r="O117" s="3464">
        <v>6822</v>
      </c>
      <c r="P117" s="3464">
        <v>9551</v>
      </c>
      <c r="Q117" s="3464">
        <v>37624</v>
      </c>
    </row>
    <row r="118" spans="1:17">
      <c r="A118" t="s">
        <v>3693</v>
      </c>
      <c r="B118" t="s">
        <v>3739</v>
      </c>
      <c r="C118" t="s">
        <v>3740</v>
      </c>
      <c r="D118" t="s">
        <v>3741</v>
      </c>
      <c r="E118" s="3463">
        <v>44835</v>
      </c>
      <c r="F118" s="3463">
        <v>45565</v>
      </c>
      <c r="G118">
        <v>2</v>
      </c>
      <c r="H118">
        <v>37.9</v>
      </c>
      <c r="I118">
        <v>6.23</v>
      </c>
      <c r="J118">
        <v>2</v>
      </c>
      <c r="K118">
        <v>2.8</v>
      </c>
      <c r="L118">
        <v>11.03</v>
      </c>
      <c r="M118">
        <v>90</v>
      </c>
      <c r="N118" s="3464">
        <v>21251</v>
      </c>
      <c r="O118" s="3464">
        <v>6822</v>
      </c>
      <c r="P118" s="3464">
        <v>9551</v>
      </c>
      <c r="Q118" s="3464">
        <v>37624</v>
      </c>
    </row>
    <row r="119" spans="1:17">
      <c r="A119" t="s">
        <v>3693</v>
      </c>
      <c r="B119" t="s">
        <v>3742</v>
      </c>
      <c r="C119" t="s">
        <v>3743</v>
      </c>
      <c r="D119" t="s">
        <v>3744</v>
      </c>
      <c r="E119" s="3463">
        <v>44835</v>
      </c>
      <c r="F119" s="3463">
        <v>45565</v>
      </c>
      <c r="G119">
        <v>2</v>
      </c>
      <c r="H119">
        <v>22.6</v>
      </c>
      <c r="I119">
        <v>8.6999999999999993</v>
      </c>
      <c r="J119">
        <v>2</v>
      </c>
      <c r="K119">
        <v>2.8</v>
      </c>
      <c r="L119">
        <v>13.5</v>
      </c>
      <c r="M119">
        <v>90</v>
      </c>
      <c r="N119" s="3464">
        <v>17696</v>
      </c>
      <c r="O119" s="3464">
        <v>4068</v>
      </c>
      <c r="P119" s="3464">
        <v>5695</v>
      </c>
      <c r="Q119" s="3464">
        <v>27459</v>
      </c>
    </row>
    <row r="120" spans="1:17">
      <c r="A120" t="s">
        <v>3693</v>
      </c>
      <c r="B120" t="s">
        <v>3745</v>
      </c>
      <c r="C120" t="s">
        <v>3746</v>
      </c>
      <c r="D120" t="s">
        <v>3747</v>
      </c>
      <c r="E120" s="3463">
        <v>44287</v>
      </c>
      <c r="F120" s="3463">
        <v>45016</v>
      </c>
      <c r="G120">
        <v>2</v>
      </c>
      <c r="H120">
        <v>28.7</v>
      </c>
      <c r="I120">
        <v>8.4</v>
      </c>
      <c r="J120">
        <v>2</v>
      </c>
      <c r="K120">
        <v>2.8</v>
      </c>
      <c r="L120">
        <v>13.2</v>
      </c>
      <c r="M120">
        <v>90</v>
      </c>
      <c r="N120" s="3464">
        <v>21697</v>
      </c>
      <c r="O120" s="3464">
        <v>5166</v>
      </c>
      <c r="P120" s="3464">
        <v>7232</v>
      </c>
      <c r="Q120" s="3464">
        <v>34095</v>
      </c>
    </row>
    <row r="121" spans="1:17">
      <c r="A121" t="s">
        <v>3693</v>
      </c>
      <c r="B121" t="s">
        <v>3748</v>
      </c>
      <c r="C121" t="s">
        <v>3749</v>
      </c>
      <c r="D121" t="s">
        <v>3683</v>
      </c>
      <c r="E121" s="3463">
        <v>44058</v>
      </c>
      <c r="F121" s="3463">
        <v>45199</v>
      </c>
      <c r="G121">
        <v>3.1</v>
      </c>
      <c r="H121">
        <v>298.88</v>
      </c>
      <c r="I121">
        <v>3.36</v>
      </c>
      <c r="J121">
        <v>2</v>
      </c>
      <c r="K121">
        <v>2.8</v>
      </c>
      <c r="L121">
        <v>8.16</v>
      </c>
      <c r="M121">
        <v>90</v>
      </c>
      <c r="N121" s="3464">
        <v>90381</v>
      </c>
      <c r="O121" s="3464">
        <v>53798</v>
      </c>
      <c r="P121" s="3464">
        <v>75318</v>
      </c>
      <c r="Q121" s="3464">
        <v>219497</v>
      </c>
    </row>
    <row r="122" spans="1:17">
      <c r="A122" t="s">
        <v>3693</v>
      </c>
      <c r="B122" t="s">
        <v>3750</v>
      </c>
      <c r="C122" t="s">
        <v>3751</v>
      </c>
      <c r="D122" t="s">
        <v>3713</v>
      </c>
      <c r="E122" s="3463">
        <v>44470</v>
      </c>
      <c r="F122" s="3463">
        <v>45565</v>
      </c>
      <c r="G122">
        <v>3</v>
      </c>
      <c r="H122">
        <v>164.16</v>
      </c>
      <c r="I122">
        <v>4.2</v>
      </c>
      <c r="J122">
        <v>2</v>
      </c>
      <c r="K122">
        <v>2.8</v>
      </c>
      <c r="L122">
        <v>9</v>
      </c>
      <c r="M122">
        <v>90</v>
      </c>
      <c r="N122" s="3464">
        <v>62052</v>
      </c>
      <c r="O122" s="3464">
        <v>29549</v>
      </c>
      <c r="P122" s="3464">
        <v>41368</v>
      </c>
      <c r="Q122" s="3464">
        <v>132969</v>
      </c>
    </row>
    <row r="123" spans="1:17">
      <c r="A123" t="s">
        <v>3693</v>
      </c>
      <c r="B123" t="s">
        <v>3752</v>
      </c>
      <c r="C123" t="s">
        <v>3753</v>
      </c>
      <c r="D123" t="s">
        <v>3754</v>
      </c>
      <c r="E123" s="3463">
        <v>44287</v>
      </c>
      <c r="F123" s="3463">
        <v>45016</v>
      </c>
      <c r="G123">
        <v>2</v>
      </c>
      <c r="H123">
        <v>328.68</v>
      </c>
      <c r="I123">
        <v>3.2</v>
      </c>
      <c r="J123">
        <v>2</v>
      </c>
      <c r="K123">
        <v>2.8</v>
      </c>
      <c r="L123">
        <v>8</v>
      </c>
      <c r="M123">
        <v>90</v>
      </c>
      <c r="N123" s="3464">
        <v>94660</v>
      </c>
      <c r="O123" s="3464">
        <v>59162</v>
      </c>
      <c r="P123" s="3464">
        <v>82827</v>
      </c>
      <c r="Q123" s="3464">
        <v>236649</v>
      </c>
    </row>
    <row r="124" spans="1:17">
      <c r="A124" t="s">
        <v>3755</v>
      </c>
      <c r="B124" t="s">
        <v>3756</v>
      </c>
      <c r="C124" t="s">
        <v>3618</v>
      </c>
      <c r="D124" t="s">
        <v>3757</v>
      </c>
      <c r="E124" s="3463">
        <v>43419</v>
      </c>
      <c r="F124" s="3463">
        <v>45199</v>
      </c>
      <c r="G124">
        <v>4.9000000000000004</v>
      </c>
      <c r="H124">
        <v>149.80000000000001</v>
      </c>
      <c r="I124">
        <v>4</v>
      </c>
      <c r="J124">
        <v>2</v>
      </c>
      <c r="K124">
        <v>2.8</v>
      </c>
      <c r="L124">
        <v>8.8000000000000007</v>
      </c>
      <c r="M124">
        <v>90</v>
      </c>
      <c r="N124" s="3464">
        <v>53928</v>
      </c>
      <c r="O124" s="3464">
        <v>26964</v>
      </c>
      <c r="P124" s="3464">
        <v>37750</v>
      </c>
      <c r="Q124" s="3464">
        <v>118642</v>
      </c>
    </row>
    <row r="125" spans="1:17">
      <c r="A125" t="s">
        <v>3755</v>
      </c>
      <c r="B125" t="s">
        <v>3758</v>
      </c>
      <c r="C125" t="s">
        <v>3759</v>
      </c>
      <c r="D125" t="s">
        <v>3760</v>
      </c>
      <c r="E125" s="3463">
        <v>44287</v>
      </c>
      <c r="F125" s="3463">
        <v>44651</v>
      </c>
      <c r="G125">
        <v>1</v>
      </c>
      <c r="H125">
        <v>25.2</v>
      </c>
      <c r="I125">
        <v>6.7</v>
      </c>
      <c r="J125">
        <v>2</v>
      </c>
      <c r="K125">
        <v>2.8</v>
      </c>
      <c r="L125">
        <v>11.5</v>
      </c>
      <c r="M125">
        <v>90</v>
      </c>
      <c r="N125" s="3464">
        <v>15196</v>
      </c>
      <c r="O125" s="3464">
        <v>4536</v>
      </c>
      <c r="P125" s="3464">
        <v>6350</v>
      </c>
      <c r="Q125" s="3464">
        <v>26082</v>
      </c>
    </row>
    <row r="126" spans="1:17">
      <c r="A126" t="s">
        <v>3755</v>
      </c>
      <c r="B126" t="s">
        <v>3761</v>
      </c>
      <c r="C126" t="s">
        <v>3762</v>
      </c>
      <c r="D126" t="s">
        <v>3763</v>
      </c>
      <c r="E126" s="3463">
        <v>44013</v>
      </c>
      <c r="F126" s="3463">
        <v>44742</v>
      </c>
      <c r="G126">
        <v>2</v>
      </c>
      <c r="H126">
        <v>144</v>
      </c>
      <c r="I126">
        <v>1.77</v>
      </c>
      <c r="J126">
        <v>0</v>
      </c>
      <c r="K126">
        <v>2.8</v>
      </c>
      <c r="L126">
        <v>4.57</v>
      </c>
      <c r="M126">
        <v>90</v>
      </c>
      <c r="N126" s="3464">
        <v>22939</v>
      </c>
      <c r="O126" t="s">
        <v>3556</v>
      </c>
      <c r="P126" s="3464">
        <v>36288</v>
      </c>
      <c r="Q126" s="3464">
        <v>59227</v>
      </c>
    </row>
    <row r="127" spans="1:17">
      <c r="H127">
        <v>12931.71</v>
      </c>
      <c r="Q127" s="3464">
        <v>26954610</v>
      </c>
    </row>
    <row r="128" spans="1:17">
      <c r="H128">
        <v>2389.12</v>
      </c>
      <c r="Q128" s="3464">
        <v>107818440</v>
      </c>
    </row>
    <row r="129" spans="8:17">
      <c r="H129">
        <v>10542.59</v>
      </c>
    </row>
    <row r="131" spans="8:17">
      <c r="Q131" s="3464">
        <v>33062957</v>
      </c>
    </row>
    <row r="132" spans="8:17">
      <c r="H132">
        <v>0.82</v>
      </c>
      <c r="Q132" s="3464">
        <v>132251828</v>
      </c>
    </row>
  </sheetData>
  <phoneticPr fontId="1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49" t="str">
        <f>IF(项目基本情况!B9="房地产市场价值","估价结果一览表","结果表-2")</f>
        <v>结果表-2</v>
      </c>
      <c r="B1" s="3549"/>
      <c r="C1" s="3549"/>
      <c r="D1" s="3549"/>
      <c r="E1" s="3549"/>
      <c r="F1" s="3549"/>
      <c r="G1" s="3549"/>
      <c r="H1" s="3549"/>
      <c r="I1" s="3549"/>
    </row>
    <row r="2" spans="1:9" ht="30" customHeight="1" thickTop="1">
      <c r="A2" s="3550" t="s">
        <v>928</v>
      </c>
      <c r="B2" s="3550" t="s">
        <v>929</v>
      </c>
      <c r="C2" s="3550" t="s">
        <v>930</v>
      </c>
      <c r="D2" s="3550" t="str">
        <f>结果表!D116</f>
        <v>出让国有建设用地使用权价值</v>
      </c>
      <c r="E2" s="3550"/>
      <c r="F2" s="3550" t="str">
        <f>结果表!F116</f>
        <v>在建建筑物价值</v>
      </c>
      <c r="G2" s="3550"/>
      <c r="H2" s="3550" t="str">
        <f>IF(项目基本情况!B9="房地产市场价值","房地产市场价值","房地产价值")</f>
        <v>房地产价值</v>
      </c>
      <c r="I2" s="3550"/>
    </row>
    <row r="3" spans="1:9" ht="15">
      <c r="A3" s="3551"/>
      <c r="B3" s="3551"/>
      <c r="C3" s="3551"/>
      <c r="D3" s="854" t="s">
        <v>925</v>
      </c>
      <c r="E3" s="854" t="s">
        <v>931</v>
      </c>
      <c r="F3" s="854" t="s">
        <v>925</v>
      </c>
      <c r="G3" s="854" t="s">
        <v>926</v>
      </c>
      <c r="H3" s="854" t="s">
        <v>925</v>
      </c>
      <c r="I3" s="854" t="s">
        <v>926</v>
      </c>
    </row>
    <row r="4" spans="1:9" ht="15">
      <c r="A4" s="1505" t="str">
        <f>项目基本情况!S2</f>
        <v>北京市房地产</v>
      </c>
      <c r="B4" s="854">
        <f>项目基本情况!C17</f>
        <v>27298.22</v>
      </c>
      <c r="C4" s="854">
        <f>项目基本情况!C18</f>
        <v>6123.19</v>
      </c>
      <c r="D4" s="854">
        <f ca="1">结果表!D118</f>
        <v>134544</v>
      </c>
      <c r="E4" s="854">
        <f ca="1">结果表!E118</f>
        <v>49286</v>
      </c>
      <c r="F4" s="854">
        <f ca="1">结果表!F118</f>
        <v>18870</v>
      </c>
      <c r="G4" s="854">
        <f ca="1">结果表!G118</f>
        <v>6913</v>
      </c>
      <c r="H4" s="854">
        <f ca="1">结果表!H118</f>
        <v>153414</v>
      </c>
      <c r="I4" s="854">
        <f ca="1">结果表!I118</f>
        <v>56199</v>
      </c>
    </row>
    <row r="5" spans="1:9" ht="30" customHeight="1">
      <c r="A5" s="3551" t="s">
        <v>927</v>
      </c>
      <c r="B5" s="3551"/>
      <c r="C5" s="3551"/>
      <c r="D5" s="3551" t="str">
        <f ca="1">结果表!D119</f>
        <v>壹拾叁亿肆仟伍佰肆拾肆万元整</v>
      </c>
      <c r="E5" s="3551"/>
      <c r="F5" s="3551" t="str">
        <f ca="1">结果表!F119</f>
        <v>壹亿捌仟捌佰柒拾万元整</v>
      </c>
      <c r="G5" s="3551"/>
      <c r="H5" s="3551" t="str">
        <f ca="1">结果表!H119</f>
        <v>壹拾伍亿叁仟肆佰壹拾肆万元整</v>
      </c>
      <c r="I5" s="3551"/>
    </row>
    <row r="6" spans="1:9" ht="15.75">
      <c r="A6" s="3552" t="str">
        <f>结果表!A120</f>
        <v>估价师知悉的法定优先受偿款</v>
      </c>
      <c r="B6" s="3552"/>
      <c r="C6" s="3552"/>
      <c r="D6" s="3552">
        <f>结果表!D120</f>
        <v>0</v>
      </c>
      <c r="E6" s="3552"/>
      <c r="F6" s="3552"/>
      <c r="G6" s="3552"/>
      <c r="H6" s="3552"/>
      <c r="I6" s="3552"/>
    </row>
    <row r="7" spans="1:9" ht="15">
      <c r="A7" s="3551" t="s">
        <v>927</v>
      </c>
      <c r="B7" s="3551"/>
      <c r="C7" s="3551"/>
      <c r="D7" s="3553" t="str">
        <f>结果表!D121</f>
        <v>零元整</v>
      </c>
      <c r="E7" s="3554"/>
      <c r="F7" s="3554"/>
      <c r="G7" s="3554"/>
      <c r="H7" s="3554"/>
      <c r="I7" s="3555"/>
    </row>
    <row r="8" spans="1:9" ht="15.75">
      <c r="A8" s="3552" t="str">
        <f>结果表!A122</f>
        <v>房地产抵押价值</v>
      </c>
      <c r="B8" s="3552"/>
      <c r="C8" s="3552"/>
      <c r="D8" s="3552">
        <f ca="1">结果表!D122</f>
        <v>153414</v>
      </c>
      <c r="E8" s="3552"/>
      <c r="F8" s="3552"/>
      <c r="G8" s="3552"/>
      <c r="H8" s="3552"/>
      <c r="I8" s="3552"/>
    </row>
    <row r="9" spans="1:9" ht="15">
      <c r="A9" s="3551" t="s">
        <v>927</v>
      </c>
      <c r="B9" s="3551"/>
      <c r="C9" s="3551"/>
      <c r="D9" s="3551" t="str">
        <f ca="1">结果表!D123</f>
        <v>壹拾伍亿叁仟肆佰壹拾肆万元整</v>
      </c>
      <c r="E9" s="3551"/>
      <c r="F9" s="3551"/>
      <c r="G9" s="3551"/>
      <c r="H9" s="3551"/>
      <c r="I9" s="3551"/>
    </row>
    <row r="10" spans="1:9" ht="15.75">
      <c r="A10" s="3552" t="str">
        <f>结果表!A124</f>
        <v/>
      </c>
      <c r="B10" s="3552"/>
      <c r="C10" s="3552"/>
      <c r="D10" s="3552" t="str">
        <f>结果表!D124</f>
        <v>——</v>
      </c>
      <c r="E10" s="3552"/>
      <c r="F10" s="3552"/>
      <c r="G10" s="3552"/>
      <c r="H10" s="3552"/>
      <c r="I10" s="3552"/>
    </row>
    <row r="11" spans="1:9" ht="15">
      <c r="A11" s="3551" t="s">
        <v>927</v>
      </c>
      <c r="B11" s="3551"/>
      <c r="C11" s="3551"/>
      <c r="D11" s="3551" t="e">
        <f>结果表!D125</f>
        <v>#VALUE!</v>
      </c>
      <c r="E11" s="3551"/>
      <c r="F11" s="3551"/>
      <c r="G11" s="3551"/>
      <c r="H11" s="3551"/>
      <c r="I11" s="3551"/>
    </row>
    <row r="12" spans="1:9" ht="15.75">
      <c r="A12" s="3552" t="str">
        <f>结果表!A126</f>
        <v>抵押净值</v>
      </c>
      <c r="B12" s="3552"/>
      <c r="C12" s="3552"/>
      <c r="D12" s="3552">
        <f ca="1">结果表!D126</f>
        <v>135935</v>
      </c>
      <c r="E12" s="3552"/>
      <c r="F12" s="3552"/>
      <c r="G12" s="3552"/>
      <c r="H12" s="3552"/>
      <c r="I12" s="3552"/>
    </row>
    <row r="13" spans="1:9" ht="15.75" thickBot="1">
      <c r="A13" s="3556" t="s">
        <v>927</v>
      </c>
      <c r="B13" s="3556"/>
      <c r="C13" s="3556"/>
      <c r="D13" s="3556" t="str">
        <f ca="1">结果表!D127</f>
        <v>壹拾叁亿伍仟玖佰叁拾伍万元整</v>
      </c>
      <c r="E13" s="3556"/>
      <c r="F13" s="3556"/>
      <c r="G13" s="3556"/>
      <c r="H13" s="3556"/>
      <c r="I13" s="3556"/>
    </row>
    <row r="14" spans="1:9" ht="15" thickTop="1">
      <c r="A14" s="3557" t="s">
        <v>932</v>
      </c>
      <c r="B14" s="3557"/>
      <c r="C14" s="3557"/>
      <c r="D14" s="3557"/>
      <c r="E14" s="3557"/>
      <c r="F14" s="3557"/>
      <c r="G14" s="3557"/>
      <c r="H14" s="3557"/>
      <c r="I14" s="355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Y136"/>
  <sheetViews>
    <sheetView topLeftCell="I118" workbookViewId="0">
      <selection activeCell="V125" sqref="V125"/>
    </sheetView>
  </sheetViews>
  <sheetFormatPr defaultColWidth="8.375" defaultRowHeight="13.5"/>
  <cols>
    <col min="1" max="1" width="4.875" style="3946" customWidth="1"/>
    <col min="2" max="2" width="8.25" style="3931" customWidth="1"/>
    <col min="3" max="3" width="14.5" style="3947" customWidth="1"/>
    <col min="4" max="4" width="8.375" style="3931" customWidth="1"/>
    <col min="5" max="5" width="12.875" style="3948" customWidth="1"/>
    <col min="6" max="6" width="15.75" style="3948" customWidth="1"/>
    <col min="7" max="7" width="6.875" style="3946" customWidth="1"/>
    <col min="8" max="8" width="33.5" style="3949" customWidth="1"/>
    <col min="9" max="9" width="12.5" style="3949" customWidth="1"/>
    <col min="10" max="10" width="6.875" style="3950" customWidth="1"/>
    <col min="11" max="11" width="7.5" style="3950" customWidth="1"/>
    <col min="12" max="12" width="8.375" style="3950" customWidth="1"/>
    <col min="13" max="13" width="8.875" style="3951" customWidth="1"/>
    <col min="14" max="14" width="12.25" style="3952" customWidth="1"/>
    <col min="15" max="15" width="11.5" style="3953" customWidth="1"/>
    <col min="16" max="16" width="9.125" style="3953" customWidth="1"/>
    <col min="17" max="17" width="8" style="3953" customWidth="1"/>
    <col min="18" max="18" width="7.125" style="3954" customWidth="1"/>
    <col min="19" max="19" width="10.5" style="3955" customWidth="1"/>
    <col min="20" max="21" width="7.75" style="3956" customWidth="1"/>
    <col min="22" max="22" width="12.5" style="3956" customWidth="1"/>
    <col min="23" max="23" width="9.75" style="3957" customWidth="1"/>
    <col min="24" max="24" width="8.375" style="3957" customWidth="1"/>
    <col min="25" max="25" width="9.75" style="3957" customWidth="1"/>
    <col min="26" max="26" width="8.75" style="3957" customWidth="1"/>
    <col min="27" max="29" width="9.5" style="3957" customWidth="1"/>
    <col min="30" max="30" width="9.25" style="3957" customWidth="1"/>
    <col min="31" max="31" width="9.25" style="3958" customWidth="1"/>
    <col min="32" max="36" width="9.25" style="3957" customWidth="1"/>
    <col min="37" max="37" width="10" style="3957" customWidth="1"/>
    <col min="38" max="38" width="10.25" style="3959" customWidth="1"/>
    <col min="39" max="39" width="10.375" style="3959" customWidth="1"/>
    <col min="40" max="40" width="12" style="3957" customWidth="1"/>
    <col min="41" max="41" width="8.5" style="3957" customWidth="1"/>
    <col min="42" max="42" width="7.25" style="3957" customWidth="1"/>
    <col min="43" max="43" width="6.625" style="3957" customWidth="1"/>
    <col min="44" max="44" width="14" style="3957" customWidth="1"/>
    <col min="45" max="45" width="9.5" style="3960" hidden="1" customWidth="1"/>
    <col min="46" max="46" width="10.5" style="3960" hidden="1" customWidth="1"/>
    <col min="47" max="47" width="11.25" style="3931" hidden="1" customWidth="1"/>
    <col min="48" max="50" width="9.625" style="3931" hidden="1" customWidth="1"/>
    <col min="51" max="51" width="18" style="3957" customWidth="1"/>
    <col min="52" max="52" width="12" style="3961" customWidth="1"/>
    <col min="53" max="16156" width="8.375" style="3931" customWidth="1"/>
    <col min="16157" max="16322" width="8.375" style="3931"/>
    <col min="16323" max="16353" width="8.375" style="3962"/>
    <col min="16354" max="16384" width="8.375" style="3931"/>
  </cols>
  <sheetData>
    <row r="1" spans="1:52" s="3890" customFormat="1" ht="37.15" customHeight="1">
      <c r="A1" s="3876" t="s">
        <v>3535</v>
      </c>
      <c r="B1" s="3877"/>
      <c r="C1" s="3877"/>
      <c r="D1" s="3877"/>
      <c r="E1" s="3877"/>
      <c r="F1" s="3877"/>
      <c r="G1" s="3878"/>
      <c r="H1" s="3878"/>
      <c r="I1" s="3878"/>
      <c r="J1" s="3879" t="s">
        <v>3536</v>
      </c>
      <c r="K1" s="3879"/>
      <c r="L1" s="3879"/>
      <c r="M1" s="3880"/>
      <c r="N1" s="3881" t="s">
        <v>3933</v>
      </c>
      <c r="O1" s="3882" t="s">
        <v>3934</v>
      </c>
      <c r="P1" s="3882"/>
      <c r="Q1" s="3882"/>
      <c r="R1" s="3882"/>
      <c r="S1" s="3882"/>
      <c r="T1" s="3882"/>
      <c r="U1" s="3883"/>
      <c r="V1" s="3883"/>
      <c r="W1" s="3884" t="s">
        <v>3935</v>
      </c>
      <c r="X1" s="3885"/>
      <c r="Y1" s="3885"/>
      <c r="Z1" s="3885"/>
      <c r="AA1" s="3885"/>
      <c r="AB1" s="3885"/>
      <c r="AC1" s="3885"/>
      <c r="AD1" s="3886" t="s">
        <v>3936</v>
      </c>
      <c r="AE1" s="3886"/>
      <c r="AF1" s="3886"/>
      <c r="AG1" s="3886"/>
      <c r="AH1" s="3886"/>
      <c r="AI1" s="3886"/>
      <c r="AJ1" s="3886"/>
      <c r="AK1" s="3886"/>
      <c r="AL1" s="3887" t="s">
        <v>3937</v>
      </c>
      <c r="AM1" s="3887"/>
      <c r="AN1" s="3887"/>
      <c r="AO1" s="3887"/>
      <c r="AP1" s="3887"/>
      <c r="AQ1" s="3887"/>
      <c r="AR1" s="3887"/>
      <c r="AS1" s="3888" t="s">
        <v>3938</v>
      </c>
      <c r="AT1" s="3888"/>
      <c r="AU1" s="3888"/>
      <c r="AV1" s="3888"/>
      <c r="AW1" s="3888"/>
      <c r="AX1" s="3888"/>
      <c r="AY1" s="3888"/>
      <c r="AZ1" s="3889" t="s">
        <v>3939</v>
      </c>
    </row>
    <row r="2" spans="1:52" s="3909" customFormat="1" ht="63" customHeight="1">
      <c r="A2" s="3891" t="s">
        <v>3539</v>
      </c>
      <c r="B2" s="3892" t="s">
        <v>3540</v>
      </c>
      <c r="C2" s="3893" t="s">
        <v>3541</v>
      </c>
      <c r="D2" s="3893" t="s">
        <v>3542</v>
      </c>
      <c r="E2" s="3894" t="s">
        <v>3940</v>
      </c>
      <c r="F2" s="3894" t="s">
        <v>3941</v>
      </c>
      <c r="G2" s="3895" t="s">
        <v>2510</v>
      </c>
      <c r="H2" s="3896" t="s">
        <v>3942</v>
      </c>
      <c r="I2" s="3897" t="s">
        <v>3943</v>
      </c>
      <c r="J2" s="3898" t="s">
        <v>3546</v>
      </c>
      <c r="K2" s="3898" t="s">
        <v>3547</v>
      </c>
      <c r="L2" s="3898" t="s">
        <v>3548</v>
      </c>
      <c r="M2" s="3894" t="s">
        <v>3944</v>
      </c>
      <c r="N2" s="3899" t="s">
        <v>3945</v>
      </c>
      <c r="O2" s="3900" t="s">
        <v>3546</v>
      </c>
      <c r="P2" s="3900" t="s">
        <v>3547</v>
      </c>
      <c r="Q2" s="3900" t="s">
        <v>3548</v>
      </c>
      <c r="R2" s="3901" t="s">
        <v>3946</v>
      </c>
      <c r="S2" s="3901" t="s">
        <v>3947</v>
      </c>
      <c r="T2" s="3901" t="s">
        <v>3948</v>
      </c>
      <c r="U2" s="3901" t="s">
        <v>3949</v>
      </c>
      <c r="V2" s="3901" t="s">
        <v>3944</v>
      </c>
      <c r="W2" s="3901" t="s">
        <v>3546</v>
      </c>
      <c r="X2" s="3901" t="s">
        <v>3547</v>
      </c>
      <c r="Y2" s="3901" t="s">
        <v>3548</v>
      </c>
      <c r="Z2" s="3901" t="s">
        <v>3946</v>
      </c>
      <c r="AA2" s="3901" t="s">
        <v>3947</v>
      </c>
      <c r="AB2" s="3901" t="s">
        <v>3948</v>
      </c>
      <c r="AC2" s="3902" t="s">
        <v>3944</v>
      </c>
      <c r="AD2" s="3901" t="s">
        <v>3546</v>
      </c>
      <c r="AE2" s="3901" t="s">
        <v>3547</v>
      </c>
      <c r="AF2" s="3901" t="s">
        <v>3548</v>
      </c>
      <c r="AG2" s="3901" t="s">
        <v>3946</v>
      </c>
      <c r="AH2" s="3901" t="s">
        <v>3947</v>
      </c>
      <c r="AI2" s="3901" t="s">
        <v>3948</v>
      </c>
      <c r="AJ2" s="3901" t="s">
        <v>3949</v>
      </c>
      <c r="AK2" s="3901" t="s">
        <v>3944</v>
      </c>
      <c r="AL2" s="3903" t="s">
        <v>3950</v>
      </c>
      <c r="AM2" s="3903" t="s">
        <v>3951</v>
      </c>
      <c r="AN2" s="3903" t="s">
        <v>3952</v>
      </c>
      <c r="AO2" s="3903" t="s">
        <v>3953</v>
      </c>
      <c r="AP2" s="3903" t="s">
        <v>3954</v>
      </c>
      <c r="AQ2" s="3903" t="s">
        <v>3955</v>
      </c>
      <c r="AR2" s="3904" t="s">
        <v>3956</v>
      </c>
      <c r="AS2" s="3905" t="s">
        <v>3957</v>
      </c>
      <c r="AT2" s="3905" t="s">
        <v>3958</v>
      </c>
      <c r="AU2" s="3905" t="s">
        <v>3959</v>
      </c>
      <c r="AV2" s="3906" t="s">
        <v>3960</v>
      </c>
      <c r="AW2" s="3906" t="s">
        <v>3961</v>
      </c>
      <c r="AX2" s="3906" t="s">
        <v>3962</v>
      </c>
      <c r="AY2" s="3907" t="s">
        <v>3963</v>
      </c>
      <c r="AZ2" s="3908" t="s">
        <v>3964</v>
      </c>
    </row>
    <row r="3" spans="1:52" s="3931" customFormat="1" ht="60" customHeight="1">
      <c r="A3" s="3910" t="s">
        <v>3965</v>
      </c>
      <c r="B3" s="3911">
        <v>1001</v>
      </c>
      <c r="C3" s="3912" t="s">
        <v>3550</v>
      </c>
      <c r="D3" s="3912" t="s">
        <v>3551</v>
      </c>
      <c r="E3" s="3913">
        <v>44607</v>
      </c>
      <c r="F3" s="3913">
        <v>45838</v>
      </c>
      <c r="G3" s="3914">
        <f>(F3-E3)/365</f>
        <v>3.3726027397260272</v>
      </c>
      <c r="H3" s="3915" t="s">
        <v>3966</v>
      </c>
      <c r="I3" s="3916">
        <v>261</v>
      </c>
      <c r="J3" s="3917">
        <v>55.2</v>
      </c>
      <c r="K3" s="3918">
        <v>7</v>
      </c>
      <c r="L3" s="3918">
        <v>2.8</v>
      </c>
      <c r="M3" s="3919">
        <f>SUM(J3:L3)</f>
        <v>65</v>
      </c>
      <c r="N3" s="3920">
        <v>90</v>
      </c>
      <c r="O3" s="3921">
        <f>$I3*J3*$N3</f>
        <v>1296648</v>
      </c>
      <c r="P3" s="3921">
        <f>$I3*K3*$N3</f>
        <v>164430</v>
      </c>
      <c r="Q3" s="3921">
        <f>$I3*L3*$N3</f>
        <v>65772</v>
      </c>
      <c r="R3" s="3922">
        <v>2500</v>
      </c>
      <c r="S3" s="3923">
        <v>150</v>
      </c>
      <c r="T3" s="3923">
        <v>0</v>
      </c>
      <c r="U3" s="3923">
        <v>0</v>
      </c>
      <c r="V3" s="3924">
        <f>SUM(O3:U3)</f>
        <v>1529500</v>
      </c>
      <c r="W3" s="3925">
        <v>86443</v>
      </c>
      <c r="X3" s="3925">
        <v>10962</v>
      </c>
      <c r="Y3" s="3925">
        <v>4385</v>
      </c>
      <c r="Z3" s="3925"/>
      <c r="AA3" s="3925"/>
      <c r="AB3" s="3926"/>
      <c r="AC3" s="3927">
        <f>SUM(W3:AB3)</f>
        <v>101790</v>
      </c>
      <c r="AD3" s="3926">
        <f t="shared" ref="AD3:AI18" si="0">O3-W3</f>
        <v>1210205</v>
      </c>
      <c r="AE3" s="3926">
        <f t="shared" si="0"/>
        <v>153468</v>
      </c>
      <c r="AF3" s="3926">
        <f t="shared" si="0"/>
        <v>61387</v>
      </c>
      <c r="AG3" s="3926">
        <f t="shared" si="0"/>
        <v>2500</v>
      </c>
      <c r="AH3" s="3926">
        <f t="shared" si="0"/>
        <v>150</v>
      </c>
      <c r="AI3" s="3926">
        <f t="shared" si="0"/>
        <v>0</v>
      </c>
      <c r="AJ3" s="3926">
        <f>U3</f>
        <v>0</v>
      </c>
      <c r="AK3" s="3928">
        <f>SUM(AD3:AJ3)</f>
        <v>1427710</v>
      </c>
      <c r="AL3" s="3929">
        <f>SUMIF([3]租约表对应的会计账!$C$5:$C$153,B3,[3]租约表对应的会计账!$D$5:$D$153)</f>
        <v>1210205</v>
      </c>
      <c r="AM3" s="3930">
        <f>SUMIF([3]租约表对应的会计账!$H$5:$H$164,B3,[3]租约表对应的会计账!$I$5:$I$164)</f>
        <v>153468</v>
      </c>
      <c r="AN3" s="3929">
        <f>SUMIF([3]租约表对应的会计账!$S$5:$S$164,B3,[3]租约表对应的会计账!$T$5:$T$164)</f>
        <v>61387</v>
      </c>
      <c r="AO3" s="3929">
        <f>SUMIF([3]租约表对应的会计账!$X$5:$X$164,B3,[3]租约表对应的会计账!$Y$5:$Y$164)</f>
        <v>2500</v>
      </c>
      <c r="AP3" s="3929">
        <f>SUMIF([3]租约表对应的会计账!$AC$5:$AC$164,[3]租约表!B3,[3]租约表对应的会计账!$AD$5:$AD$164)</f>
        <v>150</v>
      </c>
      <c r="AQ3" s="3929">
        <f>SUMIF([3]租约表对应的会计账!$AH$5:$AH$164,[3]租约表!B3,[3]租约表对应的会计账!$AI$5:$AI$164)</f>
        <v>0</v>
      </c>
      <c r="AR3" s="3929">
        <f>SUM(AL3:AQ3)</f>
        <v>1427710</v>
      </c>
      <c r="AS3" s="3929">
        <f t="shared" ref="AS3:AX18" si="1">AD3-AL3</f>
        <v>0</v>
      </c>
      <c r="AT3" s="3929">
        <f t="shared" si="1"/>
        <v>0</v>
      </c>
      <c r="AU3" s="3929">
        <f t="shared" si="1"/>
        <v>0</v>
      </c>
      <c r="AV3" s="3929">
        <f t="shared" si="1"/>
        <v>0</v>
      </c>
      <c r="AW3" s="3929">
        <f t="shared" si="1"/>
        <v>0</v>
      </c>
      <c r="AX3" s="3929">
        <f t="shared" si="1"/>
        <v>0</v>
      </c>
      <c r="AY3" s="3929">
        <f t="shared" ref="AY3:AY66" si="2">SUM(AS3:AX3)</f>
        <v>0</v>
      </c>
      <c r="AZ3" s="3915" t="s">
        <v>3967</v>
      </c>
    </row>
    <row r="4" spans="1:52" s="3931" customFormat="1" ht="60" customHeight="1">
      <c r="A4" s="3910" t="s">
        <v>3965</v>
      </c>
      <c r="B4" s="3911">
        <v>1002</v>
      </c>
      <c r="C4" s="3912" t="s">
        <v>3552</v>
      </c>
      <c r="D4" s="3912" t="s">
        <v>3553</v>
      </c>
      <c r="E4" s="3913">
        <v>44652</v>
      </c>
      <c r="F4" s="3913">
        <v>45382</v>
      </c>
      <c r="G4" s="3914">
        <f t="shared" ref="G4:G67" si="3">(F4-E4)/365</f>
        <v>2</v>
      </c>
      <c r="H4" s="3915" t="s">
        <v>3968</v>
      </c>
      <c r="I4" s="3916">
        <v>488.6</v>
      </c>
      <c r="J4" s="3917">
        <v>12</v>
      </c>
      <c r="K4" s="3918">
        <v>7</v>
      </c>
      <c r="L4" s="3918">
        <v>2.8</v>
      </c>
      <c r="M4" s="3919">
        <f t="shared" ref="M4:M35" si="4">SUM(J4:L4)</f>
        <v>21.8</v>
      </c>
      <c r="N4" s="3920">
        <v>90</v>
      </c>
      <c r="O4" s="3921">
        <f t="shared" ref="O4:Q35" si="5">$I4*J4*$N4</f>
        <v>527688.00000000012</v>
      </c>
      <c r="P4" s="3921">
        <f t="shared" si="5"/>
        <v>307818</v>
      </c>
      <c r="Q4" s="3921">
        <f t="shared" si="5"/>
        <v>123127.2</v>
      </c>
      <c r="R4" s="3922">
        <v>2500</v>
      </c>
      <c r="S4" s="3923">
        <v>150</v>
      </c>
      <c r="T4" s="3923">
        <v>0</v>
      </c>
      <c r="U4" s="3923">
        <v>0</v>
      </c>
      <c r="V4" s="3924">
        <f t="shared" ref="V4:V67" si="6">SUM(O4:U4)</f>
        <v>961283.20000000007</v>
      </c>
      <c r="W4" s="3925">
        <v>36059</v>
      </c>
      <c r="X4" s="3925">
        <v>20521</v>
      </c>
      <c r="Y4" s="3925">
        <v>8208</v>
      </c>
      <c r="Z4" s="3925"/>
      <c r="AA4" s="3925"/>
      <c r="AB4" s="3926"/>
      <c r="AC4" s="3927">
        <f t="shared" ref="AC4:AC67" si="7">SUM(W4:AB4)</f>
        <v>64788</v>
      </c>
      <c r="AD4" s="3926">
        <f t="shared" si="0"/>
        <v>491629.00000000012</v>
      </c>
      <c r="AE4" s="3926">
        <f t="shared" si="0"/>
        <v>287297</v>
      </c>
      <c r="AF4" s="3926">
        <f t="shared" si="0"/>
        <v>114919.2</v>
      </c>
      <c r="AG4" s="3926">
        <f t="shared" si="0"/>
        <v>2500</v>
      </c>
      <c r="AH4" s="3926">
        <f t="shared" si="0"/>
        <v>150</v>
      </c>
      <c r="AI4" s="3926">
        <f t="shared" si="0"/>
        <v>0</v>
      </c>
      <c r="AJ4" s="3926">
        <f t="shared" ref="AJ4:AJ67" si="8">U4</f>
        <v>0</v>
      </c>
      <c r="AK4" s="3928">
        <f t="shared" ref="AK4:AK67" si="9">SUM(AD4:AJ4)</f>
        <v>896495.20000000007</v>
      </c>
      <c r="AL4" s="3929">
        <f>SUMIF([3]租约表对应的会计账!$C$5:$C$164,B4,[3]租约表对应的会计账!$D$5:$D$164)</f>
        <v>504996</v>
      </c>
      <c r="AM4" s="3930">
        <f>SUMIF([3]租约表对应的会计账!$H$5:$H$164,B4,[3]租约表对应的会计账!$I$5:$I$164)</f>
        <v>287297</v>
      </c>
      <c r="AN4" s="3929">
        <f>SUMIF([3]租约表对应的会计账!$S$5:$S$164,B4,[3]租约表对应的会计账!$T$5:$T$164)</f>
        <v>114919</v>
      </c>
      <c r="AO4" s="3929">
        <f>SUMIF([3]租约表对应的会计账!$X$5:$X$164,B4,[3]租约表对应的会计账!$Y$5:$Y$164)</f>
        <v>2500</v>
      </c>
      <c r="AP4" s="3929">
        <f>SUMIF([3]租约表对应的会计账!$AC$5:$AC$164,[3]租约表!B4,[3]租约表对应的会计账!$AD$5:$AD$164)</f>
        <v>150</v>
      </c>
      <c r="AQ4" s="3929">
        <f>SUMIF([3]租约表对应的会计账!$AH$5:$AH$164,[3]租约表!B4,[3]租约表对应的会计账!$AI$5:$AI$164)</f>
        <v>0</v>
      </c>
      <c r="AR4" s="3929">
        <f t="shared" ref="AR4:AR67" si="10">SUM(AL4:AQ4)</f>
        <v>909862</v>
      </c>
      <c r="AS4" s="3929">
        <f t="shared" si="1"/>
        <v>-13366.999999999884</v>
      </c>
      <c r="AT4" s="3929">
        <f t="shared" si="1"/>
        <v>0</v>
      </c>
      <c r="AU4" s="3929">
        <f t="shared" si="1"/>
        <v>0.19999999999708962</v>
      </c>
      <c r="AV4" s="3929">
        <f t="shared" si="1"/>
        <v>0</v>
      </c>
      <c r="AW4" s="3929">
        <f t="shared" si="1"/>
        <v>0</v>
      </c>
      <c r="AX4" s="3929">
        <f t="shared" si="1"/>
        <v>0</v>
      </c>
      <c r="AY4" s="3929">
        <f t="shared" si="2"/>
        <v>-13366.799999999886</v>
      </c>
      <c r="AZ4" s="3915" t="s">
        <v>3967</v>
      </c>
    </row>
    <row r="5" spans="1:52" s="3931" customFormat="1" ht="60" customHeight="1">
      <c r="A5" s="3910" t="s">
        <v>3965</v>
      </c>
      <c r="B5" s="3911">
        <v>1010</v>
      </c>
      <c r="C5" s="3912" t="s">
        <v>3554</v>
      </c>
      <c r="D5" s="3912" t="s">
        <v>3555</v>
      </c>
      <c r="E5" s="3913">
        <v>44043</v>
      </c>
      <c r="F5" s="3913">
        <v>46964</v>
      </c>
      <c r="G5" s="3914">
        <f t="shared" si="3"/>
        <v>8.0027397260273965</v>
      </c>
      <c r="H5" s="3915" t="s">
        <v>3969</v>
      </c>
      <c r="I5" s="3916">
        <v>105.6</v>
      </c>
      <c r="J5" s="3917">
        <v>19.2</v>
      </c>
      <c r="K5" s="3918">
        <v>0</v>
      </c>
      <c r="L5" s="3918">
        <v>2.8</v>
      </c>
      <c r="M5" s="3919">
        <f t="shared" si="4"/>
        <v>22</v>
      </c>
      <c r="N5" s="3920">
        <v>90</v>
      </c>
      <c r="O5" s="3921">
        <f t="shared" si="5"/>
        <v>182476.79999999999</v>
      </c>
      <c r="P5" s="3921">
        <f t="shared" si="5"/>
        <v>0</v>
      </c>
      <c r="Q5" s="3921">
        <f t="shared" si="5"/>
        <v>26611.199999999997</v>
      </c>
      <c r="R5" s="3922">
        <v>4250</v>
      </c>
      <c r="S5" s="3923">
        <v>2550</v>
      </c>
      <c r="T5" s="3923">
        <v>0</v>
      </c>
      <c r="U5" s="3923">
        <v>0</v>
      </c>
      <c r="V5" s="3924">
        <f t="shared" si="6"/>
        <v>215888</v>
      </c>
      <c r="W5" s="3925">
        <v>12336</v>
      </c>
      <c r="X5" s="3925">
        <v>0</v>
      </c>
      <c r="Y5" s="3925">
        <v>148</v>
      </c>
      <c r="Z5" s="3925"/>
      <c r="AA5" s="3925"/>
      <c r="AB5" s="3926"/>
      <c r="AC5" s="3927">
        <f t="shared" si="7"/>
        <v>12484</v>
      </c>
      <c r="AD5" s="3926">
        <f t="shared" si="0"/>
        <v>170140.79999999999</v>
      </c>
      <c r="AE5" s="3926">
        <f t="shared" si="0"/>
        <v>0</v>
      </c>
      <c r="AF5" s="3926">
        <f t="shared" si="0"/>
        <v>26463.199999999997</v>
      </c>
      <c r="AG5" s="3926">
        <f t="shared" si="0"/>
        <v>4250</v>
      </c>
      <c r="AH5" s="3926">
        <f t="shared" si="0"/>
        <v>2550</v>
      </c>
      <c r="AI5" s="3926">
        <f t="shared" si="0"/>
        <v>0</v>
      </c>
      <c r="AJ5" s="3926">
        <f t="shared" si="8"/>
        <v>0</v>
      </c>
      <c r="AK5" s="3928">
        <f t="shared" si="9"/>
        <v>203404</v>
      </c>
      <c r="AL5" s="3929">
        <f>SUMIF([3]租约表对应的会计账!$C$5:$C$153,B5,[3]租约表对应的会计账!$D$5:$D$153)</f>
        <v>172675</v>
      </c>
      <c r="AM5" s="3930">
        <f>SUMIF([3]租约表对应的会计账!$H$5:$H$164,B5,[3]租约表对应的会计账!$I$5:$I$164)</f>
        <v>0</v>
      </c>
      <c r="AN5" s="3929">
        <f>SUMIF([3]租约表对应的会计账!$S$5:$S$164,B5,[3]租约表对应的会计账!$T$5:$T$164)</f>
        <v>26833</v>
      </c>
      <c r="AO5" s="3929">
        <f>SUMIF([3]租约表对应的会计账!$X$5:$X$164,B5,[3]租约表对应的会计账!$Y$5:$Y$164)</f>
        <v>0</v>
      </c>
      <c r="AP5" s="3929">
        <f>SUMIF([3]租约表对应的会计账!$AC$5:$AC$164,[3]租约表!B5,[3]租约表对应的会计账!$AD$5:$AD$164)</f>
        <v>2550</v>
      </c>
      <c r="AQ5" s="3929">
        <f>SUMIF([3]租约表对应的会计账!$AH$5:$AH$164,[3]租约表!B5,[3]租约表对应的会计账!$AI$5:$AI$164)</f>
        <v>0</v>
      </c>
      <c r="AR5" s="3929">
        <f t="shared" si="10"/>
        <v>202058</v>
      </c>
      <c r="AS5" s="3929">
        <f t="shared" si="1"/>
        <v>-2534.2000000000116</v>
      </c>
      <c r="AT5" s="3929">
        <f t="shared" si="1"/>
        <v>0</v>
      </c>
      <c r="AU5" s="3929">
        <f t="shared" si="1"/>
        <v>-369.80000000000291</v>
      </c>
      <c r="AV5" s="3929">
        <f t="shared" si="1"/>
        <v>4250</v>
      </c>
      <c r="AW5" s="3929">
        <f t="shared" si="1"/>
        <v>0</v>
      </c>
      <c r="AX5" s="3929">
        <f t="shared" si="1"/>
        <v>0</v>
      </c>
      <c r="AY5" s="3929">
        <f t="shared" si="2"/>
        <v>1345.9999999999854</v>
      </c>
      <c r="AZ5" s="3915" t="s">
        <v>3970</v>
      </c>
    </row>
    <row r="6" spans="1:52" s="3931" customFormat="1" ht="60" customHeight="1">
      <c r="A6" s="3932" t="s">
        <v>3965</v>
      </c>
      <c r="B6" s="3911">
        <v>1012</v>
      </c>
      <c r="C6" s="3912" t="s">
        <v>3557</v>
      </c>
      <c r="D6" s="3912" t="s">
        <v>3558</v>
      </c>
      <c r="E6" s="3913">
        <v>44793</v>
      </c>
      <c r="F6" s="3913">
        <v>45900</v>
      </c>
      <c r="G6" s="3914">
        <f t="shared" si="3"/>
        <v>3.032876712328767</v>
      </c>
      <c r="H6" s="3915" t="s">
        <v>3971</v>
      </c>
      <c r="I6" s="3916">
        <v>293.60000000000002</v>
      </c>
      <c r="J6" s="3917">
        <v>40.700000000000003</v>
      </c>
      <c r="K6" s="3918">
        <v>7</v>
      </c>
      <c r="L6" s="3918">
        <v>2.8</v>
      </c>
      <c r="M6" s="3919">
        <f t="shared" si="4"/>
        <v>50.5</v>
      </c>
      <c r="N6" s="3920">
        <v>90</v>
      </c>
      <c r="O6" s="3921">
        <f t="shared" si="5"/>
        <v>1075456.8000000003</v>
      </c>
      <c r="P6" s="3921">
        <f t="shared" si="5"/>
        <v>184968.00000000003</v>
      </c>
      <c r="Q6" s="3921">
        <f t="shared" si="5"/>
        <v>73987.199999999997</v>
      </c>
      <c r="R6" s="3922">
        <v>2500</v>
      </c>
      <c r="S6" s="3923">
        <v>150</v>
      </c>
      <c r="T6" s="3923">
        <v>0</v>
      </c>
      <c r="U6" s="3923">
        <v>0</v>
      </c>
      <c r="V6" s="3924">
        <f t="shared" si="6"/>
        <v>1337062.0000000002</v>
      </c>
      <c r="W6" s="3925">
        <v>71697</v>
      </c>
      <c r="X6" s="3925">
        <v>12331</v>
      </c>
      <c r="Y6" s="3925">
        <v>4932</v>
      </c>
      <c r="Z6" s="3925"/>
      <c r="AA6" s="3925"/>
      <c r="AB6" s="3926"/>
      <c r="AC6" s="3927">
        <f t="shared" si="7"/>
        <v>88960</v>
      </c>
      <c r="AD6" s="3926">
        <f t="shared" si="0"/>
        <v>1003759.8000000003</v>
      </c>
      <c r="AE6" s="3926">
        <f t="shared" si="0"/>
        <v>172637.00000000003</v>
      </c>
      <c r="AF6" s="3926">
        <f t="shared" si="0"/>
        <v>69055.199999999997</v>
      </c>
      <c r="AG6" s="3926">
        <f t="shared" si="0"/>
        <v>2500</v>
      </c>
      <c r="AH6" s="3926">
        <f t="shared" si="0"/>
        <v>150</v>
      </c>
      <c r="AI6" s="3926">
        <f t="shared" si="0"/>
        <v>0</v>
      </c>
      <c r="AJ6" s="3926">
        <f t="shared" si="8"/>
        <v>0</v>
      </c>
      <c r="AK6" s="3928">
        <f t="shared" si="9"/>
        <v>1248102.0000000002</v>
      </c>
      <c r="AL6" s="3929">
        <f>SUMIF([3]租约表对应的会计账!$C$5:$C$153,B6,[3]租约表对应的会计账!$D$5:$D$153)</f>
        <v>1003760</v>
      </c>
      <c r="AM6" s="3930">
        <f>SUMIF([3]租约表对应的会计账!$H$5:$H$164,B6,[3]租约表对应的会计账!$I$5:$I$164)</f>
        <v>172637</v>
      </c>
      <c r="AN6" s="3929">
        <f>SUMIF([3]租约表对应的会计账!$S$5:$S$164,B6,[3]租约表对应的会计账!$T$5:$T$164)</f>
        <v>69055</v>
      </c>
      <c r="AO6" s="3929">
        <f>SUMIF([3]租约表对应的会计账!$X$5:$X$164,B6,[3]租约表对应的会计账!$Y$5:$Y$164)</f>
        <v>2500</v>
      </c>
      <c r="AP6" s="3929">
        <f>SUMIF([3]租约表对应的会计账!$AC$5:$AC$164,[3]租约表!B6,[3]租约表对应的会计账!$AD$5:$AD$164)</f>
        <v>150</v>
      </c>
      <c r="AQ6" s="3929">
        <f>SUMIF([3]租约表对应的会计账!$AH$5:$AH$164,[3]租约表!B6,[3]租约表对应的会计账!$AI$5:$AI$164)</f>
        <v>0</v>
      </c>
      <c r="AR6" s="3929">
        <f t="shared" si="10"/>
        <v>1248102</v>
      </c>
      <c r="AS6" s="3929">
        <f t="shared" si="1"/>
        <v>-0.19999999972060323</v>
      </c>
      <c r="AT6" s="3929">
        <f t="shared" si="1"/>
        <v>0</v>
      </c>
      <c r="AU6" s="3929">
        <f t="shared" si="1"/>
        <v>0.19999999999708962</v>
      </c>
      <c r="AV6" s="3929">
        <f t="shared" si="1"/>
        <v>0</v>
      </c>
      <c r="AW6" s="3929">
        <f t="shared" si="1"/>
        <v>0</v>
      </c>
      <c r="AX6" s="3929">
        <f t="shared" si="1"/>
        <v>0</v>
      </c>
      <c r="AY6" s="3929">
        <f t="shared" si="2"/>
        <v>2.7648638933897018E-10</v>
      </c>
      <c r="AZ6" s="3915" t="s">
        <v>3972</v>
      </c>
    </row>
    <row r="7" spans="1:52" s="3931" customFormat="1" ht="60" customHeight="1">
      <c r="A7" s="3910" t="s">
        <v>3965</v>
      </c>
      <c r="B7" s="3911">
        <v>1017</v>
      </c>
      <c r="C7" s="3912" t="s">
        <v>3559</v>
      </c>
      <c r="D7" s="3912" t="s">
        <v>3560</v>
      </c>
      <c r="E7" s="3913">
        <v>44835</v>
      </c>
      <c r="F7" s="3913">
        <v>45565</v>
      </c>
      <c r="G7" s="3914">
        <f t="shared" si="3"/>
        <v>2</v>
      </c>
      <c r="H7" s="3915" t="s">
        <v>3973</v>
      </c>
      <c r="I7" s="3916">
        <v>176.6</v>
      </c>
      <c r="J7" s="3917">
        <v>22.2</v>
      </c>
      <c r="K7" s="3918">
        <v>7</v>
      </c>
      <c r="L7" s="3918">
        <v>2.8</v>
      </c>
      <c r="M7" s="3919">
        <f t="shared" si="4"/>
        <v>32</v>
      </c>
      <c r="N7" s="3920">
        <v>90</v>
      </c>
      <c r="O7" s="3921">
        <f t="shared" si="5"/>
        <v>352846.79999999993</v>
      </c>
      <c r="P7" s="3921">
        <f t="shared" si="5"/>
        <v>111258</v>
      </c>
      <c r="Q7" s="3921">
        <f t="shared" si="5"/>
        <v>44503.199999999997</v>
      </c>
      <c r="R7" s="3922">
        <v>2500</v>
      </c>
      <c r="S7" s="3923">
        <v>150</v>
      </c>
      <c r="T7" s="3923">
        <v>0</v>
      </c>
      <c r="U7" s="3923">
        <v>0</v>
      </c>
      <c r="V7" s="3924">
        <f t="shared" si="6"/>
        <v>511257.99999999994</v>
      </c>
      <c r="W7" s="3925">
        <v>50967</v>
      </c>
      <c r="X7" s="3925">
        <v>16071</v>
      </c>
      <c r="Y7" s="3925">
        <v>6428</v>
      </c>
      <c r="Z7" s="3925"/>
      <c r="AA7" s="3925"/>
      <c r="AB7" s="3926"/>
      <c r="AC7" s="3927">
        <f t="shared" si="7"/>
        <v>73466</v>
      </c>
      <c r="AD7" s="3926">
        <f t="shared" si="0"/>
        <v>301879.79999999993</v>
      </c>
      <c r="AE7" s="3926">
        <f t="shared" si="0"/>
        <v>95187</v>
      </c>
      <c r="AF7" s="3926">
        <f t="shared" si="0"/>
        <v>38075.199999999997</v>
      </c>
      <c r="AG7" s="3926">
        <f t="shared" si="0"/>
        <v>2500</v>
      </c>
      <c r="AH7" s="3926">
        <f t="shared" si="0"/>
        <v>150</v>
      </c>
      <c r="AI7" s="3926">
        <f t="shared" si="0"/>
        <v>0</v>
      </c>
      <c r="AJ7" s="3926">
        <f t="shared" si="8"/>
        <v>0</v>
      </c>
      <c r="AK7" s="3928">
        <f t="shared" si="9"/>
        <v>437791.99999999994</v>
      </c>
      <c r="AL7" s="3929">
        <f>SUMIF([3]租约表对应的会计账!$C$5:$C$164,B7,[3]租约表对应的会计账!$D$5:$D$164)</f>
        <v>301880</v>
      </c>
      <c r="AM7" s="3930">
        <f>SUMIF([3]租约表对应的会计账!$H$5:$H$164,B7,[3]租约表对应的会计账!$I$5:$I$164)</f>
        <v>95187</v>
      </c>
      <c r="AN7" s="3929">
        <f>SUMIF([3]租约表对应的会计账!$S$5:$S$164,B7,[3]租约表对应的会计账!$T$5:$T$164)</f>
        <v>38075</v>
      </c>
      <c r="AO7" s="3929">
        <f>SUMIF([3]租约表对应的会计账!$X$5:$X$164,B7,[3]租约表对应的会计账!$Y$5:$Y$164)</f>
        <v>2500</v>
      </c>
      <c r="AP7" s="3929">
        <f>SUMIF([3]租约表对应的会计账!$AC$5:$AC$164,[3]租约表!B7,[3]租约表对应的会计账!$AD$5:$AD$164)</f>
        <v>150</v>
      </c>
      <c r="AQ7" s="3929">
        <f>SUMIF([3]租约表对应的会计账!$AH$5:$AH$164,[3]租约表!B7,[3]租约表对应的会计账!$AI$5:$AI$164)</f>
        <v>0</v>
      </c>
      <c r="AR7" s="3929">
        <f t="shared" si="10"/>
        <v>437792</v>
      </c>
      <c r="AS7" s="3929">
        <f t="shared" si="1"/>
        <v>-0.20000000006984919</v>
      </c>
      <c r="AT7" s="3929">
        <f t="shared" si="1"/>
        <v>0</v>
      </c>
      <c r="AU7" s="3929">
        <f t="shared" si="1"/>
        <v>0.19999999999708962</v>
      </c>
      <c r="AV7" s="3929">
        <f t="shared" si="1"/>
        <v>0</v>
      </c>
      <c r="AW7" s="3929">
        <f t="shared" si="1"/>
        <v>0</v>
      </c>
      <c r="AX7" s="3929">
        <f t="shared" si="1"/>
        <v>0</v>
      </c>
      <c r="AY7" s="3929">
        <f t="shared" si="2"/>
        <v>-7.2759576141834259E-11</v>
      </c>
      <c r="AZ7" s="3915" t="s">
        <v>3967</v>
      </c>
    </row>
    <row r="8" spans="1:52" s="3931" customFormat="1" ht="60" customHeight="1">
      <c r="A8" s="3910" t="s">
        <v>3965</v>
      </c>
      <c r="B8" s="3911">
        <v>1023</v>
      </c>
      <c r="C8" s="3912" t="s">
        <v>3561</v>
      </c>
      <c r="D8" s="3912" t="s">
        <v>3562</v>
      </c>
      <c r="E8" s="3913">
        <v>43546</v>
      </c>
      <c r="F8" s="3933">
        <v>45747</v>
      </c>
      <c r="G8" s="3914">
        <f t="shared" si="3"/>
        <v>6.0301369863013701</v>
      </c>
      <c r="H8" s="3915" t="s">
        <v>3974</v>
      </c>
      <c r="I8" s="3916">
        <v>65.400000000000006</v>
      </c>
      <c r="J8" s="3917">
        <v>28</v>
      </c>
      <c r="K8" s="3918">
        <v>7</v>
      </c>
      <c r="L8" s="3918">
        <v>2.8</v>
      </c>
      <c r="M8" s="3919">
        <f t="shared" si="4"/>
        <v>37.799999999999997</v>
      </c>
      <c r="N8" s="3920">
        <v>90</v>
      </c>
      <c r="O8" s="3921">
        <f t="shared" si="5"/>
        <v>164808.00000000003</v>
      </c>
      <c r="P8" s="3921">
        <f t="shared" si="5"/>
        <v>41202.000000000007</v>
      </c>
      <c r="Q8" s="3921">
        <f t="shared" si="5"/>
        <v>16480.8</v>
      </c>
      <c r="R8" s="3922">
        <v>2500</v>
      </c>
      <c r="S8" s="3923">
        <v>150</v>
      </c>
      <c r="T8" s="3923">
        <v>0</v>
      </c>
      <c r="U8" s="3923">
        <v>0</v>
      </c>
      <c r="V8" s="3924">
        <f t="shared" si="6"/>
        <v>225140.80000000002</v>
      </c>
      <c r="W8" s="3925">
        <v>10987</v>
      </c>
      <c r="X8" s="3925">
        <v>2747</v>
      </c>
      <c r="Y8" s="3925">
        <v>1099</v>
      </c>
      <c r="Z8" s="3925"/>
      <c r="AA8" s="3925"/>
      <c r="AB8" s="3926"/>
      <c r="AC8" s="3927">
        <f t="shared" si="7"/>
        <v>14833</v>
      </c>
      <c r="AD8" s="3926">
        <f t="shared" si="0"/>
        <v>153821.00000000003</v>
      </c>
      <c r="AE8" s="3926">
        <f t="shared" si="0"/>
        <v>38455.000000000007</v>
      </c>
      <c r="AF8" s="3926">
        <f t="shared" si="0"/>
        <v>15381.8</v>
      </c>
      <c r="AG8" s="3926">
        <f t="shared" si="0"/>
        <v>2500</v>
      </c>
      <c r="AH8" s="3926">
        <f t="shared" si="0"/>
        <v>150</v>
      </c>
      <c r="AI8" s="3926">
        <f t="shared" si="0"/>
        <v>0</v>
      </c>
      <c r="AJ8" s="3926">
        <f t="shared" si="8"/>
        <v>0</v>
      </c>
      <c r="AK8" s="3928">
        <f t="shared" si="9"/>
        <v>210307.80000000002</v>
      </c>
      <c r="AL8" s="3929">
        <f>SUMIF([3]租约表对应的会计账!$C$5:$C$164,B8,[3]租约表对应的会计账!$D$5:$D$164)</f>
        <v>0</v>
      </c>
      <c r="AM8" s="3930">
        <f>SUMIF([3]租约表对应的会计账!$H$5:$H$164,B8,[3]租约表对应的会计账!$I$5:$I$164)</f>
        <v>0</v>
      </c>
      <c r="AN8" s="3929">
        <f>SUMIF([3]租约表对应的会计账!$S$5:$S$164,B8,[3]租约表对应的会计账!$T$5:$T$164)</f>
        <v>4578</v>
      </c>
      <c r="AO8" s="3929">
        <f>SUMIF([3]租约表对应的会计账!$X$5:$X$164,B8,[3]租约表对应的会计账!$Y$5:$Y$164)</f>
        <v>833</v>
      </c>
      <c r="AP8" s="3929">
        <f>SUMIF([3]租约表对应的会计账!$AC$5:$AC$164,[3]租约表!B8,[3]租约表对应的会计账!$AD$5:$AD$164)</f>
        <v>50</v>
      </c>
      <c r="AQ8" s="3929">
        <f>SUMIF([3]租约表对应的会计账!$AH$5:$AH$164,[3]租约表!B8,[3]租约表对应的会计账!$AI$5:$AI$164)</f>
        <v>0</v>
      </c>
      <c r="AR8" s="3929">
        <f t="shared" si="10"/>
        <v>5461</v>
      </c>
      <c r="AS8" s="3929">
        <f t="shared" si="1"/>
        <v>153821.00000000003</v>
      </c>
      <c r="AT8" s="3929">
        <f t="shared" si="1"/>
        <v>38455.000000000007</v>
      </c>
      <c r="AU8" s="3929">
        <f t="shared" si="1"/>
        <v>10803.8</v>
      </c>
      <c r="AV8" s="3929">
        <f t="shared" si="1"/>
        <v>1667</v>
      </c>
      <c r="AW8" s="3929">
        <f t="shared" si="1"/>
        <v>100</v>
      </c>
      <c r="AX8" s="3929">
        <f t="shared" si="1"/>
        <v>0</v>
      </c>
      <c r="AY8" s="3929">
        <f t="shared" si="2"/>
        <v>204846.80000000002</v>
      </c>
      <c r="AZ8" s="3915" t="s">
        <v>3975</v>
      </c>
    </row>
    <row r="9" spans="1:52" s="3931" customFormat="1" ht="60" customHeight="1">
      <c r="A9" s="3910" t="s">
        <v>3965</v>
      </c>
      <c r="B9" s="3911">
        <v>1027</v>
      </c>
      <c r="C9" s="3912" t="s">
        <v>3563</v>
      </c>
      <c r="D9" s="3912" t="s">
        <v>3564</v>
      </c>
      <c r="E9" s="3913">
        <v>44287</v>
      </c>
      <c r="F9" s="3912">
        <v>45747</v>
      </c>
      <c r="G9" s="3914">
        <f t="shared" si="3"/>
        <v>4</v>
      </c>
      <c r="H9" s="3915" t="s">
        <v>3976</v>
      </c>
      <c r="I9" s="3916">
        <v>162.1</v>
      </c>
      <c r="J9" s="3917">
        <v>19</v>
      </c>
      <c r="K9" s="3918">
        <v>7</v>
      </c>
      <c r="L9" s="3918">
        <v>2.8</v>
      </c>
      <c r="M9" s="3919">
        <f t="shared" si="4"/>
        <v>28.8</v>
      </c>
      <c r="N9" s="3920">
        <v>90</v>
      </c>
      <c r="O9" s="3921">
        <f t="shared" si="5"/>
        <v>277191</v>
      </c>
      <c r="P9" s="3921">
        <f t="shared" si="5"/>
        <v>102123</v>
      </c>
      <c r="Q9" s="3921">
        <f t="shared" si="5"/>
        <v>40849.199999999997</v>
      </c>
      <c r="R9" s="3922">
        <v>2500</v>
      </c>
      <c r="S9" s="3923">
        <v>150</v>
      </c>
      <c r="T9" s="3923">
        <v>0</v>
      </c>
      <c r="U9" s="3923">
        <v>0</v>
      </c>
      <c r="V9" s="3924">
        <f t="shared" si="6"/>
        <v>422813.2</v>
      </c>
      <c r="W9" s="3925">
        <v>18479</v>
      </c>
      <c r="X9" s="3925">
        <v>6808</v>
      </c>
      <c r="Y9" s="3925">
        <v>2723</v>
      </c>
      <c r="Z9" s="3925"/>
      <c r="AA9" s="3925"/>
      <c r="AB9" s="3926"/>
      <c r="AC9" s="3927">
        <f t="shared" si="7"/>
        <v>28010</v>
      </c>
      <c r="AD9" s="3926">
        <f t="shared" si="0"/>
        <v>258712</v>
      </c>
      <c r="AE9" s="3926">
        <f t="shared" si="0"/>
        <v>95315</v>
      </c>
      <c r="AF9" s="3926">
        <f t="shared" si="0"/>
        <v>38126.199999999997</v>
      </c>
      <c r="AG9" s="3926">
        <f t="shared" si="0"/>
        <v>2500</v>
      </c>
      <c r="AH9" s="3926">
        <f t="shared" si="0"/>
        <v>150</v>
      </c>
      <c r="AI9" s="3926">
        <f t="shared" si="0"/>
        <v>0</v>
      </c>
      <c r="AJ9" s="3926">
        <f t="shared" si="8"/>
        <v>0</v>
      </c>
      <c r="AK9" s="3928">
        <f t="shared" si="9"/>
        <v>394803.20000000001</v>
      </c>
      <c r="AL9" s="3929">
        <f>SUMIF([3]租约表对应的会计账!$C$5:$C$164,B9,[3]租约表对应的会计账!$D$5:$D$164)</f>
        <v>258712</v>
      </c>
      <c r="AM9" s="3930">
        <f>SUMIF([3]租约表对应的会计账!$H$5:$H$164,B9,[3]租约表对应的会计账!$I$5:$I$164)</f>
        <v>95315</v>
      </c>
      <c r="AN9" s="3929">
        <f>SUMIF([3]租约表对应的会计账!$S$5:$S$164,B9,[3]租约表对应的会计账!$T$5:$T$164)</f>
        <v>38126</v>
      </c>
      <c r="AO9" s="3929">
        <f>SUMIF([3]租约表对应的会计账!$X$5:$X$164,B9,[3]租约表对应的会计账!$Y$5:$Y$164)</f>
        <v>2500</v>
      </c>
      <c r="AP9" s="3929">
        <f>SUMIF([3]租约表对应的会计账!$AC$5:$AC$164,[3]租约表!B9,[3]租约表对应的会计账!$AD$5:$AD$164)</f>
        <v>150</v>
      </c>
      <c r="AQ9" s="3929">
        <f>SUMIF([3]租约表对应的会计账!$AH$5:$AH$164,[3]租约表!B9,[3]租约表对应的会计账!$AI$5:$AI$164)</f>
        <v>0</v>
      </c>
      <c r="AR9" s="3929">
        <f t="shared" si="10"/>
        <v>394803</v>
      </c>
      <c r="AS9" s="3929">
        <f t="shared" si="1"/>
        <v>0</v>
      </c>
      <c r="AT9" s="3929">
        <f t="shared" si="1"/>
        <v>0</v>
      </c>
      <c r="AU9" s="3929">
        <f t="shared" si="1"/>
        <v>0.19999999999708962</v>
      </c>
      <c r="AV9" s="3929">
        <f t="shared" si="1"/>
        <v>0</v>
      </c>
      <c r="AW9" s="3929">
        <f t="shared" si="1"/>
        <v>0</v>
      </c>
      <c r="AX9" s="3929">
        <f t="shared" si="1"/>
        <v>0</v>
      </c>
      <c r="AY9" s="3929">
        <f t="shared" si="2"/>
        <v>0.19999999999708962</v>
      </c>
      <c r="AZ9" s="3915" t="s">
        <v>3967</v>
      </c>
    </row>
    <row r="10" spans="1:52" s="3931" customFormat="1" ht="60" customHeight="1">
      <c r="A10" s="3910" t="s">
        <v>3965</v>
      </c>
      <c r="B10" s="3911">
        <v>1030</v>
      </c>
      <c r="C10" s="3912" t="s">
        <v>3552</v>
      </c>
      <c r="D10" s="3912" t="s">
        <v>3553</v>
      </c>
      <c r="E10" s="3913">
        <v>44652</v>
      </c>
      <c r="F10" s="3913">
        <v>45382</v>
      </c>
      <c r="G10" s="3914">
        <f t="shared" si="3"/>
        <v>2</v>
      </c>
      <c r="H10" s="3915" t="s">
        <v>3977</v>
      </c>
      <c r="I10" s="3916">
        <v>97.1</v>
      </c>
      <c r="J10" s="3917">
        <v>2.0499999999999998</v>
      </c>
      <c r="K10" s="3918">
        <v>7</v>
      </c>
      <c r="L10" s="3918">
        <v>2.8</v>
      </c>
      <c r="M10" s="3919">
        <f t="shared" si="4"/>
        <v>11.850000000000001</v>
      </c>
      <c r="N10" s="3920">
        <v>90</v>
      </c>
      <c r="O10" s="3921">
        <f t="shared" si="5"/>
        <v>17914.949999999997</v>
      </c>
      <c r="P10" s="3921">
        <f t="shared" si="5"/>
        <v>61172.999999999993</v>
      </c>
      <c r="Q10" s="3921">
        <f t="shared" si="5"/>
        <v>24469.199999999993</v>
      </c>
      <c r="R10" s="3922">
        <v>0</v>
      </c>
      <c r="S10" s="3923">
        <v>0</v>
      </c>
      <c r="T10" s="3923">
        <v>0</v>
      </c>
      <c r="U10" s="3923">
        <v>0</v>
      </c>
      <c r="V10" s="3924">
        <f t="shared" si="6"/>
        <v>103557.14999999998</v>
      </c>
      <c r="W10" s="3925">
        <v>1293</v>
      </c>
      <c r="X10" s="3925">
        <v>4078</v>
      </c>
      <c r="Y10" s="3925">
        <v>1631</v>
      </c>
      <c r="Z10" s="3925"/>
      <c r="AA10" s="3925"/>
      <c r="AB10" s="3926"/>
      <c r="AC10" s="3927">
        <f t="shared" si="7"/>
        <v>7002</v>
      </c>
      <c r="AD10" s="3926">
        <f t="shared" si="0"/>
        <v>16621.949999999997</v>
      </c>
      <c r="AE10" s="3926">
        <f t="shared" si="0"/>
        <v>57094.999999999993</v>
      </c>
      <c r="AF10" s="3926">
        <f t="shared" si="0"/>
        <v>22838.199999999993</v>
      </c>
      <c r="AG10" s="3926">
        <f t="shared" si="0"/>
        <v>0</v>
      </c>
      <c r="AH10" s="3926">
        <f t="shared" si="0"/>
        <v>0</v>
      </c>
      <c r="AI10" s="3926">
        <f t="shared" si="0"/>
        <v>0</v>
      </c>
      <c r="AJ10" s="3926">
        <f t="shared" si="8"/>
        <v>0</v>
      </c>
      <c r="AK10" s="3928">
        <f t="shared" si="9"/>
        <v>96555.14999999998</v>
      </c>
      <c r="AL10" s="3929">
        <f>SUMIF([3]租约表对应的会计账!$C$5:$C$164,B10,[3]租约表对应的会计账!$D$5:$D$164)</f>
        <v>18065</v>
      </c>
      <c r="AM10" s="3930">
        <f>SUMIF([3]租约表对应的会计账!$H$5:$H$164,B10,[3]租约表对应的会计账!$I$5:$I$164)</f>
        <v>57095</v>
      </c>
      <c r="AN10" s="3929">
        <f>SUMIF([3]租约表对应的会计账!$S$5:$S$164,B10,[3]租约表对应的会计账!$T$5:$T$164)</f>
        <v>22838</v>
      </c>
      <c r="AO10" s="3929">
        <f>SUMIF([3]租约表对应的会计账!$X$5:$X$164,B10,[3]租约表对应的会计账!$Y$5:$Y$164)</f>
        <v>0</v>
      </c>
      <c r="AP10" s="3929">
        <f>SUMIF([3]租约表对应的会计账!$AC$5:$AC$164,[3]租约表!B10,[3]租约表对应的会计账!$AD$5:$AD$164)</f>
        <v>0</v>
      </c>
      <c r="AQ10" s="3929">
        <f>SUMIF([3]租约表对应的会计账!$AH$5:$AH$164,[3]租约表!B10,[3]租约表对应的会计账!$AI$5:$AI$164)</f>
        <v>0</v>
      </c>
      <c r="AR10" s="3929">
        <f t="shared" si="10"/>
        <v>97998</v>
      </c>
      <c r="AS10" s="3929">
        <f t="shared" si="1"/>
        <v>-1443.0500000000029</v>
      </c>
      <c r="AT10" s="3929">
        <f t="shared" si="1"/>
        <v>0</v>
      </c>
      <c r="AU10" s="3929">
        <f t="shared" si="1"/>
        <v>0.19999999999345164</v>
      </c>
      <c r="AV10" s="3929">
        <f t="shared" si="1"/>
        <v>0</v>
      </c>
      <c r="AW10" s="3929">
        <f t="shared" si="1"/>
        <v>0</v>
      </c>
      <c r="AX10" s="3929">
        <f t="shared" si="1"/>
        <v>0</v>
      </c>
      <c r="AY10" s="3929">
        <f t="shared" si="2"/>
        <v>-1442.8500000000095</v>
      </c>
      <c r="AZ10" s="3915" t="s">
        <v>3967</v>
      </c>
    </row>
    <row r="11" spans="1:52" s="3931" customFormat="1" ht="60" customHeight="1">
      <c r="A11" s="3910" t="s">
        <v>3965</v>
      </c>
      <c r="B11" s="3911">
        <v>1053</v>
      </c>
      <c r="C11" s="3912" t="s">
        <v>3565</v>
      </c>
      <c r="D11" s="3912" t="s">
        <v>3566</v>
      </c>
      <c r="E11" s="3913">
        <v>44652</v>
      </c>
      <c r="F11" s="3913">
        <v>45382</v>
      </c>
      <c r="G11" s="3914">
        <f t="shared" si="3"/>
        <v>2</v>
      </c>
      <c r="H11" s="3915" t="s">
        <v>3978</v>
      </c>
      <c r="I11" s="3916">
        <v>136</v>
      </c>
      <c r="J11" s="3917">
        <v>17.2</v>
      </c>
      <c r="K11" s="3918">
        <v>7</v>
      </c>
      <c r="L11" s="3918">
        <v>2.8</v>
      </c>
      <c r="M11" s="3919">
        <f t="shared" si="4"/>
        <v>27</v>
      </c>
      <c r="N11" s="3920">
        <v>90</v>
      </c>
      <c r="O11" s="3921">
        <f t="shared" si="5"/>
        <v>210527.99999999997</v>
      </c>
      <c r="P11" s="3921">
        <f t="shared" si="5"/>
        <v>85680</v>
      </c>
      <c r="Q11" s="3921">
        <f t="shared" si="5"/>
        <v>34271.999999999993</v>
      </c>
      <c r="R11" s="3922">
        <v>2500</v>
      </c>
      <c r="S11" s="3923">
        <v>150</v>
      </c>
      <c r="T11" s="3923">
        <v>0</v>
      </c>
      <c r="U11" s="3923">
        <v>0</v>
      </c>
      <c r="V11" s="3924">
        <f t="shared" si="6"/>
        <v>333130</v>
      </c>
      <c r="W11" s="3925">
        <v>14035</v>
      </c>
      <c r="X11" s="3925">
        <v>5712</v>
      </c>
      <c r="Y11" s="3925">
        <v>2285</v>
      </c>
      <c r="Z11" s="3925"/>
      <c r="AA11" s="3925"/>
      <c r="AB11" s="3926"/>
      <c r="AC11" s="3927">
        <f t="shared" si="7"/>
        <v>22032</v>
      </c>
      <c r="AD11" s="3926">
        <f t="shared" si="0"/>
        <v>196492.99999999997</v>
      </c>
      <c r="AE11" s="3926">
        <f t="shared" si="0"/>
        <v>79968</v>
      </c>
      <c r="AF11" s="3926">
        <f t="shared" si="0"/>
        <v>31986.999999999993</v>
      </c>
      <c r="AG11" s="3926">
        <f t="shared" si="0"/>
        <v>2500</v>
      </c>
      <c r="AH11" s="3926">
        <f t="shared" si="0"/>
        <v>150</v>
      </c>
      <c r="AI11" s="3926">
        <f t="shared" si="0"/>
        <v>0</v>
      </c>
      <c r="AJ11" s="3926">
        <f t="shared" si="8"/>
        <v>0</v>
      </c>
      <c r="AK11" s="3928">
        <f t="shared" si="9"/>
        <v>311098</v>
      </c>
      <c r="AL11" s="3929">
        <f>SUMIF([3]租约表对应的会计账!$C$5:$C$164,B11,[3]租约表对应的会计账!$D$5:$D$164)</f>
        <v>196493</v>
      </c>
      <c r="AM11" s="3930">
        <f>SUMIF([3]租约表对应的会计账!$H$5:$H$164,B11,[3]租约表对应的会计账!$I$5:$I$164)</f>
        <v>79968</v>
      </c>
      <c r="AN11" s="3929">
        <f>SUMIF([3]租约表对应的会计账!$S$5:$S$164,B11,[3]租约表对应的会计账!$T$5:$T$164)</f>
        <v>31987</v>
      </c>
      <c r="AO11" s="3929">
        <f>SUMIF([3]租约表对应的会计账!$X$5:$X$164,B11,[3]租约表对应的会计账!$Y$5:$Y$164)</f>
        <v>2500</v>
      </c>
      <c r="AP11" s="3929">
        <f>SUMIF([3]租约表对应的会计账!$AC$5:$AC$164,[3]租约表!B11,[3]租约表对应的会计账!$AD$5:$AD$164)</f>
        <v>150</v>
      </c>
      <c r="AQ11" s="3929">
        <f>SUMIF([3]租约表对应的会计账!$AH$5:$AH$164,[3]租约表!B11,[3]租约表对应的会计账!$AI$5:$AI$164)</f>
        <v>0</v>
      </c>
      <c r="AR11" s="3929">
        <f t="shared" si="10"/>
        <v>311098</v>
      </c>
      <c r="AS11" s="3929">
        <f t="shared" si="1"/>
        <v>0</v>
      </c>
      <c r="AT11" s="3929">
        <f t="shared" si="1"/>
        <v>0</v>
      </c>
      <c r="AU11" s="3929">
        <f t="shared" si="1"/>
        <v>0</v>
      </c>
      <c r="AV11" s="3929">
        <f t="shared" si="1"/>
        <v>0</v>
      </c>
      <c r="AW11" s="3929">
        <f t="shared" si="1"/>
        <v>0</v>
      </c>
      <c r="AX11" s="3929">
        <f t="shared" si="1"/>
        <v>0</v>
      </c>
      <c r="AY11" s="3929">
        <f t="shared" si="2"/>
        <v>0</v>
      </c>
      <c r="AZ11" s="3915" t="s">
        <v>3967</v>
      </c>
    </row>
    <row r="12" spans="1:52" s="3931" customFormat="1" ht="60" customHeight="1">
      <c r="A12" s="3910" t="s">
        <v>3965</v>
      </c>
      <c r="B12" s="3911">
        <v>1055</v>
      </c>
      <c r="C12" s="3912" t="s">
        <v>3565</v>
      </c>
      <c r="D12" s="3912" t="s">
        <v>3566</v>
      </c>
      <c r="E12" s="3913">
        <v>44652</v>
      </c>
      <c r="F12" s="3913">
        <v>45382</v>
      </c>
      <c r="G12" s="3914">
        <f t="shared" si="3"/>
        <v>2</v>
      </c>
      <c r="H12" s="3915" t="s">
        <v>3979</v>
      </c>
      <c r="I12" s="3916">
        <v>138</v>
      </c>
      <c r="J12" s="3917">
        <v>4.54</v>
      </c>
      <c r="K12" s="3918">
        <v>1</v>
      </c>
      <c r="L12" s="3918">
        <v>2.8</v>
      </c>
      <c r="M12" s="3919">
        <f t="shared" si="4"/>
        <v>8.34</v>
      </c>
      <c r="N12" s="3920">
        <v>90</v>
      </c>
      <c r="O12" s="3921">
        <f t="shared" si="5"/>
        <v>56386.799999999996</v>
      </c>
      <c r="P12" s="3921">
        <f t="shared" si="5"/>
        <v>12420</v>
      </c>
      <c r="Q12" s="3921">
        <f t="shared" si="5"/>
        <v>34776</v>
      </c>
      <c r="R12" s="3922">
        <v>0</v>
      </c>
      <c r="S12" s="3923">
        <v>150</v>
      </c>
      <c r="T12" s="3923">
        <v>0</v>
      </c>
      <c r="U12" s="3923">
        <v>0</v>
      </c>
      <c r="V12" s="3924">
        <f t="shared" si="6"/>
        <v>103732.79999999999</v>
      </c>
      <c r="W12" s="3925">
        <v>3850</v>
      </c>
      <c r="X12" s="3925">
        <v>828</v>
      </c>
      <c r="Y12" s="3925">
        <v>2318</v>
      </c>
      <c r="Z12" s="3925"/>
      <c r="AA12" s="3925"/>
      <c r="AB12" s="3926"/>
      <c r="AC12" s="3927">
        <f t="shared" si="7"/>
        <v>6996</v>
      </c>
      <c r="AD12" s="3926">
        <f t="shared" si="0"/>
        <v>52536.799999999996</v>
      </c>
      <c r="AE12" s="3926">
        <f t="shared" si="0"/>
        <v>11592</v>
      </c>
      <c r="AF12" s="3926">
        <f t="shared" si="0"/>
        <v>32458</v>
      </c>
      <c r="AG12" s="3926">
        <f t="shared" si="0"/>
        <v>0</v>
      </c>
      <c r="AH12" s="3926">
        <f t="shared" si="0"/>
        <v>150</v>
      </c>
      <c r="AI12" s="3926">
        <f t="shared" si="0"/>
        <v>0</v>
      </c>
      <c r="AJ12" s="3926">
        <f t="shared" si="8"/>
        <v>0</v>
      </c>
      <c r="AK12" s="3928">
        <f t="shared" si="9"/>
        <v>96736.799999999988</v>
      </c>
      <c r="AL12" s="3929">
        <f>SUMIF([3]租约表对应的会计账!$C$5:$C$164,B12,[3]租约表对应的会计账!$D$5:$D$164)</f>
        <v>53954</v>
      </c>
      <c r="AM12" s="3930">
        <f>SUMIF([3]租约表对应的会计账!$H$5:$H$164,B12,[3]租约表对应的会计账!$I$5:$I$164)</f>
        <v>11592</v>
      </c>
      <c r="AN12" s="3929">
        <f>SUMIF([3]租约表对应的会计账!$S$5:$S$164,B12,[3]租约表对应的会计账!$T$5:$T$164)</f>
        <v>32458</v>
      </c>
      <c r="AO12" s="3929">
        <f>SUMIF([3]租约表对应的会计账!$X$5:$X$164,B12,[3]租约表对应的会计账!$Y$5:$Y$164)</f>
        <v>0</v>
      </c>
      <c r="AP12" s="3929">
        <f>SUMIF([3]租约表对应的会计账!$AC$5:$AC$164,[3]租约表!B12,[3]租约表对应的会计账!$AD$5:$AD$164)</f>
        <v>150</v>
      </c>
      <c r="AQ12" s="3929">
        <f>SUMIF([3]租约表对应的会计账!$AH$5:$AH$164,[3]租约表!B12,[3]租约表对应的会计账!$AI$5:$AI$164)</f>
        <v>0</v>
      </c>
      <c r="AR12" s="3929">
        <f t="shared" si="10"/>
        <v>98154</v>
      </c>
      <c r="AS12" s="3929">
        <f t="shared" si="1"/>
        <v>-1417.2000000000044</v>
      </c>
      <c r="AT12" s="3929">
        <f t="shared" si="1"/>
        <v>0</v>
      </c>
      <c r="AU12" s="3929">
        <f t="shared" si="1"/>
        <v>0</v>
      </c>
      <c r="AV12" s="3929">
        <f t="shared" si="1"/>
        <v>0</v>
      </c>
      <c r="AW12" s="3929">
        <f t="shared" si="1"/>
        <v>0</v>
      </c>
      <c r="AX12" s="3929">
        <f t="shared" si="1"/>
        <v>0</v>
      </c>
      <c r="AY12" s="3929">
        <f t="shared" si="2"/>
        <v>-1417.2000000000044</v>
      </c>
      <c r="AZ12" s="3915" t="s">
        <v>3967</v>
      </c>
    </row>
    <row r="13" spans="1:52" s="3931" customFormat="1" ht="60" customHeight="1">
      <c r="A13" s="3910" t="s">
        <v>3965</v>
      </c>
      <c r="B13" s="3911">
        <v>1059</v>
      </c>
      <c r="C13" s="3912" t="s">
        <v>3567</v>
      </c>
      <c r="D13" s="3912" t="s">
        <v>3553</v>
      </c>
      <c r="E13" s="3913">
        <v>44652</v>
      </c>
      <c r="F13" s="3913">
        <v>45382</v>
      </c>
      <c r="G13" s="3914">
        <f t="shared" si="3"/>
        <v>2</v>
      </c>
      <c r="H13" s="3915" t="s">
        <v>3980</v>
      </c>
      <c r="I13" s="3916">
        <v>185.3</v>
      </c>
      <c r="J13" s="3917">
        <v>14.7</v>
      </c>
      <c r="K13" s="3918">
        <v>7</v>
      </c>
      <c r="L13" s="3918">
        <v>2.8</v>
      </c>
      <c r="M13" s="3919">
        <f t="shared" si="4"/>
        <v>24.5</v>
      </c>
      <c r="N13" s="3920">
        <v>90</v>
      </c>
      <c r="O13" s="3921">
        <f t="shared" si="5"/>
        <v>245151.9</v>
      </c>
      <c r="P13" s="3921">
        <f t="shared" si="5"/>
        <v>116739.00000000001</v>
      </c>
      <c r="Q13" s="3921">
        <f t="shared" si="5"/>
        <v>46695.600000000006</v>
      </c>
      <c r="R13" s="3922">
        <v>2500</v>
      </c>
      <c r="S13" s="3923">
        <v>150</v>
      </c>
      <c r="T13" s="3923">
        <v>0</v>
      </c>
      <c r="U13" s="3923">
        <v>0</v>
      </c>
      <c r="V13" s="3924">
        <f t="shared" si="6"/>
        <v>411236.5</v>
      </c>
      <c r="W13" s="3925">
        <v>16343</v>
      </c>
      <c r="X13" s="3925">
        <v>7783</v>
      </c>
      <c r="Y13" s="3925">
        <v>3113</v>
      </c>
      <c r="Z13" s="3925"/>
      <c r="AA13" s="3925"/>
      <c r="AB13" s="3926"/>
      <c r="AC13" s="3927">
        <f t="shared" si="7"/>
        <v>27239</v>
      </c>
      <c r="AD13" s="3926">
        <f t="shared" si="0"/>
        <v>228808.9</v>
      </c>
      <c r="AE13" s="3926">
        <f t="shared" si="0"/>
        <v>108956.00000000001</v>
      </c>
      <c r="AF13" s="3926">
        <f t="shared" si="0"/>
        <v>43582.600000000006</v>
      </c>
      <c r="AG13" s="3926">
        <f t="shared" si="0"/>
        <v>2500</v>
      </c>
      <c r="AH13" s="3926">
        <f t="shared" si="0"/>
        <v>150</v>
      </c>
      <c r="AI13" s="3926">
        <f t="shared" si="0"/>
        <v>0</v>
      </c>
      <c r="AJ13" s="3926">
        <f t="shared" si="8"/>
        <v>0</v>
      </c>
      <c r="AK13" s="3928">
        <f t="shared" si="9"/>
        <v>383997.5</v>
      </c>
      <c r="AL13" s="3929">
        <f>SUMIF([3]租约表对应的会计账!$C$5:$C$164,B13,[3]租约表对应的会计账!$D$5:$D$164)</f>
        <v>228809</v>
      </c>
      <c r="AM13" s="3930">
        <f>SUMIF([3]租约表对应的会计账!$H$5:$H$164,B13,[3]租约表对应的会计账!$I$5:$I$164)</f>
        <v>108956</v>
      </c>
      <c r="AN13" s="3929">
        <f>SUMIF([3]租约表对应的会计账!$S$5:$S$164,B13,[3]租约表对应的会计账!$T$5:$T$164)</f>
        <v>43583</v>
      </c>
      <c r="AO13" s="3929">
        <f>SUMIF([3]租约表对应的会计账!$X$5:$X$164,B13,[3]租约表对应的会计账!$Y$5:$Y$164)</f>
        <v>2500</v>
      </c>
      <c r="AP13" s="3929">
        <f>SUMIF([3]租约表对应的会计账!$AC$5:$AC$164,[3]租约表!B13,[3]租约表对应的会计账!$AD$5:$AD$164)</f>
        <v>150</v>
      </c>
      <c r="AQ13" s="3929">
        <f>SUMIF([3]租约表对应的会计账!$AH$5:$AH$164,[3]租约表!B13,[3]租约表对应的会计账!$AI$5:$AI$164)</f>
        <v>0</v>
      </c>
      <c r="AR13" s="3929">
        <f t="shared" si="10"/>
        <v>383998</v>
      </c>
      <c r="AS13" s="3929">
        <f t="shared" si="1"/>
        <v>-0.10000000000582077</v>
      </c>
      <c r="AT13" s="3929">
        <f t="shared" si="1"/>
        <v>0</v>
      </c>
      <c r="AU13" s="3929">
        <f t="shared" si="1"/>
        <v>-0.39999999999417923</v>
      </c>
      <c r="AV13" s="3929">
        <f t="shared" si="1"/>
        <v>0</v>
      </c>
      <c r="AW13" s="3929">
        <f t="shared" si="1"/>
        <v>0</v>
      </c>
      <c r="AX13" s="3929">
        <f t="shared" si="1"/>
        <v>0</v>
      </c>
      <c r="AY13" s="3929">
        <f t="shared" si="2"/>
        <v>-0.5</v>
      </c>
      <c r="AZ13" s="3915"/>
    </row>
    <row r="14" spans="1:52" s="3931" customFormat="1" ht="60" customHeight="1">
      <c r="A14" s="3910" t="s">
        <v>3965</v>
      </c>
      <c r="B14" s="3911">
        <v>1060</v>
      </c>
      <c r="C14" s="3912" t="s">
        <v>3568</v>
      </c>
      <c r="D14" s="3912"/>
      <c r="E14" s="3913"/>
      <c r="F14" s="3913"/>
      <c r="G14" s="3914">
        <f t="shared" si="3"/>
        <v>0</v>
      </c>
      <c r="H14" s="3915"/>
      <c r="I14" s="3916">
        <v>119.2</v>
      </c>
      <c r="J14" s="3917"/>
      <c r="K14" s="3918"/>
      <c r="L14" s="3918"/>
      <c r="M14" s="3919">
        <f t="shared" si="4"/>
        <v>0</v>
      </c>
      <c r="N14" s="3920"/>
      <c r="O14" s="3921">
        <f t="shared" si="5"/>
        <v>0</v>
      </c>
      <c r="P14" s="3921">
        <f t="shared" si="5"/>
        <v>0</v>
      </c>
      <c r="Q14" s="3921">
        <f t="shared" si="5"/>
        <v>0</v>
      </c>
      <c r="R14" s="3922">
        <v>0</v>
      </c>
      <c r="S14" s="3923">
        <v>0</v>
      </c>
      <c r="T14" s="3923">
        <v>0</v>
      </c>
      <c r="U14" s="3923">
        <v>0</v>
      </c>
      <c r="V14" s="3924">
        <f t="shared" si="6"/>
        <v>0</v>
      </c>
      <c r="W14" s="3925">
        <v>0</v>
      </c>
      <c r="X14" s="3925">
        <v>0</v>
      </c>
      <c r="Y14" s="3925">
        <v>0</v>
      </c>
      <c r="Z14" s="3925"/>
      <c r="AA14" s="3925"/>
      <c r="AB14" s="3926"/>
      <c r="AC14" s="3927">
        <f t="shared" si="7"/>
        <v>0</v>
      </c>
      <c r="AD14" s="3926">
        <f t="shared" si="0"/>
        <v>0</v>
      </c>
      <c r="AE14" s="3926">
        <f t="shared" si="0"/>
        <v>0</v>
      </c>
      <c r="AF14" s="3926">
        <f t="shared" si="0"/>
        <v>0</v>
      </c>
      <c r="AG14" s="3926">
        <f t="shared" si="0"/>
        <v>0</v>
      </c>
      <c r="AH14" s="3926">
        <f t="shared" si="0"/>
        <v>0</v>
      </c>
      <c r="AI14" s="3926">
        <f t="shared" si="0"/>
        <v>0</v>
      </c>
      <c r="AJ14" s="3926">
        <f t="shared" si="8"/>
        <v>0</v>
      </c>
      <c r="AK14" s="3928">
        <f t="shared" si="9"/>
        <v>0</v>
      </c>
      <c r="AL14" s="3929">
        <f>SUMIF([3]租约表对应的会计账!$C$5:$C$164,B14,[3]租约表对应的会计账!$D$5:$D$164)</f>
        <v>0</v>
      </c>
      <c r="AM14" s="3930">
        <f>SUMIF([3]租约表对应的会计账!$H$5:$H$164,B14,[3]租约表对应的会计账!$I$5:$I$164)</f>
        <v>0</v>
      </c>
      <c r="AN14" s="3929">
        <f>SUMIF([3]租约表对应的会计账!$S$5:$S$164,B14,[3]租约表对应的会计账!$T$5:$T$164)</f>
        <v>0</v>
      </c>
      <c r="AO14" s="3929">
        <f>SUMIF([3]租约表对应的会计账!$X$5:$X$164,B14,[3]租约表对应的会计账!$Y$5:$Y$164)</f>
        <v>0</v>
      </c>
      <c r="AP14" s="3929">
        <f>SUMIF([3]租约表对应的会计账!$AC$5:$AC$164,[3]租约表!B14,[3]租约表对应的会计账!$AD$5:$AD$164)</f>
        <v>0</v>
      </c>
      <c r="AQ14" s="3929">
        <f>SUMIF([3]租约表对应的会计账!$AH$5:$AH$164,[3]租约表!B14,[3]租约表对应的会计账!$AI$5:$AI$164)</f>
        <v>0</v>
      </c>
      <c r="AR14" s="3929">
        <f t="shared" si="10"/>
        <v>0</v>
      </c>
      <c r="AS14" s="3929">
        <f t="shared" si="1"/>
        <v>0</v>
      </c>
      <c r="AT14" s="3929">
        <f t="shared" si="1"/>
        <v>0</v>
      </c>
      <c r="AU14" s="3929">
        <f t="shared" si="1"/>
        <v>0</v>
      </c>
      <c r="AV14" s="3929">
        <f t="shared" si="1"/>
        <v>0</v>
      </c>
      <c r="AW14" s="3929">
        <f t="shared" si="1"/>
        <v>0</v>
      </c>
      <c r="AX14" s="3929">
        <f t="shared" si="1"/>
        <v>0</v>
      </c>
      <c r="AY14" s="3929">
        <f t="shared" si="2"/>
        <v>0</v>
      </c>
      <c r="AZ14" s="3915" t="s">
        <v>3568</v>
      </c>
    </row>
    <row r="15" spans="1:52" s="3931" customFormat="1" ht="60" customHeight="1">
      <c r="A15" s="3910" t="s">
        <v>3965</v>
      </c>
      <c r="B15" s="3911">
        <v>1076</v>
      </c>
      <c r="C15" s="3912" t="s">
        <v>3565</v>
      </c>
      <c r="D15" s="3912" t="s">
        <v>3566</v>
      </c>
      <c r="E15" s="3913">
        <v>44652</v>
      </c>
      <c r="F15" s="3913">
        <v>45382</v>
      </c>
      <c r="G15" s="3914">
        <f t="shared" si="3"/>
        <v>2</v>
      </c>
      <c r="H15" s="3915" t="s">
        <v>3981</v>
      </c>
      <c r="I15" s="3916">
        <v>95.5</v>
      </c>
      <c r="J15" s="3917">
        <v>15.2</v>
      </c>
      <c r="K15" s="3918">
        <v>7</v>
      </c>
      <c r="L15" s="3918">
        <v>2.8</v>
      </c>
      <c r="M15" s="3919">
        <f t="shared" si="4"/>
        <v>25</v>
      </c>
      <c r="N15" s="3920">
        <v>90</v>
      </c>
      <c r="O15" s="3921">
        <f t="shared" si="5"/>
        <v>130643.99999999999</v>
      </c>
      <c r="P15" s="3921">
        <f t="shared" si="5"/>
        <v>60165</v>
      </c>
      <c r="Q15" s="3921">
        <f t="shared" si="5"/>
        <v>24065.999999999996</v>
      </c>
      <c r="R15" s="3922">
        <v>0</v>
      </c>
      <c r="S15" s="3923">
        <v>150</v>
      </c>
      <c r="T15" s="3923">
        <v>0</v>
      </c>
      <c r="U15" s="3923">
        <v>0</v>
      </c>
      <c r="V15" s="3924">
        <f t="shared" si="6"/>
        <v>215025</v>
      </c>
      <c r="W15" s="3925">
        <v>8710</v>
      </c>
      <c r="X15" s="3925">
        <v>4011</v>
      </c>
      <c r="Y15" s="3925">
        <v>1604</v>
      </c>
      <c r="Z15" s="3925"/>
      <c r="AA15" s="3925"/>
      <c r="AB15" s="3926"/>
      <c r="AC15" s="3927">
        <f t="shared" si="7"/>
        <v>14325</v>
      </c>
      <c r="AD15" s="3926">
        <f t="shared" si="0"/>
        <v>121933.99999999999</v>
      </c>
      <c r="AE15" s="3926">
        <f t="shared" si="0"/>
        <v>56154</v>
      </c>
      <c r="AF15" s="3926">
        <f t="shared" si="0"/>
        <v>22461.999999999996</v>
      </c>
      <c r="AG15" s="3926">
        <f t="shared" si="0"/>
        <v>0</v>
      </c>
      <c r="AH15" s="3926">
        <f t="shared" si="0"/>
        <v>150</v>
      </c>
      <c r="AI15" s="3926">
        <f t="shared" si="0"/>
        <v>0</v>
      </c>
      <c r="AJ15" s="3926">
        <f t="shared" si="8"/>
        <v>0</v>
      </c>
      <c r="AK15" s="3928">
        <f t="shared" si="9"/>
        <v>200700</v>
      </c>
      <c r="AL15" s="3929">
        <f>SUMIF([3]租约表对应的会计账!$C$5:$C$164,B15,[3]租约表对应的会计账!$D$5:$D$164)</f>
        <v>121934</v>
      </c>
      <c r="AM15" s="3930">
        <f>SUMIF([3]租约表对应的会计账!$H$5:$H$164,B15,[3]租约表对应的会计账!$I$5:$I$164)</f>
        <v>56154</v>
      </c>
      <c r="AN15" s="3929">
        <f>SUMIF([3]租约表对应的会计账!$S$5:$S$164,B15,[3]租约表对应的会计账!$T$5:$T$164)</f>
        <v>22462</v>
      </c>
      <c r="AO15" s="3929">
        <f>SUMIF([3]租约表对应的会计账!$X$5:$X$164,B15,[3]租约表对应的会计账!$Y$5:$Y$164)</f>
        <v>0</v>
      </c>
      <c r="AP15" s="3929">
        <f>SUMIF([3]租约表对应的会计账!$AC$5:$AC$164,[3]租约表!B15,[3]租约表对应的会计账!$AD$5:$AD$164)</f>
        <v>150</v>
      </c>
      <c r="AQ15" s="3929">
        <f>SUMIF([3]租约表对应的会计账!$AH$5:$AH$164,[3]租约表!B15,[3]租约表对应的会计账!$AI$5:$AI$164)</f>
        <v>0</v>
      </c>
      <c r="AR15" s="3929">
        <f t="shared" si="10"/>
        <v>200700</v>
      </c>
      <c r="AS15" s="3929">
        <f t="shared" si="1"/>
        <v>0</v>
      </c>
      <c r="AT15" s="3929">
        <f t="shared" si="1"/>
        <v>0</v>
      </c>
      <c r="AU15" s="3929">
        <f t="shared" si="1"/>
        <v>0</v>
      </c>
      <c r="AV15" s="3929">
        <f t="shared" si="1"/>
        <v>0</v>
      </c>
      <c r="AW15" s="3929">
        <f t="shared" si="1"/>
        <v>0</v>
      </c>
      <c r="AX15" s="3929">
        <f t="shared" si="1"/>
        <v>0</v>
      </c>
      <c r="AY15" s="3929">
        <f t="shared" si="2"/>
        <v>0</v>
      </c>
      <c r="AZ15" s="3915"/>
    </row>
    <row r="16" spans="1:52" s="3931" customFormat="1" ht="60" customHeight="1">
      <c r="A16" s="3910" t="s">
        <v>3965</v>
      </c>
      <c r="B16" s="3911">
        <v>1077</v>
      </c>
      <c r="C16" s="3912" t="s">
        <v>3569</v>
      </c>
      <c r="D16" s="3912" t="s">
        <v>3570</v>
      </c>
      <c r="E16" s="3913">
        <v>44819</v>
      </c>
      <c r="F16" s="3913">
        <v>45900</v>
      </c>
      <c r="G16" s="3914">
        <f t="shared" si="3"/>
        <v>2.9616438356164383</v>
      </c>
      <c r="H16" s="3915" t="s">
        <v>3982</v>
      </c>
      <c r="I16" s="3916">
        <v>204.64</v>
      </c>
      <c r="J16" s="3917">
        <v>7.87</v>
      </c>
      <c r="K16" s="3918">
        <v>7</v>
      </c>
      <c r="L16" s="3918">
        <v>2.8</v>
      </c>
      <c r="M16" s="3919">
        <f t="shared" si="4"/>
        <v>17.670000000000002</v>
      </c>
      <c r="N16" s="3920">
        <v>90</v>
      </c>
      <c r="O16" s="3921">
        <f t="shared" si="5"/>
        <v>144946.51199999999</v>
      </c>
      <c r="P16" s="3921">
        <f t="shared" si="5"/>
        <v>128923.2</v>
      </c>
      <c r="Q16" s="3921">
        <f t="shared" si="5"/>
        <v>51569.279999999999</v>
      </c>
      <c r="R16" s="3922">
        <v>2500</v>
      </c>
      <c r="S16" s="3923">
        <v>150</v>
      </c>
      <c r="T16" s="3923">
        <v>0</v>
      </c>
      <c r="U16" s="3923">
        <v>0</v>
      </c>
      <c r="V16" s="3924">
        <f t="shared" si="6"/>
        <v>328088.99199999997</v>
      </c>
      <c r="W16" s="3925">
        <v>9970</v>
      </c>
      <c r="X16" s="3925">
        <v>8595</v>
      </c>
      <c r="Y16" s="3925">
        <v>3438</v>
      </c>
      <c r="Z16" s="3925"/>
      <c r="AA16" s="3925"/>
      <c r="AB16" s="3926"/>
      <c r="AC16" s="3927">
        <f t="shared" si="7"/>
        <v>22003</v>
      </c>
      <c r="AD16" s="3926">
        <f t="shared" si="0"/>
        <v>134976.51199999999</v>
      </c>
      <c r="AE16" s="3926">
        <f t="shared" si="0"/>
        <v>120328.2</v>
      </c>
      <c r="AF16" s="3926">
        <f t="shared" si="0"/>
        <v>48131.28</v>
      </c>
      <c r="AG16" s="3926">
        <f t="shared" si="0"/>
        <v>2500</v>
      </c>
      <c r="AH16" s="3926">
        <f t="shared" si="0"/>
        <v>150</v>
      </c>
      <c r="AI16" s="3926">
        <f t="shared" si="0"/>
        <v>0</v>
      </c>
      <c r="AJ16" s="3926">
        <f t="shared" si="8"/>
        <v>0</v>
      </c>
      <c r="AK16" s="3928">
        <f t="shared" si="9"/>
        <v>306085.99199999997</v>
      </c>
      <c r="AL16" s="3929">
        <f>SUMIF([3]租约表对应的会计账!$C$5:$C$164,B16,[3]租约表对应的会计账!$D$5:$D$164)</f>
        <v>139538</v>
      </c>
      <c r="AM16" s="3930">
        <f>SUMIF([3]租约表对应的会计账!$H$5:$H$164,B16,[3]租约表对应的会计账!$I$5:$I$164)</f>
        <v>120328</v>
      </c>
      <c r="AN16" s="3929">
        <f>SUMIF([3]租约表对应的会计账!$S$5:$S$164,B16,[3]租约表对应的会计账!$T$5:$T$164)</f>
        <v>48131</v>
      </c>
      <c r="AO16" s="3929">
        <f>SUMIF([3]租约表对应的会计账!$X$5:$X$164,B16,[3]租约表对应的会计账!$Y$5:$Y$164)</f>
        <v>2500</v>
      </c>
      <c r="AP16" s="3929">
        <f>SUMIF([3]租约表对应的会计账!$AC$5:$AC$164,[3]租约表!B16,[3]租约表对应的会计账!$AD$5:$AD$164)</f>
        <v>150</v>
      </c>
      <c r="AQ16" s="3929">
        <f>SUMIF([3]租约表对应的会计账!$AH$5:$AH$164,[3]租约表!B16,[3]租约表对应的会计账!$AI$5:$AI$164)</f>
        <v>0</v>
      </c>
      <c r="AR16" s="3929">
        <f t="shared" si="10"/>
        <v>310647</v>
      </c>
      <c r="AS16" s="3929">
        <f t="shared" si="1"/>
        <v>-4561.4880000000121</v>
      </c>
      <c r="AT16" s="3929">
        <f t="shared" si="1"/>
        <v>0.19999999999708962</v>
      </c>
      <c r="AU16" s="3929">
        <f t="shared" si="1"/>
        <v>0.27999999999883585</v>
      </c>
      <c r="AV16" s="3929">
        <f t="shared" si="1"/>
        <v>0</v>
      </c>
      <c r="AW16" s="3929">
        <f t="shared" si="1"/>
        <v>0</v>
      </c>
      <c r="AX16" s="3929">
        <f t="shared" si="1"/>
        <v>0</v>
      </c>
      <c r="AY16" s="3929">
        <f t="shared" si="2"/>
        <v>-4561.0080000000162</v>
      </c>
      <c r="AZ16" s="3915" t="s">
        <v>3967</v>
      </c>
    </row>
    <row r="17" spans="1:52" s="3931" customFormat="1" ht="60" customHeight="1">
      <c r="A17" s="3910" t="s">
        <v>3965</v>
      </c>
      <c r="B17" s="3911">
        <v>1088</v>
      </c>
      <c r="C17" s="3912" t="s">
        <v>3571</v>
      </c>
      <c r="D17" s="3912" t="s">
        <v>3572</v>
      </c>
      <c r="E17" s="3913">
        <v>44180</v>
      </c>
      <c r="F17" s="3912">
        <v>45657</v>
      </c>
      <c r="G17" s="3914">
        <f t="shared" si="3"/>
        <v>4.0465753424657533</v>
      </c>
      <c r="H17" s="3915" t="s">
        <v>3983</v>
      </c>
      <c r="I17" s="3916">
        <v>116.2</v>
      </c>
      <c r="J17" s="3917">
        <v>11.7</v>
      </c>
      <c r="K17" s="3918">
        <v>7</v>
      </c>
      <c r="L17" s="3918">
        <v>2.8</v>
      </c>
      <c r="M17" s="3919">
        <f t="shared" si="4"/>
        <v>21.5</v>
      </c>
      <c r="N17" s="3920">
        <v>90</v>
      </c>
      <c r="O17" s="3921">
        <f t="shared" si="5"/>
        <v>122358.59999999999</v>
      </c>
      <c r="P17" s="3921">
        <f t="shared" si="5"/>
        <v>73206</v>
      </c>
      <c r="Q17" s="3921">
        <f t="shared" si="5"/>
        <v>29282.400000000001</v>
      </c>
      <c r="R17" s="3922">
        <v>0</v>
      </c>
      <c r="S17" s="3923">
        <v>300</v>
      </c>
      <c r="T17" s="3923">
        <v>0</v>
      </c>
      <c r="U17" s="3923">
        <v>0</v>
      </c>
      <c r="V17" s="3924">
        <f t="shared" si="6"/>
        <v>225146.99999999997</v>
      </c>
      <c r="W17" s="3925">
        <v>17918</v>
      </c>
      <c r="X17" s="3925">
        <v>4880</v>
      </c>
      <c r="Y17" s="3925">
        <v>1952</v>
      </c>
      <c r="Z17" s="3925"/>
      <c r="AA17" s="3925"/>
      <c r="AB17" s="3926"/>
      <c r="AC17" s="3927">
        <f t="shared" si="7"/>
        <v>24750</v>
      </c>
      <c r="AD17" s="3926">
        <f t="shared" si="0"/>
        <v>104440.59999999999</v>
      </c>
      <c r="AE17" s="3926">
        <f t="shared" si="0"/>
        <v>68326</v>
      </c>
      <c r="AF17" s="3926">
        <f t="shared" si="0"/>
        <v>27330.400000000001</v>
      </c>
      <c r="AG17" s="3926">
        <f t="shared" si="0"/>
        <v>0</v>
      </c>
      <c r="AH17" s="3926">
        <f t="shared" si="0"/>
        <v>300</v>
      </c>
      <c r="AI17" s="3926">
        <f t="shared" si="0"/>
        <v>0</v>
      </c>
      <c r="AJ17" s="3926">
        <f t="shared" si="8"/>
        <v>0</v>
      </c>
      <c r="AK17" s="3928">
        <f t="shared" si="9"/>
        <v>200396.99999999997</v>
      </c>
      <c r="AL17" s="3929">
        <f>SUMIF([3]租约表对应的会计账!$C$5:$C$164,B17,[3]租约表对应的会计账!$D$5:$D$164)</f>
        <v>104441</v>
      </c>
      <c r="AM17" s="3930">
        <f>SUMIF([3]租约表对应的会计账!$H$5:$H$164,B17,[3]租约表对应的会计账!$I$5:$I$164)</f>
        <v>68326</v>
      </c>
      <c r="AN17" s="3929">
        <f>SUMIF([3]租约表对应的会计账!$S$5:$S$164,B17,[3]租约表对应的会计账!$T$5:$T$164)</f>
        <v>27330</v>
      </c>
      <c r="AO17" s="3929">
        <f>SUMIF([3]租约表对应的会计账!$X$5:$X$164,B17,[3]租约表对应的会计账!$Y$5:$Y$164)</f>
        <v>0</v>
      </c>
      <c r="AP17" s="3929">
        <f>SUMIF([3]租约表对应的会计账!$AC$5:$AC$164,[3]租约表!B17,[3]租约表对应的会计账!$AD$5:$AD$164)</f>
        <v>300</v>
      </c>
      <c r="AQ17" s="3929">
        <f>SUMIF([3]租约表对应的会计账!$AH$5:$AH$164,[3]租约表!B17,[3]租约表对应的会计账!$AI$5:$AI$164)</f>
        <v>0</v>
      </c>
      <c r="AR17" s="3929">
        <f t="shared" si="10"/>
        <v>200397</v>
      </c>
      <c r="AS17" s="3929">
        <f t="shared" si="1"/>
        <v>-0.40000000000873115</v>
      </c>
      <c r="AT17" s="3929">
        <f t="shared" si="1"/>
        <v>0</v>
      </c>
      <c r="AU17" s="3929">
        <f t="shared" si="1"/>
        <v>0.40000000000145519</v>
      </c>
      <c r="AV17" s="3929">
        <f t="shared" si="1"/>
        <v>0</v>
      </c>
      <c r="AW17" s="3929">
        <f t="shared" si="1"/>
        <v>0</v>
      </c>
      <c r="AX17" s="3929">
        <f t="shared" si="1"/>
        <v>0</v>
      </c>
      <c r="AY17" s="3929">
        <f t="shared" si="2"/>
        <v>-7.2759576141834259E-12</v>
      </c>
      <c r="AZ17" s="3915" t="s">
        <v>3967</v>
      </c>
    </row>
    <row r="18" spans="1:52" s="3931" customFormat="1" ht="60" customHeight="1">
      <c r="A18" s="3910" t="s">
        <v>3965</v>
      </c>
      <c r="B18" s="3911">
        <v>1089</v>
      </c>
      <c r="C18" s="3912" t="s">
        <v>3573</v>
      </c>
      <c r="D18" s="3912" t="s">
        <v>3574</v>
      </c>
      <c r="E18" s="3913">
        <v>44776</v>
      </c>
      <c r="F18" s="3913">
        <v>45504</v>
      </c>
      <c r="G18" s="3914">
        <f t="shared" si="3"/>
        <v>1.9945205479452055</v>
      </c>
      <c r="H18" s="3915" t="s">
        <v>3984</v>
      </c>
      <c r="I18" s="3916">
        <v>53.12</v>
      </c>
      <c r="J18" s="3917">
        <v>5.47</v>
      </c>
      <c r="K18" s="3918">
        <v>7</v>
      </c>
      <c r="L18" s="3918">
        <v>3</v>
      </c>
      <c r="M18" s="3919">
        <f t="shared" si="4"/>
        <v>15.469999999999999</v>
      </c>
      <c r="N18" s="3920">
        <v>90</v>
      </c>
      <c r="O18" s="3921">
        <f t="shared" si="5"/>
        <v>26150.975999999999</v>
      </c>
      <c r="P18" s="3921">
        <f t="shared" si="5"/>
        <v>33465.599999999999</v>
      </c>
      <c r="Q18" s="3921">
        <f t="shared" si="5"/>
        <v>14342.399999999998</v>
      </c>
      <c r="R18" s="3922">
        <v>2500</v>
      </c>
      <c r="S18" s="3923">
        <v>1950</v>
      </c>
      <c r="T18" s="3923">
        <v>1800</v>
      </c>
      <c r="U18" s="3923">
        <v>0</v>
      </c>
      <c r="V18" s="3924">
        <f t="shared" si="6"/>
        <v>80208.975999999995</v>
      </c>
      <c r="W18" s="3925">
        <v>1814</v>
      </c>
      <c r="X18" s="3925">
        <v>2231</v>
      </c>
      <c r="Y18" s="3925">
        <v>797</v>
      </c>
      <c r="Z18" s="3925"/>
      <c r="AA18" s="3925"/>
      <c r="AB18" s="3926"/>
      <c r="AC18" s="3927">
        <f t="shared" si="7"/>
        <v>4842</v>
      </c>
      <c r="AD18" s="3926">
        <f t="shared" si="0"/>
        <v>24336.975999999999</v>
      </c>
      <c r="AE18" s="3926">
        <f t="shared" si="0"/>
        <v>31234.6</v>
      </c>
      <c r="AF18" s="3926">
        <f t="shared" si="0"/>
        <v>13545.399999999998</v>
      </c>
      <c r="AG18" s="3926">
        <f t="shared" si="0"/>
        <v>2500</v>
      </c>
      <c r="AH18" s="3926">
        <f t="shared" si="0"/>
        <v>1950</v>
      </c>
      <c r="AI18" s="3926">
        <f t="shared" si="0"/>
        <v>1800</v>
      </c>
      <c r="AJ18" s="3926">
        <f t="shared" si="8"/>
        <v>0</v>
      </c>
      <c r="AK18" s="3928">
        <f t="shared" si="9"/>
        <v>75366.975999999995</v>
      </c>
      <c r="AL18" s="3929">
        <f>SUMIF([3]租约表对应的会计账!$C$5:$C$164,B18,[3]租约表对应的会计账!$D$5:$D$164)</f>
        <v>24401</v>
      </c>
      <c r="AM18" s="3930">
        <f>SUMIF([3]租约表对应的会计账!$H$5:$H$164,B18,[3]租约表对应的会计账!$I$5:$I$164)</f>
        <v>31235</v>
      </c>
      <c r="AN18" s="3929">
        <f>SUMIF([3]租约表对应的会计账!$S$5:$S$164,B18,[3]租约表对应的会计账!$T$5:$T$164)</f>
        <v>13545</v>
      </c>
      <c r="AO18" s="3929">
        <f>SUMIF([3]租约表对应的会计账!$X$5:$X$164,B18,[3]租约表对应的会计账!$Y$5:$Y$164)</f>
        <v>2500</v>
      </c>
      <c r="AP18" s="3929">
        <f>SUMIF([3]租约表对应的会计账!$AC$5:$AC$164,[3]租约表!B18,[3]租约表对应的会计账!$AD$5:$AD$164)</f>
        <v>1950</v>
      </c>
      <c r="AQ18" s="3929">
        <f>SUMIF([3]租约表对应的会计账!$AH$5:$AH$164,[3]租约表!B18,[3]租约表对应的会计账!$AI$5:$AI$164)</f>
        <v>1800</v>
      </c>
      <c r="AR18" s="3929">
        <f t="shared" si="10"/>
        <v>75431</v>
      </c>
      <c r="AS18" s="3929">
        <f t="shared" si="1"/>
        <v>-64.024000000001251</v>
      </c>
      <c r="AT18" s="3929">
        <f t="shared" si="1"/>
        <v>-0.40000000000145519</v>
      </c>
      <c r="AU18" s="3929">
        <f t="shared" si="1"/>
        <v>0.39999999999781721</v>
      </c>
      <c r="AV18" s="3929">
        <f t="shared" si="1"/>
        <v>0</v>
      </c>
      <c r="AW18" s="3929">
        <f t="shared" si="1"/>
        <v>0</v>
      </c>
      <c r="AX18" s="3929">
        <f t="shared" si="1"/>
        <v>0</v>
      </c>
      <c r="AY18" s="3929">
        <f t="shared" si="2"/>
        <v>-64.024000000004889</v>
      </c>
      <c r="AZ18" s="3915" t="s">
        <v>3985</v>
      </c>
    </row>
    <row r="19" spans="1:52" s="3931" customFormat="1" ht="60" customHeight="1">
      <c r="A19" s="3932" t="s">
        <v>3965</v>
      </c>
      <c r="B19" s="3934">
        <v>1096</v>
      </c>
      <c r="C19" s="3912" t="s">
        <v>3575</v>
      </c>
      <c r="D19" s="3912" t="s">
        <v>3576</v>
      </c>
      <c r="E19" s="3913">
        <v>44652</v>
      </c>
      <c r="F19" s="3913">
        <v>45382</v>
      </c>
      <c r="G19" s="3914">
        <f t="shared" si="3"/>
        <v>2</v>
      </c>
      <c r="H19" s="3915" t="s">
        <v>3986</v>
      </c>
      <c r="I19" s="3916">
        <v>112</v>
      </c>
      <c r="J19" s="3917">
        <v>16.77</v>
      </c>
      <c r="K19" s="3918">
        <v>7</v>
      </c>
      <c r="L19" s="3918">
        <v>2.8</v>
      </c>
      <c r="M19" s="3919">
        <f t="shared" si="4"/>
        <v>26.57</v>
      </c>
      <c r="N19" s="3920">
        <v>90</v>
      </c>
      <c r="O19" s="3921">
        <f t="shared" si="5"/>
        <v>169041.6</v>
      </c>
      <c r="P19" s="3921">
        <f t="shared" si="5"/>
        <v>70560</v>
      </c>
      <c r="Q19" s="3921">
        <f t="shared" si="5"/>
        <v>28223.999999999996</v>
      </c>
      <c r="R19" s="3922">
        <v>2500</v>
      </c>
      <c r="S19" s="3923">
        <v>150</v>
      </c>
      <c r="T19" s="3923">
        <v>0</v>
      </c>
      <c r="U19" s="3923">
        <v>0</v>
      </c>
      <c r="V19" s="3924">
        <f t="shared" si="6"/>
        <v>270475.59999999998</v>
      </c>
      <c r="W19" s="3925">
        <v>86879</v>
      </c>
      <c r="X19" s="3925">
        <v>18032</v>
      </c>
      <c r="Y19" s="3925">
        <v>7212</v>
      </c>
      <c r="Z19" s="3925">
        <v>285</v>
      </c>
      <c r="AA19" s="3925">
        <v>17</v>
      </c>
      <c r="AB19" s="3926"/>
      <c r="AC19" s="3927">
        <f t="shared" si="7"/>
        <v>112425</v>
      </c>
      <c r="AD19" s="3926">
        <f t="shared" ref="AD19:AI62" si="11">O19-W19</f>
        <v>82162.600000000006</v>
      </c>
      <c r="AE19" s="3926">
        <f t="shared" si="11"/>
        <v>52528</v>
      </c>
      <c r="AF19" s="3926">
        <f t="shared" si="11"/>
        <v>21011.999999999996</v>
      </c>
      <c r="AG19" s="3926">
        <f t="shared" si="11"/>
        <v>2215</v>
      </c>
      <c r="AH19" s="3926">
        <f t="shared" si="11"/>
        <v>133</v>
      </c>
      <c r="AI19" s="3926">
        <f t="shared" si="11"/>
        <v>0</v>
      </c>
      <c r="AJ19" s="3926">
        <f t="shared" si="8"/>
        <v>0</v>
      </c>
      <c r="AK19" s="3928">
        <f t="shared" si="9"/>
        <v>158050.6</v>
      </c>
      <c r="AL19" s="3929">
        <f>SUMIF([3]租约表对应的会计账!$C$5:$C$164,B19,[3]租约表对应的会计账!$D$5:$D$164)</f>
        <v>131130</v>
      </c>
      <c r="AM19" s="3930">
        <f>SUMIF([3]租约表对应的会计账!$H$5:$H$164,B19,[3]租约表对应的会计账!$I$5:$I$164)</f>
        <v>84672</v>
      </c>
      <c r="AN19" s="3929">
        <f>SUMIF([3]租约表对应的会计账!$S$5:$S$164,B19,[3]租约表对应的会计账!$T$5:$T$164)</f>
        <v>33869</v>
      </c>
      <c r="AO19" s="3929">
        <f>SUMIF([3]租约表对应的会计账!$X$5:$X$164,B19,[3]租约表对应的会计账!$Y$5:$Y$164)</f>
        <v>3334</v>
      </c>
      <c r="AP19" s="3929">
        <f>SUMIF([3]租约表对应的会计账!$AC$5:$AC$164,[3]租约表!B19,[3]租约表对应的会计账!$AD$5:$AD$164)</f>
        <v>200</v>
      </c>
      <c r="AQ19" s="3929">
        <f>SUMIF([3]租约表对应的会计账!$AH$5:$AH$164,[3]租约表!B19,[3]租约表对应的会计账!$AI$5:$AI$164)</f>
        <v>0</v>
      </c>
      <c r="AR19" s="3929">
        <f t="shared" si="10"/>
        <v>253205</v>
      </c>
      <c r="AS19" s="3929">
        <f t="shared" ref="AS19:AX50" si="12">AD19-AL19</f>
        <v>-48967.399999999994</v>
      </c>
      <c r="AT19" s="3929">
        <f t="shared" si="12"/>
        <v>-32144</v>
      </c>
      <c r="AU19" s="3929">
        <f t="shared" si="12"/>
        <v>-12857.000000000004</v>
      </c>
      <c r="AV19" s="3929">
        <f t="shared" si="12"/>
        <v>-1119</v>
      </c>
      <c r="AW19" s="3929">
        <f t="shared" si="12"/>
        <v>-67</v>
      </c>
      <c r="AX19" s="3929">
        <f t="shared" si="12"/>
        <v>0</v>
      </c>
      <c r="AY19" s="3929">
        <f t="shared" si="2"/>
        <v>-95154.4</v>
      </c>
      <c r="AZ19" s="3915" t="s">
        <v>3987</v>
      </c>
    </row>
    <row r="20" spans="1:52" s="3931" customFormat="1" ht="60" customHeight="1">
      <c r="A20" s="3910" t="s">
        <v>3965</v>
      </c>
      <c r="B20" s="3911">
        <v>1098</v>
      </c>
      <c r="C20" s="3912" t="s">
        <v>3577</v>
      </c>
      <c r="D20" s="3912" t="s">
        <v>3578</v>
      </c>
      <c r="E20" s="3913">
        <v>44652</v>
      </c>
      <c r="F20" s="3913">
        <v>45382</v>
      </c>
      <c r="G20" s="3914">
        <f t="shared" si="3"/>
        <v>2</v>
      </c>
      <c r="H20" s="3915" t="s">
        <v>3988</v>
      </c>
      <c r="I20" s="3916">
        <v>383</v>
      </c>
      <c r="J20" s="3917">
        <v>26.7</v>
      </c>
      <c r="K20" s="3918">
        <v>7</v>
      </c>
      <c r="L20" s="3918">
        <v>2.8</v>
      </c>
      <c r="M20" s="3919">
        <f t="shared" si="4"/>
        <v>36.5</v>
      </c>
      <c r="N20" s="3920">
        <v>90</v>
      </c>
      <c r="O20" s="3921">
        <f t="shared" si="5"/>
        <v>920349</v>
      </c>
      <c r="P20" s="3921">
        <f t="shared" si="5"/>
        <v>241290</v>
      </c>
      <c r="Q20" s="3921">
        <f t="shared" si="5"/>
        <v>96515.999999999985</v>
      </c>
      <c r="R20" s="3922">
        <v>2500</v>
      </c>
      <c r="S20" s="3923">
        <v>1950</v>
      </c>
      <c r="T20" s="3923">
        <v>0</v>
      </c>
      <c r="U20" s="3923">
        <v>0</v>
      </c>
      <c r="V20" s="3924">
        <f t="shared" si="6"/>
        <v>1262605</v>
      </c>
      <c r="W20" s="3925">
        <v>61357</v>
      </c>
      <c r="X20" s="3925">
        <v>16086</v>
      </c>
      <c r="Y20" s="3925">
        <v>6434</v>
      </c>
      <c r="Z20" s="3925"/>
      <c r="AA20" s="3925"/>
      <c r="AB20" s="3926"/>
      <c r="AC20" s="3927">
        <f t="shared" si="7"/>
        <v>83877</v>
      </c>
      <c r="AD20" s="3926">
        <f t="shared" si="11"/>
        <v>858992</v>
      </c>
      <c r="AE20" s="3926">
        <f t="shared" si="11"/>
        <v>225204</v>
      </c>
      <c r="AF20" s="3926">
        <f t="shared" si="11"/>
        <v>90081.999999999985</v>
      </c>
      <c r="AG20" s="3926">
        <f t="shared" si="11"/>
        <v>2500</v>
      </c>
      <c r="AH20" s="3926">
        <f t="shared" si="11"/>
        <v>1950</v>
      </c>
      <c r="AI20" s="3926">
        <f t="shared" si="11"/>
        <v>0</v>
      </c>
      <c r="AJ20" s="3926">
        <f t="shared" si="8"/>
        <v>0</v>
      </c>
      <c r="AK20" s="3928">
        <f t="shared" si="9"/>
        <v>1178728</v>
      </c>
      <c r="AL20" s="3929">
        <f>SUMIF([3]租约表对应的会计账!$C$5:$C$164,B20,[3]租约表对应的会计账!$D$5:$D$164)</f>
        <v>858992</v>
      </c>
      <c r="AM20" s="3930">
        <f>SUMIF([3]租约表对应的会计账!$H$5:$H$164,B20,[3]租约表对应的会计账!$I$5:$I$164)</f>
        <v>225204</v>
      </c>
      <c r="AN20" s="3929">
        <f>SUMIF([3]租约表对应的会计账!$S$5:$S$164,B20,[3]租约表对应的会计账!$T$5:$T$164)</f>
        <v>90082</v>
      </c>
      <c r="AO20" s="3929">
        <f>SUMIF([3]租约表对应的会计账!$X$5:$X$164,B20,[3]租约表对应的会计账!$Y$5:$Y$164)</f>
        <v>2500</v>
      </c>
      <c r="AP20" s="3929">
        <f>SUMIF([3]租约表对应的会计账!$AC$5:$AC$164,[3]租约表!B20,[3]租约表对应的会计账!$AD$5:$AD$164)</f>
        <v>1950</v>
      </c>
      <c r="AQ20" s="3929">
        <f>SUMIF([3]租约表对应的会计账!$AH$5:$AH$164,[3]租约表!B20,[3]租约表对应的会计账!$AI$5:$AI$164)</f>
        <v>0</v>
      </c>
      <c r="AR20" s="3929">
        <f t="shared" si="10"/>
        <v>1178728</v>
      </c>
      <c r="AS20" s="3929">
        <f t="shared" si="12"/>
        <v>0</v>
      </c>
      <c r="AT20" s="3929">
        <f t="shared" si="12"/>
        <v>0</v>
      </c>
      <c r="AU20" s="3929">
        <f t="shared" si="12"/>
        <v>0</v>
      </c>
      <c r="AV20" s="3929">
        <f t="shared" si="12"/>
        <v>0</v>
      </c>
      <c r="AW20" s="3929">
        <f t="shared" si="12"/>
        <v>0</v>
      </c>
      <c r="AX20" s="3929">
        <f t="shared" si="12"/>
        <v>0</v>
      </c>
      <c r="AY20" s="3929">
        <f t="shared" si="2"/>
        <v>0</v>
      </c>
      <c r="AZ20" s="3915" t="s">
        <v>3967</v>
      </c>
    </row>
    <row r="21" spans="1:52" s="3931" customFormat="1" ht="60" customHeight="1">
      <c r="A21" s="3910" t="s">
        <v>3965</v>
      </c>
      <c r="B21" s="3911">
        <v>1099</v>
      </c>
      <c r="C21" s="3912" t="s">
        <v>3579</v>
      </c>
      <c r="D21" s="3912"/>
      <c r="E21" s="3913">
        <v>44652</v>
      </c>
      <c r="F21" s="3912">
        <v>45688</v>
      </c>
      <c r="G21" s="3914">
        <f t="shared" si="3"/>
        <v>2.8383561643835615</v>
      </c>
      <c r="H21" s="3915" t="s">
        <v>3989</v>
      </c>
      <c r="I21" s="3916">
        <v>168.32</v>
      </c>
      <c r="J21" s="3917">
        <v>17.2</v>
      </c>
      <c r="K21" s="3918">
        <v>7</v>
      </c>
      <c r="L21" s="3918">
        <v>2.8</v>
      </c>
      <c r="M21" s="3919">
        <f t="shared" si="4"/>
        <v>27</v>
      </c>
      <c r="N21" s="3920">
        <v>90</v>
      </c>
      <c r="O21" s="3921">
        <f t="shared" si="5"/>
        <v>260559.35999999999</v>
      </c>
      <c r="P21" s="3921">
        <f t="shared" si="5"/>
        <v>106041.60000000001</v>
      </c>
      <c r="Q21" s="3921">
        <f t="shared" si="5"/>
        <v>42416.639999999992</v>
      </c>
      <c r="R21" s="3922">
        <v>2500</v>
      </c>
      <c r="S21" s="3923">
        <v>1950</v>
      </c>
      <c r="T21" s="3923">
        <v>0</v>
      </c>
      <c r="U21" s="3923">
        <v>0</v>
      </c>
      <c r="V21" s="3924">
        <f t="shared" si="6"/>
        <v>413467.6</v>
      </c>
      <c r="W21" s="3925">
        <v>44393</v>
      </c>
      <c r="X21" s="3925">
        <v>18851</v>
      </c>
      <c r="Y21" s="3925">
        <v>7541</v>
      </c>
      <c r="Z21" s="3925"/>
      <c r="AA21" s="3925"/>
      <c r="AB21" s="3926"/>
      <c r="AC21" s="3927">
        <f t="shared" si="7"/>
        <v>70785</v>
      </c>
      <c r="AD21" s="3926">
        <f t="shared" si="11"/>
        <v>216166.36</v>
      </c>
      <c r="AE21" s="3926">
        <f t="shared" si="11"/>
        <v>87190.6</v>
      </c>
      <c r="AF21" s="3926">
        <f t="shared" si="11"/>
        <v>34875.639999999992</v>
      </c>
      <c r="AG21" s="3926">
        <f t="shared" si="11"/>
        <v>2500</v>
      </c>
      <c r="AH21" s="3926">
        <f t="shared" si="11"/>
        <v>1950</v>
      </c>
      <c r="AI21" s="3926">
        <f t="shared" si="11"/>
        <v>0</v>
      </c>
      <c r="AJ21" s="3926">
        <f t="shared" si="8"/>
        <v>0</v>
      </c>
      <c r="AK21" s="3928">
        <f t="shared" si="9"/>
        <v>342682.6</v>
      </c>
      <c r="AL21" s="3929">
        <f>SUMIF([3]租约表对应的会计账!$C$5:$C$164,B21,[3]租约表对应的会计账!$D$5:$D$164)</f>
        <v>311609</v>
      </c>
      <c r="AM21" s="3930">
        <f>SUMIF([3]租约表对应的会计账!$H$5:$H$164,B21,[3]租约表对应的会计账!$I$5:$I$164)</f>
        <v>94259</v>
      </c>
      <c r="AN21" s="3929">
        <f>SUMIF([3]租约表对应的会计账!$S$5:$S$164,B21,[3]租约表对应的会计账!$T$5:$T$164)</f>
        <v>37704</v>
      </c>
      <c r="AO21" s="3929">
        <f>SUMIF([3]租约表对应的会计账!$X$5:$X$164,B21,[3]租约表对应的会计账!$Y$5:$Y$164)</f>
        <v>2500</v>
      </c>
      <c r="AP21" s="3929">
        <f>SUMIF([3]租约表对应的会计账!$AC$5:$AC$164,[3]租约表!B21,[3]租约表对应的会计账!$AD$5:$AD$164)</f>
        <v>1950</v>
      </c>
      <c r="AQ21" s="3929">
        <f>SUMIF([3]租约表对应的会计账!$AH$5:$AH$164,[3]租约表!B21,[3]租约表对应的会计账!$AI$5:$AI$164)</f>
        <v>0</v>
      </c>
      <c r="AR21" s="3929">
        <f t="shared" si="10"/>
        <v>448022</v>
      </c>
      <c r="AS21" s="3929">
        <f t="shared" si="12"/>
        <v>-95442.640000000014</v>
      </c>
      <c r="AT21" s="3929">
        <f t="shared" si="12"/>
        <v>-7068.3999999999942</v>
      </c>
      <c r="AU21" s="3929">
        <f t="shared" si="12"/>
        <v>-2828.3600000000079</v>
      </c>
      <c r="AV21" s="3929">
        <f t="shared" si="12"/>
        <v>0</v>
      </c>
      <c r="AW21" s="3929">
        <f t="shared" si="12"/>
        <v>0</v>
      </c>
      <c r="AX21" s="3929">
        <f t="shared" si="12"/>
        <v>0</v>
      </c>
      <c r="AY21" s="3929">
        <f t="shared" si="2"/>
        <v>-105339.40000000002</v>
      </c>
      <c r="AZ21" s="3915" t="s">
        <v>3990</v>
      </c>
    </row>
    <row r="22" spans="1:52" s="3931" customFormat="1" ht="60" customHeight="1">
      <c r="A22" s="3932" t="s">
        <v>3965</v>
      </c>
      <c r="B22" s="3934">
        <v>1108</v>
      </c>
      <c r="C22" s="3912" t="s">
        <v>3580</v>
      </c>
      <c r="D22" s="3912" t="s">
        <v>3581</v>
      </c>
      <c r="E22" s="3913">
        <v>44357</v>
      </c>
      <c r="F22" s="3912">
        <v>45747</v>
      </c>
      <c r="G22" s="3914">
        <f t="shared" si="3"/>
        <v>3.8082191780821919</v>
      </c>
      <c r="H22" s="3915" t="s">
        <v>3991</v>
      </c>
      <c r="I22" s="3916">
        <v>111</v>
      </c>
      <c r="J22" s="3917">
        <v>11.7</v>
      </c>
      <c r="K22" s="3918">
        <v>7</v>
      </c>
      <c r="L22" s="3918">
        <v>2.8</v>
      </c>
      <c r="M22" s="3919">
        <f t="shared" si="4"/>
        <v>21.5</v>
      </c>
      <c r="N22" s="3920">
        <v>90</v>
      </c>
      <c r="O22" s="3921">
        <f t="shared" si="5"/>
        <v>116882.99999999999</v>
      </c>
      <c r="P22" s="3921">
        <f t="shared" si="5"/>
        <v>69930</v>
      </c>
      <c r="Q22" s="3921">
        <f t="shared" si="5"/>
        <v>27971.999999999996</v>
      </c>
      <c r="R22" s="3922">
        <v>0</v>
      </c>
      <c r="S22" s="3923">
        <v>150</v>
      </c>
      <c r="T22" s="3923">
        <v>0</v>
      </c>
      <c r="U22" s="3923">
        <v>0</v>
      </c>
      <c r="V22" s="3924">
        <f t="shared" si="6"/>
        <v>214935</v>
      </c>
      <c r="W22" s="3925">
        <v>17116</v>
      </c>
      <c r="X22" s="3925">
        <v>4662</v>
      </c>
      <c r="Y22" s="3925">
        <v>1865</v>
      </c>
      <c r="Z22" s="3925"/>
      <c r="AA22" s="3925"/>
      <c r="AB22" s="3926"/>
      <c r="AC22" s="3927">
        <f t="shared" si="7"/>
        <v>23643</v>
      </c>
      <c r="AD22" s="3926">
        <f t="shared" si="11"/>
        <v>99766.999999999985</v>
      </c>
      <c r="AE22" s="3926">
        <f t="shared" si="11"/>
        <v>65268</v>
      </c>
      <c r="AF22" s="3926">
        <f t="shared" si="11"/>
        <v>26106.999999999996</v>
      </c>
      <c r="AG22" s="3926">
        <f t="shared" si="11"/>
        <v>0</v>
      </c>
      <c r="AH22" s="3926">
        <f t="shared" si="11"/>
        <v>150</v>
      </c>
      <c r="AI22" s="3926">
        <f t="shared" si="11"/>
        <v>0</v>
      </c>
      <c r="AJ22" s="3926">
        <f t="shared" si="8"/>
        <v>0</v>
      </c>
      <c r="AK22" s="3928">
        <f t="shared" si="9"/>
        <v>191292</v>
      </c>
      <c r="AL22" s="3929">
        <f>SUMIF([3]租约表对应的会计账!$C$5:$C$164,B22,[3]租约表对应的会计账!$D$5:$D$164)</f>
        <v>99767</v>
      </c>
      <c r="AM22" s="3930">
        <f>SUMIF([3]租约表对应的会计账!$H$5:$H$164,B22,[3]租约表对应的会计账!$I$5:$I$164)</f>
        <v>65268</v>
      </c>
      <c r="AN22" s="3929">
        <f>SUMIF([3]租约表对应的会计账!$S$5:$S$164,B22,[3]租约表对应的会计账!$T$5:$T$164)</f>
        <v>26107</v>
      </c>
      <c r="AO22" s="3929">
        <f>SUMIF([3]租约表对应的会计账!$X$5:$X$164,B22,[3]租约表对应的会计账!$Y$5:$Y$164)</f>
        <v>0</v>
      </c>
      <c r="AP22" s="3929">
        <f>SUMIF([3]租约表对应的会计账!$AC$5:$AC$164,[3]租约表!B22,[3]租约表对应的会计账!$AD$5:$AD$164)</f>
        <v>150</v>
      </c>
      <c r="AQ22" s="3929">
        <f>SUMIF([3]租约表对应的会计账!$AH$5:$AH$164,[3]租约表!B22,[3]租约表对应的会计账!$AI$5:$AI$164)</f>
        <v>0</v>
      </c>
      <c r="AR22" s="3929">
        <f t="shared" si="10"/>
        <v>191292</v>
      </c>
      <c r="AS22" s="3929">
        <f t="shared" si="12"/>
        <v>0</v>
      </c>
      <c r="AT22" s="3929">
        <f t="shared" si="12"/>
        <v>0</v>
      </c>
      <c r="AU22" s="3929">
        <f t="shared" si="12"/>
        <v>0</v>
      </c>
      <c r="AV22" s="3929">
        <f t="shared" si="12"/>
        <v>0</v>
      </c>
      <c r="AW22" s="3929">
        <f t="shared" si="12"/>
        <v>0</v>
      </c>
      <c r="AX22" s="3929">
        <f t="shared" si="12"/>
        <v>0</v>
      </c>
      <c r="AY22" s="3929">
        <f t="shared" si="2"/>
        <v>0</v>
      </c>
      <c r="AZ22" s="3915" t="s">
        <v>3967</v>
      </c>
    </row>
    <row r="23" spans="1:52" s="3931" customFormat="1" ht="60" customHeight="1">
      <c r="A23" s="3910" t="s">
        <v>3965</v>
      </c>
      <c r="B23" s="3911">
        <v>1109</v>
      </c>
      <c r="C23" s="3912" t="s">
        <v>3582</v>
      </c>
      <c r="D23" s="3912" t="s">
        <v>3583</v>
      </c>
      <c r="E23" s="3913">
        <v>44896</v>
      </c>
      <c r="F23" s="3913">
        <v>45382</v>
      </c>
      <c r="G23" s="3914">
        <f t="shared" si="3"/>
        <v>1.3315068493150686</v>
      </c>
      <c r="H23" s="3915" t="s">
        <v>3992</v>
      </c>
      <c r="I23" s="3916">
        <v>141.4</v>
      </c>
      <c r="J23" s="3917">
        <v>11.7</v>
      </c>
      <c r="K23" s="3918">
        <v>7</v>
      </c>
      <c r="L23" s="3918">
        <v>2.8</v>
      </c>
      <c r="M23" s="3919">
        <f t="shared" si="4"/>
        <v>21.5</v>
      </c>
      <c r="N23" s="3920">
        <v>90</v>
      </c>
      <c r="O23" s="3921">
        <f t="shared" si="5"/>
        <v>148894.19999999998</v>
      </c>
      <c r="P23" s="3921">
        <f t="shared" si="5"/>
        <v>89082</v>
      </c>
      <c r="Q23" s="3921">
        <f t="shared" si="5"/>
        <v>35632.800000000003</v>
      </c>
      <c r="R23" s="3922">
        <v>5000</v>
      </c>
      <c r="S23" s="3923">
        <v>300</v>
      </c>
      <c r="T23" s="3923">
        <v>0</v>
      </c>
      <c r="U23" s="3923">
        <v>0</v>
      </c>
      <c r="V23" s="3924">
        <f t="shared" si="6"/>
        <v>278909</v>
      </c>
      <c r="W23" s="3925">
        <v>0</v>
      </c>
      <c r="X23" s="3925">
        <v>0</v>
      </c>
      <c r="Y23" s="3925">
        <v>0</v>
      </c>
      <c r="Z23" s="3925"/>
      <c r="AA23" s="3925"/>
      <c r="AB23" s="3926"/>
      <c r="AC23" s="3927">
        <f t="shared" si="7"/>
        <v>0</v>
      </c>
      <c r="AD23" s="3926">
        <f t="shared" si="11"/>
        <v>148894.19999999998</v>
      </c>
      <c r="AE23" s="3926">
        <f t="shared" si="11"/>
        <v>89082</v>
      </c>
      <c r="AF23" s="3926">
        <f t="shared" si="11"/>
        <v>35632.800000000003</v>
      </c>
      <c r="AG23" s="3926">
        <f t="shared" si="11"/>
        <v>5000</v>
      </c>
      <c r="AH23" s="3926">
        <f t="shared" si="11"/>
        <v>300</v>
      </c>
      <c r="AI23" s="3926">
        <f t="shared" si="11"/>
        <v>0</v>
      </c>
      <c r="AJ23" s="3926">
        <f t="shared" si="8"/>
        <v>0</v>
      </c>
      <c r="AK23" s="3928">
        <f t="shared" si="9"/>
        <v>278909</v>
      </c>
      <c r="AL23" s="3929">
        <f>SUMIF([3]租约表对应的会计账!$C$5:$C$164,B23,[3]租约表对应的会计账!$D$5:$D$164)</f>
        <v>299443</v>
      </c>
      <c r="AM23" s="3930">
        <f>SUMIF([3]租约表对应的会计账!$H$5:$H$164,B23,[3]租约表对应的会计账!$I$5:$I$164)</f>
        <v>179154</v>
      </c>
      <c r="AN23" s="3929">
        <f>SUMIF([3]租约表对应的会计账!$S$5:$S$164,B23,[3]租约表对应的会计账!$T$5:$T$164)</f>
        <v>0</v>
      </c>
      <c r="AO23" s="3929">
        <f>SUMIF([3]租约表对应的会计账!$X$5:$X$164,B23,[3]租约表对应的会计账!$Y$5:$Y$164)</f>
        <v>3711</v>
      </c>
      <c r="AP23" s="3929">
        <f>SUMIF([3]租约表对应的会计账!$AC$5:$AC$164,[3]租约表!B23,[3]租约表对应的会计账!$AD$5:$AD$164)</f>
        <v>300</v>
      </c>
      <c r="AQ23" s="3929">
        <f>SUMIF([3]租约表对应的会计账!$AH$5:$AH$164,[3]租约表!B23,[3]租约表对应的会计账!$AI$5:$AI$164)</f>
        <v>0</v>
      </c>
      <c r="AR23" s="3929">
        <f t="shared" si="10"/>
        <v>482608</v>
      </c>
      <c r="AS23" s="3929">
        <f t="shared" si="12"/>
        <v>-150548.80000000002</v>
      </c>
      <c r="AT23" s="3929">
        <f t="shared" si="12"/>
        <v>-90072</v>
      </c>
      <c r="AU23" s="3929">
        <f t="shared" si="12"/>
        <v>35632.800000000003</v>
      </c>
      <c r="AV23" s="3929">
        <f t="shared" si="12"/>
        <v>1289</v>
      </c>
      <c r="AW23" s="3929">
        <f t="shared" si="12"/>
        <v>0</v>
      </c>
      <c r="AX23" s="3929">
        <f t="shared" si="12"/>
        <v>0</v>
      </c>
      <c r="AY23" s="3929">
        <f t="shared" si="2"/>
        <v>-203699</v>
      </c>
      <c r="AZ23" s="3915" t="s">
        <v>3975</v>
      </c>
    </row>
    <row r="24" spans="1:52" s="3931" customFormat="1" ht="60" customHeight="1">
      <c r="A24" s="3910" t="s">
        <v>3965</v>
      </c>
      <c r="B24" s="3911">
        <v>1119</v>
      </c>
      <c r="C24" s="3912" t="s">
        <v>3584</v>
      </c>
      <c r="D24" s="3912" t="s">
        <v>3585</v>
      </c>
      <c r="E24" s="3913">
        <v>44367</v>
      </c>
      <c r="F24" s="3913">
        <v>45077</v>
      </c>
      <c r="G24" s="3914">
        <f t="shared" si="3"/>
        <v>1.9452054794520548</v>
      </c>
      <c r="H24" s="3915" t="s">
        <v>3993</v>
      </c>
      <c r="I24" s="3916">
        <v>200</v>
      </c>
      <c r="J24" s="3917">
        <v>29.27</v>
      </c>
      <c r="K24" s="3918">
        <v>7</v>
      </c>
      <c r="L24" s="3918">
        <v>2.8</v>
      </c>
      <c r="M24" s="3919">
        <f t="shared" si="4"/>
        <v>39.069999999999993</v>
      </c>
      <c r="N24" s="3920">
        <v>90</v>
      </c>
      <c r="O24" s="3921">
        <f t="shared" si="5"/>
        <v>526860</v>
      </c>
      <c r="P24" s="3921">
        <f t="shared" si="5"/>
        <v>126000</v>
      </c>
      <c r="Q24" s="3921">
        <f t="shared" si="5"/>
        <v>50400</v>
      </c>
      <c r="R24" s="3922">
        <v>2500</v>
      </c>
      <c r="S24" s="3923">
        <v>150</v>
      </c>
      <c r="T24" s="3923">
        <v>0</v>
      </c>
      <c r="U24" s="3923">
        <v>0</v>
      </c>
      <c r="V24" s="3924">
        <f t="shared" si="6"/>
        <v>705910</v>
      </c>
      <c r="W24" s="3925">
        <v>35124</v>
      </c>
      <c r="X24" s="3925">
        <v>8400</v>
      </c>
      <c r="Y24" s="3925">
        <v>3360</v>
      </c>
      <c r="Z24" s="3925"/>
      <c r="AA24" s="3925"/>
      <c r="AB24" s="3926"/>
      <c r="AC24" s="3927">
        <f t="shared" si="7"/>
        <v>46884</v>
      </c>
      <c r="AD24" s="3926">
        <f t="shared" si="11"/>
        <v>491736</v>
      </c>
      <c r="AE24" s="3926">
        <f t="shared" si="11"/>
        <v>117600</v>
      </c>
      <c r="AF24" s="3926">
        <f t="shared" si="11"/>
        <v>47040</v>
      </c>
      <c r="AG24" s="3926">
        <f t="shared" si="11"/>
        <v>2500</v>
      </c>
      <c r="AH24" s="3926">
        <f t="shared" si="11"/>
        <v>150</v>
      </c>
      <c r="AI24" s="3926">
        <f t="shared" si="11"/>
        <v>0</v>
      </c>
      <c r="AJ24" s="3926">
        <f t="shared" si="8"/>
        <v>0</v>
      </c>
      <c r="AK24" s="3928">
        <f t="shared" si="9"/>
        <v>659026</v>
      </c>
      <c r="AL24" s="3929">
        <f>SUMIF([3]租约表对应的会计账!$C$5:$C$164,B24,[3]租约表对应的会计账!$D$5:$D$164)</f>
        <v>491736</v>
      </c>
      <c r="AM24" s="3930">
        <f>SUMIF([3]租约表对应的会计账!$H$5:$H$164,B24,[3]租约表对应的会计账!$I$5:$I$164)</f>
        <v>117600</v>
      </c>
      <c r="AN24" s="3929">
        <f>SUMIF([3]租约表对应的会计账!$S$5:$S$164,B24,[3]租约表对应的会计账!$T$5:$T$164)</f>
        <v>47040</v>
      </c>
      <c r="AO24" s="3929">
        <f>SUMIF([3]租约表对应的会计账!$X$5:$X$164,B24,[3]租约表对应的会计账!$Y$5:$Y$164)</f>
        <v>2500</v>
      </c>
      <c r="AP24" s="3929">
        <f>SUMIF([3]租约表对应的会计账!$AC$5:$AC$164,[3]租约表!B24,[3]租约表对应的会计账!$AD$5:$AD$164)</f>
        <v>150</v>
      </c>
      <c r="AQ24" s="3929">
        <f>SUMIF([3]租约表对应的会计账!$AH$5:$AH$164,[3]租约表!B24,[3]租约表对应的会计账!$AI$5:$AI$164)</f>
        <v>0</v>
      </c>
      <c r="AR24" s="3929">
        <f t="shared" si="10"/>
        <v>659026</v>
      </c>
      <c r="AS24" s="3929">
        <f t="shared" si="12"/>
        <v>0</v>
      </c>
      <c r="AT24" s="3929">
        <f t="shared" si="12"/>
        <v>0</v>
      </c>
      <c r="AU24" s="3929">
        <f t="shared" si="12"/>
        <v>0</v>
      </c>
      <c r="AV24" s="3929">
        <f t="shared" si="12"/>
        <v>0</v>
      </c>
      <c r="AW24" s="3929">
        <f t="shared" si="12"/>
        <v>0</v>
      </c>
      <c r="AX24" s="3929">
        <f t="shared" si="12"/>
        <v>0</v>
      </c>
      <c r="AY24" s="3929">
        <f t="shared" si="2"/>
        <v>0</v>
      </c>
      <c r="AZ24" s="3915" t="s">
        <v>3967</v>
      </c>
    </row>
    <row r="25" spans="1:52" s="3931" customFormat="1" ht="60" customHeight="1">
      <c r="A25" s="3910" t="s">
        <v>3965</v>
      </c>
      <c r="B25" s="3911">
        <v>1120</v>
      </c>
      <c r="C25" s="3912" t="s">
        <v>3568</v>
      </c>
      <c r="D25" s="3912"/>
      <c r="E25" s="3913"/>
      <c r="F25" s="3913"/>
      <c r="G25" s="3914">
        <f t="shared" si="3"/>
        <v>0</v>
      </c>
      <c r="H25" s="3915"/>
      <c r="I25" s="3916">
        <v>230.4</v>
      </c>
      <c r="J25" s="3917"/>
      <c r="K25" s="3918"/>
      <c r="L25" s="3918"/>
      <c r="M25" s="3919">
        <f t="shared" si="4"/>
        <v>0</v>
      </c>
      <c r="N25" s="3920"/>
      <c r="O25" s="3921">
        <f t="shared" si="5"/>
        <v>0</v>
      </c>
      <c r="P25" s="3921">
        <f t="shared" si="5"/>
        <v>0</v>
      </c>
      <c r="Q25" s="3921">
        <f t="shared" si="5"/>
        <v>0</v>
      </c>
      <c r="R25" s="3922">
        <v>0</v>
      </c>
      <c r="S25" s="3923">
        <v>0</v>
      </c>
      <c r="T25" s="3923">
        <v>0</v>
      </c>
      <c r="U25" s="3923">
        <v>0</v>
      </c>
      <c r="V25" s="3924">
        <f t="shared" si="6"/>
        <v>0</v>
      </c>
      <c r="W25" s="3925">
        <v>0</v>
      </c>
      <c r="X25" s="3925">
        <v>0</v>
      </c>
      <c r="Y25" s="3925">
        <v>0</v>
      </c>
      <c r="Z25" s="3925"/>
      <c r="AA25" s="3925"/>
      <c r="AB25" s="3926"/>
      <c r="AC25" s="3927">
        <f t="shared" si="7"/>
        <v>0</v>
      </c>
      <c r="AD25" s="3926">
        <f t="shared" si="11"/>
        <v>0</v>
      </c>
      <c r="AE25" s="3926">
        <f t="shared" si="11"/>
        <v>0</v>
      </c>
      <c r="AF25" s="3926">
        <f t="shared" si="11"/>
        <v>0</v>
      </c>
      <c r="AG25" s="3926">
        <f t="shared" si="11"/>
        <v>0</v>
      </c>
      <c r="AH25" s="3926">
        <f t="shared" si="11"/>
        <v>0</v>
      </c>
      <c r="AI25" s="3926">
        <f t="shared" si="11"/>
        <v>0</v>
      </c>
      <c r="AJ25" s="3926">
        <f t="shared" si="8"/>
        <v>0</v>
      </c>
      <c r="AK25" s="3928">
        <f t="shared" si="9"/>
        <v>0</v>
      </c>
      <c r="AL25" s="3929">
        <f>SUMIF([3]租约表对应的会计账!$C$5:$C$164,B25,[3]租约表对应的会计账!$D$5:$D$164)</f>
        <v>0</v>
      </c>
      <c r="AM25" s="3930">
        <f>SUMIF([3]租约表对应的会计账!$H$5:$H$164,B25,[3]租约表对应的会计账!$I$5:$I$164)</f>
        <v>0</v>
      </c>
      <c r="AN25" s="3929">
        <f>SUMIF([3]租约表对应的会计账!$S$5:$S$164,B25,[3]租约表对应的会计账!$T$5:$T$164)</f>
        <v>0</v>
      </c>
      <c r="AO25" s="3929">
        <f>SUMIF([3]租约表对应的会计账!$X$5:$X$164,B25,[3]租约表对应的会计账!$Y$5:$Y$164)</f>
        <v>0</v>
      </c>
      <c r="AP25" s="3929">
        <f>SUMIF([3]租约表对应的会计账!$AC$5:$AC$164,[3]租约表!B25,[3]租约表对应的会计账!$AD$5:$AD$164)</f>
        <v>0</v>
      </c>
      <c r="AQ25" s="3929">
        <f>SUMIF([3]租约表对应的会计账!$AH$5:$AH$164,[3]租约表!B25,[3]租约表对应的会计账!$AI$5:$AI$164)</f>
        <v>0</v>
      </c>
      <c r="AR25" s="3929">
        <f t="shared" si="10"/>
        <v>0</v>
      </c>
      <c r="AS25" s="3929">
        <f t="shared" si="12"/>
        <v>0</v>
      </c>
      <c r="AT25" s="3929">
        <f t="shared" si="12"/>
        <v>0</v>
      </c>
      <c r="AU25" s="3929">
        <f t="shared" si="12"/>
        <v>0</v>
      </c>
      <c r="AV25" s="3929">
        <f t="shared" si="12"/>
        <v>0</v>
      </c>
      <c r="AW25" s="3929">
        <f t="shared" si="12"/>
        <v>0</v>
      </c>
      <c r="AX25" s="3929">
        <f t="shared" si="12"/>
        <v>0</v>
      </c>
      <c r="AY25" s="3929">
        <f t="shared" si="2"/>
        <v>0</v>
      </c>
      <c r="AZ25" s="3915" t="s">
        <v>3568</v>
      </c>
    </row>
    <row r="26" spans="1:52" s="3931" customFormat="1" ht="60" customHeight="1">
      <c r="A26" s="3910" t="s">
        <v>3965</v>
      </c>
      <c r="B26" s="3911">
        <v>1121</v>
      </c>
      <c r="C26" s="3912" t="s">
        <v>3586</v>
      </c>
      <c r="D26" s="3912" t="s">
        <v>3587</v>
      </c>
      <c r="E26" s="3913">
        <v>44287</v>
      </c>
      <c r="F26" s="3912">
        <v>45747</v>
      </c>
      <c r="G26" s="3914">
        <f t="shared" si="3"/>
        <v>4</v>
      </c>
      <c r="H26" s="3915" t="s">
        <v>3994</v>
      </c>
      <c r="I26" s="3916">
        <v>25.6</v>
      </c>
      <c r="J26" s="3935">
        <v>14.7</v>
      </c>
      <c r="K26" s="3935">
        <v>7</v>
      </c>
      <c r="L26" s="3935">
        <v>2.8</v>
      </c>
      <c r="M26" s="3919">
        <f t="shared" si="4"/>
        <v>24.5</v>
      </c>
      <c r="N26" s="3920">
        <v>90</v>
      </c>
      <c r="O26" s="3921">
        <f t="shared" si="5"/>
        <v>33868.800000000003</v>
      </c>
      <c r="P26" s="3921">
        <f t="shared" si="5"/>
        <v>16128.000000000002</v>
      </c>
      <c r="Q26" s="3921">
        <f t="shared" si="5"/>
        <v>6451.1999999999989</v>
      </c>
      <c r="R26" s="3922">
        <v>0</v>
      </c>
      <c r="S26" s="3923">
        <v>0</v>
      </c>
      <c r="T26" s="3923">
        <v>0</v>
      </c>
      <c r="U26" s="3923">
        <v>0</v>
      </c>
      <c r="V26" s="3924">
        <f t="shared" si="6"/>
        <v>56448</v>
      </c>
      <c r="W26" s="3925">
        <v>0</v>
      </c>
      <c r="X26" s="3925">
        <v>0</v>
      </c>
      <c r="Y26" s="3925">
        <v>0</v>
      </c>
      <c r="Z26" s="3925"/>
      <c r="AA26" s="3925"/>
      <c r="AB26" s="3926"/>
      <c r="AC26" s="3927">
        <f t="shared" si="7"/>
        <v>0</v>
      </c>
      <c r="AD26" s="3926">
        <f t="shared" si="11"/>
        <v>33868.800000000003</v>
      </c>
      <c r="AE26" s="3926">
        <f t="shared" si="11"/>
        <v>16128.000000000002</v>
      </c>
      <c r="AF26" s="3926">
        <f t="shared" si="11"/>
        <v>6451.1999999999989</v>
      </c>
      <c r="AG26" s="3926">
        <f t="shared" si="11"/>
        <v>0</v>
      </c>
      <c r="AH26" s="3926">
        <f t="shared" si="11"/>
        <v>0</v>
      </c>
      <c r="AI26" s="3926">
        <f t="shared" si="11"/>
        <v>0</v>
      </c>
      <c r="AJ26" s="3926">
        <f t="shared" si="8"/>
        <v>0</v>
      </c>
      <c r="AK26" s="3928">
        <f t="shared" si="9"/>
        <v>56448</v>
      </c>
      <c r="AL26" s="3929">
        <f>SUMIF([3]租约表对应的会计账!$C$5:$C$164,B26,[3]租约表对应的会计账!$D$5:$D$164)</f>
        <v>0</v>
      </c>
      <c r="AM26" s="3930">
        <f>SUMIF([3]租约表对应的会计账!$H$5:$H$164,B26,[3]租约表对应的会计账!$I$5:$I$164)</f>
        <v>0</v>
      </c>
      <c r="AN26" s="3929">
        <f>SUMIF([3]租约表对应的会计账!$S$5:$S$164,B26,[3]租约表对应的会计账!$T$5:$T$164)</f>
        <v>0</v>
      </c>
      <c r="AO26" s="3929">
        <f>SUMIF([3]租约表对应的会计账!$X$5:$X$164,B26,[3]租约表对应的会计账!$Y$5:$Y$164)</f>
        <v>0</v>
      </c>
      <c r="AP26" s="3929">
        <f>SUMIF([3]租约表对应的会计账!$AC$5:$AC$164,[3]租约表!B26,[3]租约表对应的会计账!$AD$5:$AD$164)</f>
        <v>0</v>
      </c>
      <c r="AQ26" s="3929">
        <f>SUMIF([3]租约表对应的会计账!$AH$5:$AH$164,[3]租约表!B26,[3]租约表对应的会计账!$AI$5:$AI$164)</f>
        <v>0</v>
      </c>
      <c r="AR26" s="3929">
        <f t="shared" si="10"/>
        <v>0</v>
      </c>
      <c r="AS26" s="3929">
        <f t="shared" si="12"/>
        <v>33868.800000000003</v>
      </c>
      <c r="AT26" s="3929">
        <f t="shared" si="12"/>
        <v>16128.000000000002</v>
      </c>
      <c r="AU26" s="3929">
        <f t="shared" si="12"/>
        <v>6451.1999999999989</v>
      </c>
      <c r="AV26" s="3929">
        <f t="shared" si="12"/>
        <v>0</v>
      </c>
      <c r="AW26" s="3929">
        <f t="shared" si="12"/>
        <v>0</v>
      </c>
      <c r="AX26" s="3929">
        <f t="shared" si="12"/>
        <v>0</v>
      </c>
      <c r="AY26" s="3929">
        <f t="shared" si="2"/>
        <v>56448</v>
      </c>
      <c r="AZ26" s="3915" t="s">
        <v>3967</v>
      </c>
    </row>
    <row r="27" spans="1:52" s="3931" customFormat="1" ht="60" customHeight="1">
      <c r="A27" s="3910" t="s">
        <v>3965</v>
      </c>
      <c r="B27" s="3911">
        <v>1122</v>
      </c>
      <c r="C27" s="3912" t="s">
        <v>3588</v>
      </c>
      <c r="D27" s="3912" t="s">
        <v>3589</v>
      </c>
      <c r="E27" s="3913">
        <v>44378</v>
      </c>
      <c r="F27" s="3913">
        <v>45107</v>
      </c>
      <c r="G27" s="3914">
        <f t="shared" si="3"/>
        <v>1.9972602739726026</v>
      </c>
      <c r="H27" s="3915" t="s">
        <v>3995</v>
      </c>
      <c r="I27" s="3916">
        <v>116.64</v>
      </c>
      <c r="J27" s="3917">
        <v>28.48</v>
      </c>
      <c r="K27" s="3918">
        <v>7</v>
      </c>
      <c r="L27" s="3918">
        <v>2.8</v>
      </c>
      <c r="M27" s="3919">
        <f t="shared" si="4"/>
        <v>38.28</v>
      </c>
      <c r="N27" s="3920">
        <v>90</v>
      </c>
      <c r="O27" s="3921">
        <f t="shared" si="5"/>
        <v>298971.64799999999</v>
      </c>
      <c r="P27" s="3921">
        <f t="shared" si="5"/>
        <v>73483.199999999997</v>
      </c>
      <c r="Q27" s="3921">
        <f t="shared" si="5"/>
        <v>29393.279999999999</v>
      </c>
      <c r="R27" s="3922">
        <v>2500</v>
      </c>
      <c r="S27" s="3923">
        <v>1950</v>
      </c>
      <c r="T27" s="3923">
        <v>0</v>
      </c>
      <c r="U27" s="3923">
        <v>0</v>
      </c>
      <c r="V27" s="3924">
        <f t="shared" si="6"/>
        <v>406298.12800000003</v>
      </c>
      <c r="W27" s="3925">
        <v>19931</v>
      </c>
      <c r="X27" s="3925">
        <v>4899</v>
      </c>
      <c r="Y27" s="3925">
        <v>1960</v>
      </c>
      <c r="Z27" s="3925"/>
      <c r="AA27" s="3925"/>
      <c r="AB27" s="3926"/>
      <c r="AC27" s="3927">
        <f t="shared" si="7"/>
        <v>26790</v>
      </c>
      <c r="AD27" s="3926">
        <f t="shared" si="11"/>
        <v>279040.64799999999</v>
      </c>
      <c r="AE27" s="3926">
        <f t="shared" si="11"/>
        <v>68584.2</v>
      </c>
      <c r="AF27" s="3926">
        <f t="shared" si="11"/>
        <v>27433.279999999999</v>
      </c>
      <c r="AG27" s="3926">
        <f t="shared" si="11"/>
        <v>2500</v>
      </c>
      <c r="AH27" s="3926">
        <f t="shared" si="11"/>
        <v>1950</v>
      </c>
      <c r="AI27" s="3926">
        <f t="shared" si="11"/>
        <v>0</v>
      </c>
      <c r="AJ27" s="3926">
        <f t="shared" si="8"/>
        <v>0</v>
      </c>
      <c r="AK27" s="3928">
        <f t="shared" si="9"/>
        <v>379508.12800000003</v>
      </c>
      <c r="AL27" s="3929">
        <f>SUMIF([3]租约表对应的会计账!$C$5:$C$164,B27,[3]租约表对应的会计账!$D$5:$D$164)</f>
        <v>279533</v>
      </c>
      <c r="AM27" s="3930">
        <f>SUMIF([3]租约表对应的会计账!$H$5:$H$164,B27,[3]租约表对应的会计账!$I$5:$I$164)</f>
        <v>68584</v>
      </c>
      <c r="AN27" s="3929">
        <f>SUMIF([3]租约表对应的会计账!$S$5:$S$164,B27,[3]租约表对应的会计账!$T$5:$T$164)</f>
        <v>27433</v>
      </c>
      <c r="AO27" s="3929">
        <f>SUMIF([3]租约表对应的会计账!$X$5:$X$164,B27,[3]租约表对应的会计账!$Y$5:$Y$164)</f>
        <v>2500</v>
      </c>
      <c r="AP27" s="3929">
        <f>SUMIF([3]租约表对应的会计账!$AC$5:$AC$164,[3]租约表!B27,[3]租约表对应的会计账!$AD$5:$AD$164)</f>
        <v>1950</v>
      </c>
      <c r="AQ27" s="3929">
        <f>SUMIF([3]租约表对应的会计账!$AH$5:$AH$164,[3]租约表!B27,[3]租约表对应的会计账!$AI$5:$AI$164)</f>
        <v>0</v>
      </c>
      <c r="AR27" s="3929">
        <f t="shared" si="10"/>
        <v>380000</v>
      </c>
      <c r="AS27" s="3929">
        <f t="shared" si="12"/>
        <v>-492.3520000000135</v>
      </c>
      <c r="AT27" s="3929">
        <f t="shared" si="12"/>
        <v>0.19999999999708962</v>
      </c>
      <c r="AU27" s="3929">
        <f t="shared" si="12"/>
        <v>0.27999999999883585</v>
      </c>
      <c r="AV27" s="3929">
        <f t="shared" si="12"/>
        <v>0</v>
      </c>
      <c r="AW27" s="3929">
        <f t="shared" si="12"/>
        <v>0</v>
      </c>
      <c r="AX27" s="3929">
        <f t="shared" si="12"/>
        <v>0</v>
      </c>
      <c r="AY27" s="3929">
        <f t="shared" si="2"/>
        <v>-491.87200000001758</v>
      </c>
      <c r="AZ27" s="3915" t="s">
        <v>3975</v>
      </c>
    </row>
    <row r="28" spans="1:52" s="3931" customFormat="1" ht="60" customHeight="1">
      <c r="A28" s="3910" t="s">
        <v>3965</v>
      </c>
      <c r="B28" s="3911">
        <v>1123</v>
      </c>
      <c r="C28" s="3912" t="s">
        <v>3553</v>
      </c>
      <c r="D28" s="3912" t="s">
        <v>3553</v>
      </c>
      <c r="E28" s="3913">
        <v>44825</v>
      </c>
      <c r="F28" s="3913">
        <v>45565</v>
      </c>
      <c r="G28" s="3914">
        <f t="shared" si="3"/>
        <v>2.0273972602739727</v>
      </c>
      <c r="H28" s="3915" t="s">
        <v>3996</v>
      </c>
      <c r="I28" s="3916">
        <v>114.6</v>
      </c>
      <c r="J28" s="3917">
        <v>26.7</v>
      </c>
      <c r="K28" s="3918">
        <v>7</v>
      </c>
      <c r="L28" s="3918">
        <v>2.8</v>
      </c>
      <c r="M28" s="3919">
        <f t="shared" si="4"/>
        <v>36.5</v>
      </c>
      <c r="N28" s="3920">
        <v>90</v>
      </c>
      <c r="O28" s="3921">
        <f t="shared" si="5"/>
        <v>275383.8</v>
      </c>
      <c r="P28" s="3921">
        <f t="shared" si="5"/>
        <v>72198</v>
      </c>
      <c r="Q28" s="3921">
        <f t="shared" si="5"/>
        <v>28879.199999999993</v>
      </c>
      <c r="R28" s="3922">
        <v>2500</v>
      </c>
      <c r="S28" s="3923">
        <v>150</v>
      </c>
      <c r="T28" s="3923">
        <v>0</v>
      </c>
      <c r="U28" s="3923">
        <v>0</v>
      </c>
      <c r="V28" s="3924">
        <f t="shared" si="6"/>
        <v>379111</v>
      </c>
      <c r="W28" s="3925">
        <v>18359</v>
      </c>
      <c r="X28" s="3925">
        <v>4813</v>
      </c>
      <c r="Y28" s="3925">
        <v>1925</v>
      </c>
      <c r="Z28" s="3925"/>
      <c r="AA28" s="3925"/>
      <c r="AB28" s="3926"/>
      <c r="AC28" s="3927">
        <f t="shared" si="7"/>
        <v>25097</v>
      </c>
      <c r="AD28" s="3926">
        <f t="shared" si="11"/>
        <v>257024.8</v>
      </c>
      <c r="AE28" s="3926">
        <f t="shared" si="11"/>
        <v>67385</v>
      </c>
      <c r="AF28" s="3926">
        <f t="shared" si="11"/>
        <v>26954.199999999993</v>
      </c>
      <c r="AG28" s="3926">
        <f t="shared" si="11"/>
        <v>2500</v>
      </c>
      <c r="AH28" s="3926">
        <f t="shared" si="11"/>
        <v>150</v>
      </c>
      <c r="AI28" s="3926">
        <f t="shared" si="11"/>
        <v>0</v>
      </c>
      <c r="AJ28" s="3926">
        <f t="shared" si="8"/>
        <v>0</v>
      </c>
      <c r="AK28" s="3928">
        <f t="shared" si="9"/>
        <v>354014</v>
      </c>
      <c r="AL28" s="3929">
        <f>SUMIF([3]租约表对应的会计账!$C$5:$C$164,B28,[3]租约表对应的会计账!$D$5:$D$164)</f>
        <v>257025</v>
      </c>
      <c r="AM28" s="3930">
        <f>SUMIF([3]租约表对应的会计账!$H$5:$H$164,B28,[3]租约表对应的会计账!$I$5:$I$164)</f>
        <v>67385</v>
      </c>
      <c r="AN28" s="3929">
        <f>SUMIF([3]租约表对应的会计账!$S$5:$S$164,B28,[3]租约表对应的会计账!$T$5:$T$164)</f>
        <v>26954</v>
      </c>
      <c r="AO28" s="3929">
        <f>SUMIF([3]租约表对应的会计账!$X$5:$X$164,B28,[3]租约表对应的会计账!$Y$5:$Y$164)</f>
        <v>2500</v>
      </c>
      <c r="AP28" s="3929">
        <f>SUMIF([3]租约表对应的会计账!$AC$5:$AC$164,[3]租约表!B28,[3]租约表对应的会计账!$AD$5:$AD$164)</f>
        <v>150</v>
      </c>
      <c r="AQ28" s="3929">
        <f>SUMIF([3]租约表对应的会计账!$AH$5:$AH$164,[3]租约表!B28,[3]租约表对应的会计账!$AI$5:$AI$164)</f>
        <v>0</v>
      </c>
      <c r="AR28" s="3929">
        <f t="shared" si="10"/>
        <v>354014</v>
      </c>
      <c r="AS28" s="3929">
        <f t="shared" si="12"/>
        <v>-0.20000000001164153</v>
      </c>
      <c r="AT28" s="3929">
        <f t="shared" si="12"/>
        <v>0</v>
      </c>
      <c r="AU28" s="3929">
        <f t="shared" si="12"/>
        <v>0.19999999999345164</v>
      </c>
      <c r="AV28" s="3929">
        <f t="shared" si="12"/>
        <v>0</v>
      </c>
      <c r="AW28" s="3929">
        <f t="shared" si="12"/>
        <v>0</v>
      </c>
      <c r="AX28" s="3929">
        <f t="shared" si="12"/>
        <v>0</v>
      </c>
      <c r="AY28" s="3929">
        <f t="shared" si="2"/>
        <v>-1.8189894035458565E-11</v>
      </c>
      <c r="AZ28" s="3915" t="s">
        <v>3967</v>
      </c>
    </row>
    <row r="29" spans="1:52" s="3931" customFormat="1" ht="60" customHeight="1">
      <c r="A29" s="3910" t="s">
        <v>3997</v>
      </c>
      <c r="B29" s="3911">
        <v>2012</v>
      </c>
      <c r="C29" s="3912" t="s">
        <v>3590</v>
      </c>
      <c r="D29" s="3912" t="s">
        <v>3591</v>
      </c>
      <c r="E29" s="3913">
        <v>44777</v>
      </c>
      <c r="F29" s="3913">
        <v>45382</v>
      </c>
      <c r="G29" s="3914">
        <f t="shared" si="3"/>
        <v>1.6575342465753424</v>
      </c>
      <c r="H29" s="3915" t="s">
        <v>3998</v>
      </c>
      <c r="I29" s="3916">
        <v>68.319999999999993</v>
      </c>
      <c r="J29" s="3917">
        <v>12.2</v>
      </c>
      <c r="K29" s="3918">
        <v>6</v>
      </c>
      <c r="L29" s="3918">
        <v>2.8</v>
      </c>
      <c r="M29" s="3919">
        <f t="shared" si="4"/>
        <v>21</v>
      </c>
      <c r="N29" s="3920">
        <v>90</v>
      </c>
      <c r="O29" s="3921">
        <f t="shared" si="5"/>
        <v>75015.359999999986</v>
      </c>
      <c r="P29" s="3921">
        <f t="shared" si="5"/>
        <v>36892.799999999996</v>
      </c>
      <c r="Q29" s="3921">
        <f t="shared" si="5"/>
        <v>17216.639999999996</v>
      </c>
      <c r="R29" s="3922">
        <v>2500</v>
      </c>
      <c r="S29" s="3923">
        <v>150</v>
      </c>
      <c r="T29" s="3923">
        <v>0</v>
      </c>
      <c r="U29" s="3923">
        <v>0</v>
      </c>
      <c r="V29" s="3924">
        <f t="shared" si="6"/>
        <v>131774.79999999999</v>
      </c>
      <c r="W29" s="3925">
        <v>5001</v>
      </c>
      <c r="X29" s="3925">
        <v>2460</v>
      </c>
      <c r="Y29" s="3925">
        <v>1148</v>
      </c>
      <c r="Z29" s="3925"/>
      <c r="AA29" s="3925"/>
      <c r="AB29" s="3926"/>
      <c r="AC29" s="3927">
        <f t="shared" si="7"/>
        <v>8609</v>
      </c>
      <c r="AD29" s="3926">
        <f t="shared" si="11"/>
        <v>70014.359999999986</v>
      </c>
      <c r="AE29" s="3926">
        <f t="shared" si="11"/>
        <v>34432.799999999996</v>
      </c>
      <c r="AF29" s="3926">
        <f t="shared" si="11"/>
        <v>16068.639999999996</v>
      </c>
      <c r="AG29" s="3926">
        <f t="shared" si="11"/>
        <v>2500</v>
      </c>
      <c r="AH29" s="3926">
        <f t="shared" si="11"/>
        <v>150</v>
      </c>
      <c r="AI29" s="3926">
        <f t="shared" si="11"/>
        <v>0</v>
      </c>
      <c r="AJ29" s="3926">
        <f t="shared" si="8"/>
        <v>0</v>
      </c>
      <c r="AK29" s="3928">
        <f t="shared" si="9"/>
        <v>123165.79999999997</v>
      </c>
      <c r="AL29" s="3929">
        <f>SUMIF([3]租约表对应的会计账!$C$5:$C$164,B29,[3]租约表对应的会计账!$D$5:$D$164)</f>
        <v>70014</v>
      </c>
      <c r="AM29" s="3930">
        <f>SUMIF([3]租约表对应的会计账!$H$5:$H$164,B29,[3]租约表对应的会计账!$I$5:$I$164)</f>
        <v>34433</v>
      </c>
      <c r="AN29" s="3929">
        <f>SUMIF([3]租约表对应的会计账!$S$5:$S$164,B29,[3]租约表对应的会计账!$T$5:$T$164)</f>
        <v>16069</v>
      </c>
      <c r="AO29" s="3929">
        <f>SUMIF([3]租约表对应的会计账!$X$5:$X$164,B29,[3]租约表对应的会计账!$Y$5:$Y$164)</f>
        <v>2500</v>
      </c>
      <c r="AP29" s="3929">
        <f>SUMIF([3]租约表对应的会计账!$AC$5:$AC$164,[3]租约表!B29,[3]租约表对应的会计账!$AD$5:$AD$164)</f>
        <v>150</v>
      </c>
      <c r="AQ29" s="3929">
        <f>SUMIF([3]租约表对应的会计账!$AH$5:$AH$164,[3]租约表!B29,[3]租约表对应的会计账!$AI$5:$AI$164)</f>
        <v>0</v>
      </c>
      <c r="AR29" s="3929">
        <f t="shared" si="10"/>
        <v>123166</v>
      </c>
      <c r="AS29" s="3929">
        <f t="shared" si="12"/>
        <v>0.35999999998603016</v>
      </c>
      <c r="AT29" s="3929">
        <f t="shared" si="12"/>
        <v>-0.20000000000436557</v>
      </c>
      <c r="AU29" s="3929">
        <f t="shared" si="12"/>
        <v>-0.36000000000422006</v>
      </c>
      <c r="AV29" s="3929">
        <f t="shared" si="12"/>
        <v>0</v>
      </c>
      <c r="AW29" s="3929">
        <f t="shared" si="12"/>
        <v>0</v>
      </c>
      <c r="AX29" s="3929">
        <f t="shared" si="12"/>
        <v>0</v>
      </c>
      <c r="AY29" s="3929">
        <f t="shared" si="2"/>
        <v>-0.20000000002255547</v>
      </c>
      <c r="AZ29" s="3915" t="s">
        <v>3967</v>
      </c>
    </row>
    <row r="30" spans="1:52" s="3931" customFormat="1" ht="60" customHeight="1">
      <c r="A30" s="3910" t="s">
        <v>3997</v>
      </c>
      <c r="B30" s="3911">
        <v>2041</v>
      </c>
      <c r="C30" s="3912" t="s">
        <v>3580</v>
      </c>
      <c r="D30" s="3912" t="s">
        <v>3581</v>
      </c>
      <c r="E30" s="3913">
        <v>44577</v>
      </c>
      <c r="F30" s="3913">
        <v>45382</v>
      </c>
      <c r="G30" s="3914">
        <f t="shared" si="3"/>
        <v>2.2054794520547945</v>
      </c>
      <c r="H30" s="3915" t="s">
        <v>3999</v>
      </c>
      <c r="I30" s="3916">
        <v>127.52</v>
      </c>
      <c r="J30" s="3935">
        <v>12.2</v>
      </c>
      <c r="K30" s="3935">
        <v>6</v>
      </c>
      <c r="L30" s="3935">
        <v>2.8</v>
      </c>
      <c r="M30" s="3919">
        <f t="shared" si="4"/>
        <v>21</v>
      </c>
      <c r="N30" s="3920">
        <v>90</v>
      </c>
      <c r="O30" s="3921">
        <f t="shared" si="5"/>
        <v>140016.95999999999</v>
      </c>
      <c r="P30" s="3921">
        <f t="shared" si="5"/>
        <v>68860.800000000003</v>
      </c>
      <c r="Q30" s="3921">
        <f t="shared" si="5"/>
        <v>32135.039999999997</v>
      </c>
      <c r="R30" s="3922">
        <v>0</v>
      </c>
      <c r="S30" s="3923">
        <v>150</v>
      </c>
      <c r="T30" s="3923">
        <v>0</v>
      </c>
      <c r="U30" s="3923">
        <v>0</v>
      </c>
      <c r="V30" s="3924">
        <f t="shared" si="6"/>
        <v>241162.80000000002</v>
      </c>
      <c r="W30" s="3925">
        <v>0</v>
      </c>
      <c r="X30" s="3925">
        <v>0</v>
      </c>
      <c r="Y30" s="3925">
        <v>2142</v>
      </c>
      <c r="Z30" s="3925"/>
      <c r="AA30" s="3925"/>
      <c r="AB30" s="3926"/>
      <c r="AC30" s="3927">
        <f t="shared" si="7"/>
        <v>2142</v>
      </c>
      <c r="AD30" s="3926">
        <f t="shared" si="11"/>
        <v>140016.95999999999</v>
      </c>
      <c r="AE30" s="3926">
        <f t="shared" si="11"/>
        <v>68860.800000000003</v>
      </c>
      <c r="AF30" s="3926">
        <f t="shared" si="11"/>
        <v>29993.039999999997</v>
      </c>
      <c r="AG30" s="3926">
        <f t="shared" si="11"/>
        <v>0</v>
      </c>
      <c r="AH30" s="3926">
        <f t="shared" si="11"/>
        <v>150</v>
      </c>
      <c r="AI30" s="3926">
        <f t="shared" si="11"/>
        <v>0</v>
      </c>
      <c r="AJ30" s="3926">
        <f t="shared" si="8"/>
        <v>0</v>
      </c>
      <c r="AK30" s="3928">
        <f t="shared" si="9"/>
        <v>239020.80000000002</v>
      </c>
      <c r="AL30" s="3929">
        <f>SUMIF([3]租约表对应的会计账!$C$5:$C$153,B30,[3]租约表对应的会计账!$D$5:$D$153)</f>
        <v>20602</v>
      </c>
      <c r="AM30" s="3930">
        <f>SUMIF([3]租约表对应的会计账!$H$5:$H$164,B30,[3]租约表对应的会计账!$I$5:$I$164)</f>
        <v>0</v>
      </c>
      <c r="AN30" s="3929">
        <f>SUMIF([3]租约表对应的会计账!$S$5:$S$164,B30,[3]租约表对应的会计账!$T$5:$T$164)</f>
        <v>29993.040000000001</v>
      </c>
      <c r="AO30" s="3929">
        <f>SUMIF([3]租约表对应的会计账!$X$5:$X$164,B30,[3]租约表对应的会计账!$Y$5:$Y$164)</f>
        <v>0</v>
      </c>
      <c r="AP30" s="3929">
        <f>SUMIF([3]租约表对应的会计账!$AC$5:$AC$164,[3]租约表!B30,[3]租约表对应的会计账!$AD$5:$AD$164)</f>
        <v>150</v>
      </c>
      <c r="AQ30" s="3929">
        <f>SUMIF([3]租约表对应的会计账!$AH$5:$AH$164,[3]租约表!B30,[3]租约表对应的会计账!$AI$5:$AI$164)</f>
        <v>0</v>
      </c>
      <c r="AR30" s="3929">
        <f t="shared" si="10"/>
        <v>50745.04</v>
      </c>
      <c r="AS30" s="3929">
        <f t="shared" si="12"/>
        <v>119414.95999999999</v>
      </c>
      <c r="AT30" s="3929">
        <f t="shared" si="12"/>
        <v>68860.800000000003</v>
      </c>
      <c r="AU30" s="3929">
        <f t="shared" si="12"/>
        <v>0</v>
      </c>
      <c r="AV30" s="3929">
        <f t="shared" si="12"/>
        <v>0</v>
      </c>
      <c r="AW30" s="3929">
        <f t="shared" si="12"/>
        <v>0</v>
      </c>
      <c r="AX30" s="3929">
        <f t="shared" si="12"/>
        <v>0</v>
      </c>
      <c r="AY30" s="3929">
        <f t="shared" si="2"/>
        <v>188275.76</v>
      </c>
      <c r="AZ30" s="3915" t="s">
        <v>4000</v>
      </c>
    </row>
    <row r="31" spans="1:52" s="3931" customFormat="1" ht="60" customHeight="1">
      <c r="A31" s="3910" t="s">
        <v>3997</v>
      </c>
      <c r="B31" s="3911">
        <v>2051</v>
      </c>
      <c r="C31" s="3912" t="s">
        <v>3557</v>
      </c>
      <c r="D31" s="3912" t="s">
        <v>3558</v>
      </c>
      <c r="E31" s="3913">
        <v>44793</v>
      </c>
      <c r="F31" s="3913">
        <v>45900</v>
      </c>
      <c r="G31" s="3914">
        <f t="shared" si="3"/>
        <v>3.032876712328767</v>
      </c>
      <c r="H31" s="3915" t="s">
        <v>4001</v>
      </c>
      <c r="I31" s="3916">
        <v>321.60000000000002</v>
      </c>
      <c r="J31" s="3917">
        <v>16.7</v>
      </c>
      <c r="K31" s="3918">
        <v>6</v>
      </c>
      <c r="L31" s="3918">
        <v>2.8</v>
      </c>
      <c r="M31" s="3919">
        <f t="shared" si="4"/>
        <v>25.5</v>
      </c>
      <c r="N31" s="3920">
        <v>90</v>
      </c>
      <c r="O31" s="3921">
        <f t="shared" si="5"/>
        <v>483364.80000000005</v>
      </c>
      <c r="P31" s="3921">
        <f t="shared" si="5"/>
        <v>173664</v>
      </c>
      <c r="Q31" s="3921">
        <f t="shared" si="5"/>
        <v>81043.199999999997</v>
      </c>
      <c r="R31" s="3922">
        <v>0</v>
      </c>
      <c r="S31" s="3923">
        <v>150</v>
      </c>
      <c r="T31" s="3923">
        <v>0</v>
      </c>
      <c r="U31" s="3923">
        <v>0</v>
      </c>
      <c r="V31" s="3924">
        <f t="shared" si="6"/>
        <v>738222</v>
      </c>
      <c r="W31" s="3925">
        <v>32224</v>
      </c>
      <c r="X31" s="3925">
        <v>11578</v>
      </c>
      <c r="Y31" s="3925">
        <v>5403</v>
      </c>
      <c r="Z31" s="3925"/>
      <c r="AA31" s="3925"/>
      <c r="AB31" s="3926"/>
      <c r="AC31" s="3927">
        <f t="shared" si="7"/>
        <v>49205</v>
      </c>
      <c r="AD31" s="3926">
        <f t="shared" si="11"/>
        <v>451140.80000000005</v>
      </c>
      <c r="AE31" s="3926">
        <f t="shared" si="11"/>
        <v>162086</v>
      </c>
      <c r="AF31" s="3926">
        <f t="shared" si="11"/>
        <v>75640.2</v>
      </c>
      <c r="AG31" s="3926">
        <f t="shared" si="11"/>
        <v>0</v>
      </c>
      <c r="AH31" s="3926">
        <f t="shared" si="11"/>
        <v>150</v>
      </c>
      <c r="AI31" s="3926">
        <f t="shared" si="11"/>
        <v>0</v>
      </c>
      <c r="AJ31" s="3926">
        <f t="shared" si="8"/>
        <v>0</v>
      </c>
      <c r="AK31" s="3928">
        <f t="shared" si="9"/>
        <v>689017</v>
      </c>
      <c r="AL31" s="3929">
        <f>SUMIF([3]租约表对应的会计账!$C$5:$C$164,B31,[3]租约表对应的会计账!$D$5:$D$164)</f>
        <v>451141</v>
      </c>
      <c r="AM31" s="3930">
        <f>SUMIF([3]租约表对应的会计账!$H$5:$H$164,B31,[3]租约表对应的会计账!$I$5:$I$164)</f>
        <v>162086</v>
      </c>
      <c r="AN31" s="3929">
        <f>SUMIF([3]租约表对应的会计账!$S$5:$S$164,B31,[3]租约表对应的会计账!$T$5:$T$164)</f>
        <v>75640</v>
      </c>
      <c r="AO31" s="3929">
        <f>SUMIF([3]租约表对应的会计账!$X$5:$X$164,B31,[3]租约表对应的会计账!$Y$5:$Y$164)</f>
        <v>0</v>
      </c>
      <c r="AP31" s="3929">
        <f>SUMIF([3]租约表对应的会计账!$AC$5:$AC$164,[3]租约表!B31,[3]租约表对应的会计账!$AD$5:$AD$164)</f>
        <v>150</v>
      </c>
      <c r="AQ31" s="3929">
        <f>SUMIF([3]租约表对应的会计账!$AH$5:$AH$164,[3]租约表!B31,[3]租约表对应的会计账!$AI$5:$AI$164)</f>
        <v>0</v>
      </c>
      <c r="AR31" s="3929">
        <f t="shared" si="10"/>
        <v>689017</v>
      </c>
      <c r="AS31" s="3929">
        <f t="shared" si="12"/>
        <v>-0.19999999995343387</v>
      </c>
      <c r="AT31" s="3929">
        <f t="shared" si="12"/>
        <v>0</v>
      </c>
      <c r="AU31" s="3929">
        <f t="shared" si="12"/>
        <v>0.19999999999708962</v>
      </c>
      <c r="AV31" s="3929">
        <f t="shared" si="12"/>
        <v>0</v>
      </c>
      <c r="AW31" s="3929">
        <f t="shared" si="12"/>
        <v>0</v>
      </c>
      <c r="AX31" s="3929">
        <f t="shared" si="12"/>
        <v>0</v>
      </c>
      <c r="AY31" s="3929">
        <f t="shared" si="2"/>
        <v>4.3655745685100555E-11</v>
      </c>
      <c r="AZ31" s="3915" t="s">
        <v>3967</v>
      </c>
    </row>
    <row r="32" spans="1:52" s="3931" customFormat="1" ht="60" customHeight="1">
      <c r="A32" s="3910" t="s">
        <v>3997</v>
      </c>
      <c r="B32" s="3911">
        <v>2058</v>
      </c>
      <c r="C32" s="3912" t="s">
        <v>3592</v>
      </c>
      <c r="D32" s="3912" t="s">
        <v>3593</v>
      </c>
      <c r="E32" s="3913">
        <v>44777</v>
      </c>
      <c r="F32" s="3913">
        <v>45382</v>
      </c>
      <c r="G32" s="3914">
        <f t="shared" si="3"/>
        <v>1.6575342465753424</v>
      </c>
      <c r="H32" s="3915" t="s">
        <v>4002</v>
      </c>
      <c r="I32" s="3916">
        <v>88.32</v>
      </c>
      <c r="J32" s="3917">
        <v>7.95</v>
      </c>
      <c r="K32" s="3918">
        <v>6</v>
      </c>
      <c r="L32" s="3918">
        <v>2.8</v>
      </c>
      <c r="M32" s="3919">
        <f t="shared" si="4"/>
        <v>16.75</v>
      </c>
      <c r="N32" s="3920">
        <v>90</v>
      </c>
      <c r="O32" s="3921">
        <f t="shared" si="5"/>
        <v>63192.959999999999</v>
      </c>
      <c r="P32" s="3921">
        <f t="shared" si="5"/>
        <v>47692.799999999996</v>
      </c>
      <c r="Q32" s="3921">
        <f t="shared" si="5"/>
        <v>22256.639999999996</v>
      </c>
      <c r="R32" s="3922">
        <v>0</v>
      </c>
      <c r="S32" s="3923">
        <v>150</v>
      </c>
      <c r="T32" s="3923">
        <v>0</v>
      </c>
      <c r="U32" s="3923">
        <v>0</v>
      </c>
      <c r="V32" s="3924">
        <f t="shared" si="6"/>
        <v>133292.4</v>
      </c>
      <c r="W32" s="3925">
        <v>3779</v>
      </c>
      <c r="X32" s="3925">
        <f>41221-1484</f>
        <v>39737</v>
      </c>
      <c r="Y32" s="3925">
        <v>1484</v>
      </c>
      <c r="Z32" s="3925"/>
      <c r="AA32" s="3925"/>
      <c r="AB32" s="3926"/>
      <c r="AC32" s="3927">
        <f t="shared" si="7"/>
        <v>45000</v>
      </c>
      <c r="AD32" s="3926">
        <f t="shared" si="11"/>
        <v>59413.96</v>
      </c>
      <c r="AE32" s="3926">
        <f t="shared" si="11"/>
        <v>7955.7999999999956</v>
      </c>
      <c r="AF32" s="3926">
        <f t="shared" si="11"/>
        <v>20772.639999999996</v>
      </c>
      <c r="AG32" s="3926">
        <f t="shared" si="11"/>
        <v>0</v>
      </c>
      <c r="AH32" s="3926">
        <f t="shared" si="11"/>
        <v>150</v>
      </c>
      <c r="AI32" s="3926">
        <f t="shared" si="11"/>
        <v>0</v>
      </c>
      <c r="AJ32" s="3926">
        <f t="shared" si="8"/>
        <v>0</v>
      </c>
      <c r="AK32" s="3928">
        <f t="shared" si="9"/>
        <v>88292.4</v>
      </c>
      <c r="AL32" s="3929">
        <f>SUMIF([3]租约表对应的会计账!$C$5:$C$164,B32,[3]租约表对应的会计账!$D$5:$D$164)</f>
        <v>6515</v>
      </c>
      <c r="AM32" s="3930">
        <f>SUMIF([3]租约表对应的会计账!$H$5:$H$164,B32,[3]租约表对应的会计账!$I$5:$I$164)</f>
        <v>52302</v>
      </c>
      <c r="AN32" s="3929">
        <f>SUMIF([3]租约表对应的会计账!$S$5:$S$164,B32,[3]租约表对应的会计账!$T$5:$T$164)</f>
        <v>22190</v>
      </c>
      <c r="AO32" s="3929">
        <f>SUMIF([3]租约表对应的会计账!$X$5:$X$164,B32,[3]租约表对应的会计账!$Y$5:$Y$164)</f>
        <v>0</v>
      </c>
      <c r="AP32" s="3929">
        <f>SUMIF([3]租约表对应的会计账!$AC$5:$AC$164,[3]租约表!B32,[3]租约表对应的会计账!$AD$5:$AD$164)</f>
        <v>150</v>
      </c>
      <c r="AQ32" s="3929">
        <f>SUMIF([3]租约表对应的会计账!$AH$5:$AH$164,[3]租约表!B32,[3]租约表对应的会计账!$AI$5:$AI$164)</f>
        <v>0</v>
      </c>
      <c r="AR32" s="3929">
        <f t="shared" si="10"/>
        <v>81157</v>
      </c>
      <c r="AS32" s="3929">
        <f t="shared" si="12"/>
        <v>52898.96</v>
      </c>
      <c r="AT32" s="3929">
        <f t="shared" si="12"/>
        <v>-44346.200000000004</v>
      </c>
      <c r="AU32" s="3929">
        <f t="shared" si="12"/>
        <v>-1417.3600000000042</v>
      </c>
      <c r="AV32" s="3929">
        <f t="shared" si="12"/>
        <v>0</v>
      </c>
      <c r="AW32" s="3929">
        <f t="shared" si="12"/>
        <v>0</v>
      </c>
      <c r="AX32" s="3929">
        <f t="shared" si="12"/>
        <v>0</v>
      </c>
      <c r="AY32" s="3929">
        <f t="shared" si="2"/>
        <v>7135.3999999999905</v>
      </c>
      <c r="AZ32" s="3915" t="s">
        <v>3975</v>
      </c>
    </row>
    <row r="33" spans="1:52" s="3931" customFormat="1" ht="60" customHeight="1">
      <c r="A33" s="3910" t="s">
        <v>3997</v>
      </c>
      <c r="B33" s="3911">
        <v>2059</v>
      </c>
      <c r="C33" s="3912" t="s">
        <v>3594</v>
      </c>
      <c r="D33" s="3912" t="s">
        <v>3595</v>
      </c>
      <c r="E33" s="3913">
        <v>44577</v>
      </c>
      <c r="F33" s="3913">
        <v>45382</v>
      </c>
      <c r="G33" s="3914">
        <f t="shared" si="3"/>
        <v>2.2054794520547945</v>
      </c>
      <c r="H33" s="3915" t="s">
        <v>4003</v>
      </c>
      <c r="I33" s="3916">
        <v>151.04</v>
      </c>
      <c r="J33" s="3917">
        <v>10.199999999999999</v>
      </c>
      <c r="K33" s="3918">
        <v>6</v>
      </c>
      <c r="L33" s="3918">
        <v>2.8</v>
      </c>
      <c r="M33" s="3919">
        <f t="shared" si="4"/>
        <v>19</v>
      </c>
      <c r="N33" s="3920">
        <v>90</v>
      </c>
      <c r="O33" s="3921">
        <f t="shared" si="5"/>
        <v>138654.71999999997</v>
      </c>
      <c r="P33" s="3921">
        <f t="shared" si="5"/>
        <v>81561.600000000006</v>
      </c>
      <c r="Q33" s="3921">
        <f t="shared" si="5"/>
        <v>38062.079999999994</v>
      </c>
      <c r="R33" s="3922">
        <v>2500</v>
      </c>
      <c r="S33" s="3923">
        <v>150</v>
      </c>
      <c r="T33" s="3923">
        <v>0</v>
      </c>
      <c r="U33" s="3923">
        <v>0</v>
      </c>
      <c r="V33" s="3924">
        <f t="shared" si="6"/>
        <v>260928.39999999997</v>
      </c>
      <c r="W33" s="3925">
        <v>128279</v>
      </c>
      <c r="X33" s="3925">
        <v>0</v>
      </c>
      <c r="Y33" s="3925">
        <v>0</v>
      </c>
      <c r="Z33" s="3925"/>
      <c r="AA33" s="3925"/>
      <c r="AB33" s="3926"/>
      <c r="AC33" s="3927">
        <f t="shared" si="7"/>
        <v>128279</v>
      </c>
      <c r="AD33" s="3926">
        <f t="shared" si="11"/>
        <v>10375.719999999972</v>
      </c>
      <c r="AE33" s="3926">
        <f t="shared" si="11"/>
        <v>81561.600000000006</v>
      </c>
      <c r="AF33" s="3926">
        <f t="shared" si="11"/>
        <v>38062.079999999994</v>
      </c>
      <c r="AG33" s="3926">
        <f t="shared" si="11"/>
        <v>2500</v>
      </c>
      <c r="AH33" s="3926">
        <f t="shared" si="11"/>
        <v>150</v>
      </c>
      <c r="AI33" s="3926">
        <f t="shared" si="11"/>
        <v>0</v>
      </c>
      <c r="AJ33" s="3926">
        <f t="shared" si="8"/>
        <v>0</v>
      </c>
      <c r="AK33" s="3928">
        <f t="shared" si="9"/>
        <v>132649.39999999997</v>
      </c>
      <c r="AL33" s="3929">
        <f>SUMIF([3]租约表对应的会计账!$C$5:$C$164,B33,[3]租约表对应的会计账!$D$5:$D$164)</f>
        <v>10376</v>
      </c>
      <c r="AM33" s="3930">
        <f>SUMIF([3]租约表对应的会计账!$H$5:$H$164,B33,[3]租约表对应的会计账!$I$5:$I$164)</f>
        <v>81561</v>
      </c>
      <c r="AN33" s="3929">
        <f>SUMIF([3]租约表对应的会计账!$S$5:$S$164,B33,[3]租约表对应的会计账!$T$5:$T$164)</f>
        <v>38062</v>
      </c>
      <c r="AO33" s="3929">
        <f>SUMIF([3]租约表对应的会计账!$X$5:$X$164,B33,[3]租约表对应的会计账!$Y$5:$Y$164)</f>
        <v>2500</v>
      </c>
      <c r="AP33" s="3929">
        <f>SUMIF([3]租约表对应的会计账!$AC$5:$AC$164,[3]租约表!B33,[3]租约表对应的会计账!$AD$5:$AD$164)</f>
        <v>150</v>
      </c>
      <c r="AQ33" s="3929">
        <f>SUMIF([3]租约表对应的会计账!$AH$5:$AH$164,[3]租约表!B33,[3]租约表对应的会计账!$AI$5:$AI$164)</f>
        <v>0</v>
      </c>
      <c r="AR33" s="3929">
        <f t="shared" si="10"/>
        <v>132649</v>
      </c>
      <c r="AS33" s="3929">
        <f t="shared" si="12"/>
        <v>-0.28000000002793968</v>
      </c>
      <c r="AT33" s="3929">
        <f t="shared" si="12"/>
        <v>0.60000000000582077</v>
      </c>
      <c r="AU33" s="3929">
        <f t="shared" si="12"/>
        <v>7.9999999994470272E-2</v>
      </c>
      <c r="AV33" s="3929">
        <f t="shared" si="12"/>
        <v>0</v>
      </c>
      <c r="AW33" s="3929">
        <f t="shared" si="12"/>
        <v>0</v>
      </c>
      <c r="AX33" s="3929">
        <f t="shared" si="12"/>
        <v>0</v>
      </c>
      <c r="AY33" s="3929">
        <f t="shared" si="2"/>
        <v>0.39999999997235136</v>
      </c>
      <c r="AZ33" s="3915" t="s">
        <v>3967</v>
      </c>
    </row>
    <row r="34" spans="1:52" s="3931" customFormat="1" ht="60" customHeight="1">
      <c r="A34" s="3910" t="s">
        <v>3997</v>
      </c>
      <c r="B34" s="3911">
        <v>2063</v>
      </c>
      <c r="C34" s="3912" t="s">
        <v>3596</v>
      </c>
      <c r="D34" s="3912" t="s">
        <v>3597</v>
      </c>
      <c r="E34" s="3913">
        <v>44625</v>
      </c>
      <c r="F34" s="3913">
        <v>45382</v>
      </c>
      <c r="G34" s="3914">
        <f t="shared" si="3"/>
        <v>2.0739726027397261</v>
      </c>
      <c r="H34" s="3915" t="s">
        <v>4004</v>
      </c>
      <c r="I34" s="3916">
        <v>44.8</v>
      </c>
      <c r="J34" s="3917">
        <v>9.5500000000000007</v>
      </c>
      <c r="K34" s="3918">
        <v>6</v>
      </c>
      <c r="L34" s="3918">
        <v>2.8</v>
      </c>
      <c r="M34" s="3919">
        <f t="shared" si="4"/>
        <v>18.350000000000001</v>
      </c>
      <c r="N34" s="3920">
        <v>90</v>
      </c>
      <c r="O34" s="3921">
        <f t="shared" si="5"/>
        <v>38505.600000000006</v>
      </c>
      <c r="P34" s="3921">
        <f t="shared" si="5"/>
        <v>24191.999999999996</v>
      </c>
      <c r="Q34" s="3921">
        <f t="shared" si="5"/>
        <v>11289.599999999999</v>
      </c>
      <c r="R34" s="3922">
        <v>2500</v>
      </c>
      <c r="S34" s="3923">
        <v>150</v>
      </c>
      <c r="T34" s="3923">
        <v>0</v>
      </c>
      <c r="U34" s="3923">
        <v>0</v>
      </c>
      <c r="V34" s="3924">
        <f t="shared" si="6"/>
        <v>76637.200000000012</v>
      </c>
      <c r="W34" s="3925">
        <v>2634</v>
      </c>
      <c r="X34" s="3925">
        <v>1613</v>
      </c>
      <c r="Y34" s="3925">
        <v>753</v>
      </c>
      <c r="Z34" s="3925"/>
      <c r="AA34" s="3925"/>
      <c r="AB34" s="3926"/>
      <c r="AC34" s="3927">
        <f t="shared" si="7"/>
        <v>5000</v>
      </c>
      <c r="AD34" s="3926">
        <f t="shared" si="11"/>
        <v>35871.600000000006</v>
      </c>
      <c r="AE34" s="3926">
        <f t="shared" si="11"/>
        <v>22578.999999999996</v>
      </c>
      <c r="AF34" s="3926">
        <f t="shared" si="11"/>
        <v>10536.599999999999</v>
      </c>
      <c r="AG34" s="3926">
        <f t="shared" si="11"/>
        <v>2500</v>
      </c>
      <c r="AH34" s="3926">
        <f t="shared" si="11"/>
        <v>150</v>
      </c>
      <c r="AI34" s="3926">
        <f t="shared" si="11"/>
        <v>0</v>
      </c>
      <c r="AJ34" s="3926">
        <f t="shared" si="8"/>
        <v>0</v>
      </c>
      <c r="AK34" s="3928">
        <f t="shared" si="9"/>
        <v>71637.200000000012</v>
      </c>
      <c r="AL34" s="3929">
        <f>SUMIF([3]租约表对应的会计账!$C$5:$C$164,B34,[3]租约表对应的会计账!$D$5:$D$164)</f>
        <v>36884</v>
      </c>
      <c r="AM34" s="3930">
        <f>SUMIF([3]租约表对应的会计账!$H$5:$H$164,B34,[3]租约表对应的会计账!$I$5:$I$164)</f>
        <v>22579</v>
      </c>
      <c r="AN34" s="3929">
        <f>SUMIF([3]租约表对应的会计账!$S$5:$S$164,B34,[3]租约表对应的会计账!$T$5:$T$164)</f>
        <v>10537</v>
      </c>
      <c r="AO34" s="3929">
        <f>SUMIF([3]租约表对应的会计账!$X$5:$X$164,B34,[3]租约表对应的会计账!$Y$5:$Y$164)</f>
        <v>2500</v>
      </c>
      <c r="AP34" s="3929">
        <f>SUMIF([3]租约表对应的会计账!$AC$5:$AC$164,[3]租约表!B34,[3]租约表对应的会计账!$AD$5:$AD$164)</f>
        <v>150</v>
      </c>
      <c r="AQ34" s="3929">
        <f>SUMIF([3]租约表对应的会计账!$AH$5:$AH$164,[3]租约表!B34,[3]租约表对应的会计账!$AI$5:$AI$164)</f>
        <v>0</v>
      </c>
      <c r="AR34" s="3929">
        <f t="shared" si="10"/>
        <v>72650</v>
      </c>
      <c r="AS34" s="3929">
        <f t="shared" si="12"/>
        <v>-1012.3999999999942</v>
      </c>
      <c r="AT34" s="3929">
        <f t="shared" si="12"/>
        <v>0</v>
      </c>
      <c r="AU34" s="3929">
        <f t="shared" si="12"/>
        <v>-0.40000000000145519</v>
      </c>
      <c r="AV34" s="3929">
        <f t="shared" si="12"/>
        <v>0</v>
      </c>
      <c r="AW34" s="3929">
        <f t="shared" si="12"/>
        <v>0</v>
      </c>
      <c r="AX34" s="3929">
        <f t="shared" si="12"/>
        <v>0</v>
      </c>
      <c r="AY34" s="3929">
        <f t="shared" si="2"/>
        <v>-1012.7999999999956</v>
      </c>
      <c r="AZ34" s="3915" t="s">
        <v>3967</v>
      </c>
    </row>
    <row r="35" spans="1:52" s="3931" customFormat="1" ht="60" customHeight="1">
      <c r="A35" s="3932" t="s">
        <v>3997</v>
      </c>
      <c r="B35" s="3911">
        <v>2065</v>
      </c>
      <c r="C35" s="3912" t="s">
        <v>3598</v>
      </c>
      <c r="D35" s="3912" t="s">
        <v>3599</v>
      </c>
      <c r="E35" s="3913">
        <v>44577</v>
      </c>
      <c r="F35" s="3913">
        <v>45382</v>
      </c>
      <c r="G35" s="3914">
        <f t="shared" si="3"/>
        <v>2.2054794520547945</v>
      </c>
      <c r="H35" s="3915" t="s">
        <v>4005</v>
      </c>
      <c r="I35" s="3916">
        <v>78.239999999999995</v>
      </c>
      <c r="J35" s="3917">
        <v>0</v>
      </c>
      <c r="K35" s="3918">
        <v>0</v>
      </c>
      <c r="L35" s="3918">
        <v>2.8</v>
      </c>
      <c r="M35" s="3919">
        <f t="shared" si="4"/>
        <v>2.8</v>
      </c>
      <c r="N35" s="3920">
        <v>90</v>
      </c>
      <c r="O35" s="3921">
        <f t="shared" si="5"/>
        <v>0</v>
      </c>
      <c r="P35" s="3921">
        <f t="shared" si="5"/>
        <v>0</v>
      </c>
      <c r="Q35" s="3921">
        <f t="shared" si="5"/>
        <v>19716.479999999996</v>
      </c>
      <c r="R35" s="3922">
        <v>0</v>
      </c>
      <c r="S35" s="3923">
        <v>150</v>
      </c>
      <c r="T35" s="3923">
        <v>0</v>
      </c>
      <c r="U35" s="3923">
        <v>0</v>
      </c>
      <c r="V35" s="3924">
        <f t="shared" si="6"/>
        <v>19866.479999999996</v>
      </c>
      <c r="W35" s="3925">
        <v>0</v>
      </c>
      <c r="X35" s="3925">
        <v>0</v>
      </c>
      <c r="Y35" s="3925">
        <v>0</v>
      </c>
      <c r="Z35" s="3925"/>
      <c r="AA35" s="3925"/>
      <c r="AB35" s="3926"/>
      <c r="AC35" s="3927">
        <f t="shared" si="7"/>
        <v>0</v>
      </c>
      <c r="AD35" s="3926">
        <f t="shared" si="11"/>
        <v>0</v>
      </c>
      <c r="AE35" s="3926">
        <f t="shared" si="11"/>
        <v>0</v>
      </c>
      <c r="AF35" s="3926">
        <f t="shared" si="11"/>
        <v>19716.479999999996</v>
      </c>
      <c r="AG35" s="3926">
        <f t="shared" si="11"/>
        <v>0</v>
      </c>
      <c r="AH35" s="3926">
        <f t="shared" si="11"/>
        <v>150</v>
      </c>
      <c r="AI35" s="3926">
        <f t="shared" si="11"/>
        <v>0</v>
      </c>
      <c r="AJ35" s="3926">
        <f t="shared" si="8"/>
        <v>0</v>
      </c>
      <c r="AK35" s="3928">
        <f t="shared" si="9"/>
        <v>19866.479999999996</v>
      </c>
      <c r="AL35" s="3929">
        <f>SUMIF([3]租约表对应的会计账!$C$5:$C$164,B35,[3]租约表对应的会计账!$D$5:$D$164)</f>
        <v>19127.27</v>
      </c>
      <c r="AM35" s="3930">
        <f>SUMIF([3]租约表对应的会计账!$H$5:$H$164,B35,[3]租约表对应的会计账!$I$5:$I$164)</f>
        <v>0</v>
      </c>
      <c r="AN35" s="3929">
        <f>SUMIF([3]租约表对应的会计账!$S$5:$S$164,B35,[3]租约表对应的会计账!$T$5:$T$164)</f>
        <v>0</v>
      </c>
      <c r="AO35" s="3929">
        <f>SUMIF([3]租约表对应的会计账!$X$5:$X$164,B35,[3]租约表对应的会计账!$Y$5:$Y$164)</f>
        <v>0</v>
      </c>
      <c r="AP35" s="3929">
        <f>SUMIF([3]租约表对应的会计账!$AC$5:$AC$164,[3]租约表!B35,[3]租约表对应的会计账!$AD$5:$AD$164)</f>
        <v>150</v>
      </c>
      <c r="AQ35" s="3929">
        <f>SUMIF([3]租约表对应的会计账!$AH$5:$AH$164,[3]租约表!B35,[3]租约表对应的会计账!$AI$5:$AI$164)</f>
        <v>0</v>
      </c>
      <c r="AR35" s="3929">
        <f t="shared" si="10"/>
        <v>19277.27</v>
      </c>
      <c r="AS35" s="3929">
        <f t="shared" si="12"/>
        <v>-19127.27</v>
      </c>
      <c r="AT35" s="3929">
        <f t="shared" si="12"/>
        <v>0</v>
      </c>
      <c r="AU35" s="3929">
        <f t="shared" si="12"/>
        <v>19716.479999999996</v>
      </c>
      <c r="AV35" s="3929">
        <f t="shared" si="12"/>
        <v>0</v>
      </c>
      <c r="AW35" s="3929">
        <f t="shared" si="12"/>
        <v>0</v>
      </c>
      <c r="AX35" s="3929">
        <f t="shared" si="12"/>
        <v>0</v>
      </c>
      <c r="AY35" s="3929">
        <f t="shared" si="2"/>
        <v>589.20999999999549</v>
      </c>
      <c r="AZ35" s="3915" t="s">
        <v>4000</v>
      </c>
    </row>
    <row r="36" spans="1:52" s="3931" customFormat="1" ht="60" customHeight="1">
      <c r="A36" s="3910" t="s">
        <v>3997</v>
      </c>
      <c r="B36" s="3911">
        <v>2078</v>
      </c>
      <c r="C36" s="3912" t="s">
        <v>3569</v>
      </c>
      <c r="D36" s="3912" t="s">
        <v>3600</v>
      </c>
      <c r="E36" s="3913">
        <v>44577</v>
      </c>
      <c r="F36" s="3913">
        <v>45657</v>
      </c>
      <c r="G36" s="3914">
        <f t="shared" si="3"/>
        <v>2.9589041095890409</v>
      </c>
      <c r="H36" s="3915" t="s">
        <v>4006</v>
      </c>
      <c r="I36" s="3916">
        <v>244.8</v>
      </c>
      <c r="J36" s="3917">
        <v>6.2</v>
      </c>
      <c r="K36" s="3918">
        <v>6</v>
      </c>
      <c r="L36" s="3918">
        <v>2.8</v>
      </c>
      <c r="M36" s="3919">
        <f t="shared" ref="M36:M99" si="13">SUM(J36:L36)</f>
        <v>15</v>
      </c>
      <c r="N36" s="3920">
        <v>90</v>
      </c>
      <c r="O36" s="3921">
        <f t="shared" ref="O36:Q67" si="14">$I36*J36*$N36</f>
        <v>136598.40000000002</v>
      </c>
      <c r="P36" s="3921">
        <f t="shared" si="14"/>
        <v>132192.00000000003</v>
      </c>
      <c r="Q36" s="3921">
        <f t="shared" si="14"/>
        <v>61689.599999999991</v>
      </c>
      <c r="R36" s="3922">
        <v>2500</v>
      </c>
      <c r="S36" s="3923">
        <v>150</v>
      </c>
      <c r="T36" s="3923">
        <v>0</v>
      </c>
      <c r="U36" s="3923">
        <v>0</v>
      </c>
      <c r="V36" s="3924">
        <f t="shared" si="6"/>
        <v>333130</v>
      </c>
      <c r="W36" s="3925">
        <v>9107</v>
      </c>
      <c r="X36" s="3925">
        <v>8813</v>
      </c>
      <c r="Y36" s="3925">
        <v>4113</v>
      </c>
      <c r="Z36" s="3925"/>
      <c r="AA36" s="3925"/>
      <c r="AB36" s="3926"/>
      <c r="AC36" s="3927">
        <f t="shared" si="7"/>
        <v>22033</v>
      </c>
      <c r="AD36" s="3926">
        <f t="shared" si="11"/>
        <v>127491.40000000002</v>
      </c>
      <c r="AE36" s="3926">
        <f t="shared" si="11"/>
        <v>123379.00000000003</v>
      </c>
      <c r="AF36" s="3926">
        <f t="shared" si="11"/>
        <v>57576.599999999991</v>
      </c>
      <c r="AG36" s="3926">
        <f t="shared" si="11"/>
        <v>2500</v>
      </c>
      <c r="AH36" s="3926">
        <f t="shared" si="11"/>
        <v>150</v>
      </c>
      <c r="AI36" s="3926">
        <f t="shared" si="11"/>
        <v>0</v>
      </c>
      <c r="AJ36" s="3926">
        <f t="shared" si="8"/>
        <v>0</v>
      </c>
      <c r="AK36" s="3928">
        <f t="shared" si="9"/>
        <v>311097.00000000006</v>
      </c>
      <c r="AL36" s="3929">
        <f>SUMIF([3]租约表对应的会计账!$C$5:$C$164,B36,[3]租约表对应的会计账!$D$5:$D$164)</f>
        <v>127491</v>
      </c>
      <c r="AM36" s="3930">
        <f>SUMIF([3]租约表对应的会计账!$H$5:$H$164,B36,[3]租约表对应的会计账!$I$5:$I$164)</f>
        <v>123378.92</v>
      </c>
      <c r="AN36" s="3929">
        <f>SUMIF([3]租约表对应的会计账!$S$5:$S$164,B36,[3]租约表对应的会计账!$T$5:$T$164)</f>
        <v>57577</v>
      </c>
      <c r="AO36" s="3929">
        <f>SUMIF([3]租约表对应的会计账!$X$5:$X$164,B36,[3]租约表对应的会计账!$Y$5:$Y$164)</f>
        <v>2500</v>
      </c>
      <c r="AP36" s="3929">
        <f>SUMIF([3]租约表对应的会计账!$AC$5:$AC$164,[3]租约表!B36,[3]租约表对应的会计账!$AD$5:$AD$164)</f>
        <v>150</v>
      </c>
      <c r="AQ36" s="3929">
        <f>SUMIF([3]租约表对应的会计账!$AH$5:$AH$164,[3]租约表!B36,[3]租约表对应的会计账!$AI$5:$AI$164)</f>
        <v>0</v>
      </c>
      <c r="AR36" s="3929">
        <f t="shared" si="10"/>
        <v>311096.92</v>
      </c>
      <c r="AS36" s="3929">
        <f t="shared" si="12"/>
        <v>0.40000000002328306</v>
      </c>
      <c r="AT36" s="3929">
        <f t="shared" si="12"/>
        <v>8.000000003085006E-2</v>
      </c>
      <c r="AU36" s="3929">
        <f t="shared" si="12"/>
        <v>-0.40000000000873115</v>
      </c>
      <c r="AV36" s="3929">
        <f t="shared" si="12"/>
        <v>0</v>
      </c>
      <c r="AW36" s="3929">
        <f t="shared" si="12"/>
        <v>0</v>
      </c>
      <c r="AX36" s="3929">
        <f t="shared" si="12"/>
        <v>0</v>
      </c>
      <c r="AY36" s="3929">
        <f t="shared" si="2"/>
        <v>8.0000000045401976E-2</v>
      </c>
      <c r="AZ36" s="3915" t="s">
        <v>3967</v>
      </c>
    </row>
    <row r="37" spans="1:52" s="3931" customFormat="1" ht="60" customHeight="1">
      <c r="A37" s="3910" t="s">
        <v>3997</v>
      </c>
      <c r="B37" s="3911">
        <v>2087</v>
      </c>
      <c r="C37" s="3912" t="s">
        <v>3601</v>
      </c>
      <c r="D37" s="3912" t="s">
        <v>3602</v>
      </c>
      <c r="E37" s="3913">
        <v>44577</v>
      </c>
      <c r="F37" s="3913">
        <v>45382</v>
      </c>
      <c r="G37" s="3914">
        <f t="shared" si="3"/>
        <v>2.2054794520547945</v>
      </c>
      <c r="H37" s="3915" t="s">
        <v>4007</v>
      </c>
      <c r="I37" s="3916">
        <v>92.8</v>
      </c>
      <c r="J37" s="3917">
        <v>12.7</v>
      </c>
      <c r="K37" s="3918">
        <v>6</v>
      </c>
      <c r="L37" s="3918">
        <v>2.8</v>
      </c>
      <c r="M37" s="3919">
        <f t="shared" si="13"/>
        <v>21.5</v>
      </c>
      <c r="N37" s="3920">
        <v>90</v>
      </c>
      <c r="O37" s="3921">
        <f t="shared" si="14"/>
        <v>106070.39999999999</v>
      </c>
      <c r="P37" s="3921">
        <f t="shared" si="14"/>
        <v>50111.999999999993</v>
      </c>
      <c r="Q37" s="3921">
        <f t="shared" si="14"/>
        <v>23385.599999999999</v>
      </c>
      <c r="R37" s="3922">
        <v>2500</v>
      </c>
      <c r="S37" s="3923">
        <v>150</v>
      </c>
      <c r="T37" s="3923">
        <v>0</v>
      </c>
      <c r="U37" s="3923">
        <v>0</v>
      </c>
      <c r="V37" s="3924">
        <f t="shared" si="6"/>
        <v>182218</v>
      </c>
      <c r="W37" s="3925">
        <v>7071</v>
      </c>
      <c r="X37" s="3925">
        <v>3341</v>
      </c>
      <c r="Y37" s="3925">
        <v>1559</v>
      </c>
      <c r="Z37" s="3925"/>
      <c r="AA37" s="3925"/>
      <c r="AB37" s="3926"/>
      <c r="AC37" s="3927">
        <f t="shared" si="7"/>
        <v>11971</v>
      </c>
      <c r="AD37" s="3926">
        <f t="shared" si="11"/>
        <v>98999.4</v>
      </c>
      <c r="AE37" s="3926">
        <f t="shared" si="11"/>
        <v>46770.999999999993</v>
      </c>
      <c r="AF37" s="3926">
        <f t="shared" si="11"/>
        <v>21826.6</v>
      </c>
      <c r="AG37" s="3926">
        <f t="shared" si="11"/>
        <v>2500</v>
      </c>
      <c r="AH37" s="3926">
        <f t="shared" si="11"/>
        <v>150</v>
      </c>
      <c r="AI37" s="3926">
        <f t="shared" si="11"/>
        <v>0</v>
      </c>
      <c r="AJ37" s="3926">
        <f t="shared" si="8"/>
        <v>0</v>
      </c>
      <c r="AK37" s="3928">
        <f t="shared" si="9"/>
        <v>170247</v>
      </c>
      <c r="AL37" s="3929">
        <f>SUMIF([3]租约表对应的会计账!$C$5:$C$164,B37,[3]租约表对应的会计账!$D$5:$D$164)</f>
        <v>98999</v>
      </c>
      <c r="AM37" s="3930">
        <f>SUMIF([3]租约表对应的会计账!$H$5:$H$164,B37,[3]租约表对应的会计账!$I$5:$I$164)</f>
        <v>46771</v>
      </c>
      <c r="AN37" s="3929">
        <f>SUMIF([3]租约表对应的会计账!$S$5:$S$164,B37,[3]租约表对应的会计账!$T$5:$T$164)</f>
        <v>21827</v>
      </c>
      <c r="AO37" s="3929">
        <f>SUMIF([3]租约表对应的会计账!$X$5:$X$164,B37,[3]租约表对应的会计账!$Y$5:$Y$164)</f>
        <v>2500</v>
      </c>
      <c r="AP37" s="3929">
        <f>SUMIF([3]租约表对应的会计账!$AC$5:$AC$164,[3]租约表!B37,[3]租约表对应的会计账!$AD$5:$AD$164)</f>
        <v>150</v>
      </c>
      <c r="AQ37" s="3929">
        <f>SUMIF([3]租约表对应的会计账!$AH$5:$AH$164,[3]租约表!B37,[3]租约表对应的会计账!$AI$5:$AI$164)</f>
        <v>0</v>
      </c>
      <c r="AR37" s="3929">
        <f t="shared" si="10"/>
        <v>170247</v>
      </c>
      <c r="AS37" s="3929">
        <f t="shared" si="12"/>
        <v>0.39999999999417923</v>
      </c>
      <c r="AT37" s="3929">
        <f t="shared" si="12"/>
        <v>0</v>
      </c>
      <c r="AU37" s="3929">
        <f t="shared" si="12"/>
        <v>-0.40000000000145519</v>
      </c>
      <c r="AV37" s="3929">
        <f t="shared" si="12"/>
        <v>0</v>
      </c>
      <c r="AW37" s="3929">
        <f t="shared" si="12"/>
        <v>0</v>
      </c>
      <c r="AX37" s="3929">
        <f t="shared" si="12"/>
        <v>0</v>
      </c>
      <c r="AY37" s="3929">
        <f t="shared" si="2"/>
        <v>-7.2759576141834259E-12</v>
      </c>
      <c r="AZ37" s="3915" t="s">
        <v>3967</v>
      </c>
    </row>
    <row r="38" spans="1:52" s="3931" customFormat="1" ht="60" customHeight="1">
      <c r="A38" s="3932" t="s">
        <v>3997</v>
      </c>
      <c r="B38" s="3911">
        <v>2088</v>
      </c>
      <c r="C38" s="3912" t="s">
        <v>3603</v>
      </c>
      <c r="D38" s="3912" t="s">
        <v>3604</v>
      </c>
      <c r="E38" s="3913">
        <v>44577</v>
      </c>
      <c r="F38" s="3913">
        <v>45382</v>
      </c>
      <c r="G38" s="3914">
        <f t="shared" si="3"/>
        <v>2.2054794520547945</v>
      </c>
      <c r="H38" s="3915" t="s">
        <v>4008</v>
      </c>
      <c r="I38" s="3916">
        <v>120.48</v>
      </c>
      <c r="J38" s="3917"/>
      <c r="K38" s="3918"/>
      <c r="L38" s="3918">
        <v>2.8</v>
      </c>
      <c r="M38" s="3919">
        <f t="shared" si="13"/>
        <v>2.8</v>
      </c>
      <c r="N38" s="3920">
        <v>90</v>
      </c>
      <c r="O38" s="3921">
        <f t="shared" si="14"/>
        <v>0</v>
      </c>
      <c r="P38" s="3921">
        <f t="shared" si="14"/>
        <v>0</v>
      </c>
      <c r="Q38" s="3921">
        <f t="shared" si="14"/>
        <v>30360.959999999999</v>
      </c>
      <c r="R38" s="3922">
        <v>1250</v>
      </c>
      <c r="S38" s="3923">
        <v>150</v>
      </c>
      <c r="T38" s="3923">
        <v>0</v>
      </c>
      <c r="U38" s="3923">
        <v>0</v>
      </c>
      <c r="V38" s="3924">
        <f t="shared" si="6"/>
        <v>31760.959999999999</v>
      </c>
      <c r="W38" s="3925">
        <v>0</v>
      </c>
      <c r="X38" s="3925">
        <v>0</v>
      </c>
      <c r="Y38" s="3925">
        <v>2024</v>
      </c>
      <c r="Z38" s="3925"/>
      <c r="AA38" s="3925"/>
      <c r="AB38" s="3926"/>
      <c r="AC38" s="3927">
        <f t="shared" si="7"/>
        <v>2024</v>
      </c>
      <c r="AD38" s="3926">
        <f t="shared" si="11"/>
        <v>0</v>
      </c>
      <c r="AE38" s="3926">
        <f t="shared" si="11"/>
        <v>0</v>
      </c>
      <c r="AF38" s="3926">
        <f t="shared" si="11"/>
        <v>28336.959999999999</v>
      </c>
      <c r="AG38" s="3926">
        <f t="shared" si="11"/>
        <v>1250</v>
      </c>
      <c r="AH38" s="3926">
        <f t="shared" si="11"/>
        <v>150</v>
      </c>
      <c r="AI38" s="3926">
        <f t="shared" si="11"/>
        <v>0</v>
      </c>
      <c r="AJ38" s="3926">
        <f t="shared" si="8"/>
        <v>0</v>
      </c>
      <c r="AK38" s="3928">
        <f t="shared" si="9"/>
        <v>29736.959999999999</v>
      </c>
      <c r="AL38" s="3929">
        <v>288</v>
      </c>
      <c r="AM38" s="3930">
        <v>0</v>
      </c>
      <c r="AN38" s="3929">
        <v>16199</v>
      </c>
      <c r="AO38" s="3929">
        <v>1250</v>
      </c>
      <c r="AP38" s="3929">
        <v>150</v>
      </c>
      <c r="AQ38" s="3929">
        <v>0</v>
      </c>
      <c r="AR38" s="3929">
        <f t="shared" si="10"/>
        <v>17887</v>
      </c>
      <c r="AS38" s="3929">
        <f t="shared" si="12"/>
        <v>-288</v>
      </c>
      <c r="AT38" s="3929">
        <f t="shared" si="12"/>
        <v>0</v>
      </c>
      <c r="AU38" s="3929">
        <f t="shared" si="12"/>
        <v>12137.96</v>
      </c>
      <c r="AV38" s="3929">
        <f t="shared" si="12"/>
        <v>0</v>
      </c>
      <c r="AW38" s="3929">
        <f t="shared" si="12"/>
        <v>0</v>
      </c>
      <c r="AX38" s="3929">
        <f t="shared" si="12"/>
        <v>0</v>
      </c>
      <c r="AY38" s="3929">
        <f t="shared" si="2"/>
        <v>11849.96</v>
      </c>
      <c r="AZ38" s="3915" t="s">
        <v>4009</v>
      </c>
    </row>
    <row r="39" spans="1:52" s="3931" customFormat="1" ht="60" customHeight="1">
      <c r="A39" s="3910" t="s">
        <v>3997</v>
      </c>
      <c r="B39" s="3911">
        <v>2093</v>
      </c>
      <c r="C39" s="3912" t="s">
        <v>3605</v>
      </c>
      <c r="D39" s="3912" t="s">
        <v>3583</v>
      </c>
      <c r="E39" s="3913">
        <v>44577</v>
      </c>
      <c r="F39" s="3913">
        <v>45382</v>
      </c>
      <c r="G39" s="3914">
        <f t="shared" si="3"/>
        <v>2.2054794520547945</v>
      </c>
      <c r="H39" s="3915" t="s">
        <v>4010</v>
      </c>
      <c r="I39" s="3916">
        <v>88.32</v>
      </c>
      <c r="J39" s="3917">
        <v>4.2</v>
      </c>
      <c r="K39" s="3918">
        <v>6</v>
      </c>
      <c r="L39" s="3918">
        <v>2.8</v>
      </c>
      <c r="M39" s="3919">
        <f t="shared" si="13"/>
        <v>13</v>
      </c>
      <c r="N39" s="3920">
        <v>90</v>
      </c>
      <c r="O39" s="3921">
        <f t="shared" si="14"/>
        <v>33384.959999999999</v>
      </c>
      <c r="P39" s="3921">
        <f t="shared" si="14"/>
        <v>47692.799999999996</v>
      </c>
      <c r="Q39" s="3921">
        <f t="shared" si="14"/>
        <v>22256.639999999996</v>
      </c>
      <c r="R39" s="3922">
        <v>2500</v>
      </c>
      <c r="S39" s="3923">
        <v>150</v>
      </c>
      <c r="T39" s="3923">
        <v>0</v>
      </c>
      <c r="U39" s="3923">
        <v>0</v>
      </c>
      <c r="V39" s="3924">
        <f t="shared" si="6"/>
        <v>105984.4</v>
      </c>
      <c r="W39" s="3925">
        <v>2226</v>
      </c>
      <c r="X39" s="3925">
        <v>3180</v>
      </c>
      <c r="Y39" s="3925">
        <v>1484</v>
      </c>
      <c r="Z39" s="3925"/>
      <c r="AA39" s="3925"/>
      <c r="AB39" s="3926"/>
      <c r="AC39" s="3927">
        <f t="shared" si="7"/>
        <v>6890</v>
      </c>
      <c r="AD39" s="3926">
        <f t="shared" si="11"/>
        <v>31158.959999999999</v>
      </c>
      <c r="AE39" s="3926">
        <f t="shared" si="11"/>
        <v>44512.799999999996</v>
      </c>
      <c r="AF39" s="3926">
        <f t="shared" si="11"/>
        <v>20772.639999999996</v>
      </c>
      <c r="AG39" s="3926">
        <f t="shared" si="11"/>
        <v>2500</v>
      </c>
      <c r="AH39" s="3926">
        <f t="shared" si="11"/>
        <v>150</v>
      </c>
      <c r="AI39" s="3926">
        <f t="shared" si="11"/>
        <v>0</v>
      </c>
      <c r="AJ39" s="3926">
        <f t="shared" si="8"/>
        <v>0</v>
      </c>
      <c r="AK39" s="3928">
        <f t="shared" si="9"/>
        <v>99094.399999999994</v>
      </c>
      <c r="AL39" s="3929">
        <f>SUMIF([3]租约表对应的会计账!$C$5:$C$164,B39,[3]租约表对应的会计账!$D$5:$D$164)</f>
        <v>67353</v>
      </c>
      <c r="AM39" s="3930">
        <f>SUMIF([3]租约表对应的会计账!$H$5:$H$164,B39,[3]租约表对应的会计账!$I$5:$I$164)</f>
        <v>49283</v>
      </c>
      <c r="AN39" s="3929">
        <f>SUMIF([3]租约表对应的会计账!$S$5:$S$164,B39,[3]租约表对应的会计账!$T$5:$T$164)</f>
        <v>22999</v>
      </c>
      <c r="AO39" s="3929">
        <f>SUMIF([3]租约表对应的会计账!$X$5:$X$164,B39,[3]租约表对应的会计账!$Y$5:$Y$164)</f>
        <v>2555</v>
      </c>
      <c r="AP39" s="3929">
        <f>SUMIF([3]租约表对应的会计账!$AC$5:$AC$164,[3]租约表!B39,[3]租约表对应的会计账!$AD$5:$AD$164)</f>
        <v>153</v>
      </c>
      <c r="AQ39" s="3929">
        <f>SUMIF([3]租约表对应的会计账!$AH$5:$AH$164,[3]租约表!B39,[3]租约表对应的会计账!$AI$5:$AI$164)</f>
        <v>0</v>
      </c>
      <c r="AR39" s="3929">
        <f t="shared" si="10"/>
        <v>142343</v>
      </c>
      <c r="AS39" s="3929">
        <f t="shared" si="12"/>
        <v>-36194.04</v>
      </c>
      <c r="AT39" s="3929">
        <f t="shared" si="12"/>
        <v>-4770.2000000000044</v>
      </c>
      <c r="AU39" s="3929">
        <f t="shared" si="12"/>
        <v>-2226.3600000000042</v>
      </c>
      <c r="AV39" s="3929">
        <f t="shared" si="12"/>
        <v>-55</v>
      </c>
      <c r="AW39" s="3929">
        <f t="shared" si="12"/>
        <v>-3</v>
      </c>
      <c r="AX39" s="3929">
        <f t="shared" si="12"/>
        <v>0</v>
      </c>
      <c r="AY39" s="3929">
        <f t="shared" si="2"/>
        <v>-43248.600000000006</v>
      </c>
      <c r="AZ39" s="3915"/>
    </row>
    <row r="40" spans="1:52" s="3931" customFormat="1" ht="60" customHeight="1">
      <c r="A40" s="3910" t="s">
        <v>3997</v>
      </c>
      <c r="B40" s="3911">
        <v>2095</v>
      </c>
      <c r="C40" s="3912" t="s">
        <v>3605</v>
      </c>
      <c r="D40" s="3912" t="s">
        <v>3583</v>
      </c>
      <c r="E40" s="3913">
        <v>44577</v>
      </c>
      <c r="F40" s="3913">
        <v>45382</v>
      </c>
      <c r="G40" s="3914">
        <f t="shared" si="3"/>
        <v>2.2054794520547945</v>
      </c>
      <c r="H40" s="3915" t="s">
        <v>4011</v>
      </c>
      <c r="I40" s="3916">
        <v>242.56</v>
      </c>
      <c r="J40" s="3917">
        <v>4.2</v>
      </c>
      <c r="K40" s="3918">
        <v>6</v>
      </c>
      <c r="L40" s="3918">
        <v>2.8</v>
      </c>
      <c r="M40" s="3919">
        <f t="shared" si="13"/>
        <v>13</v>
      </c>
      <c r="N40" s="3920">
        <v>90</v>
      </c>
      <c r="O40" s="3921">
        <f t="shared" si="14"/>
        <v>91687.680000000008</v>
      </c>
      <c r="P40" s="3921">
        <f t="shared" si="14"/>
        <v>130982.40000000001</v>
      </c>
      <c r="Q40" s="3921">
        <f t="shared" si="14"/>
        <v>61125.120000000003</v>
      </c>
      <c r="R40" s="3922">
        <v>2500</v>
      </c>
      <c r="S40" s="3923">
        <v>150</v>
      </c>
      <c r="T40" s="3923">
        <v>0</v>
      </c>
      <c r="U40" s="3923">
        <v>0</v>
      </c>
      <c r="V40" s="3924">
        <f t="shared" si="6"/>
        <v>286445.2</v>
      </c>
      <c r="W40" s="3925">
        <v>6113</v>
      </c>
      <c r="X40" s="3925">
        <v>8732</v>
      </c>
      <c r="Y40" s="3925">
        <v>4075</v>
      </c>
      <c r="Z40" s="3925"/>
      <c r="AA40" s="3925"/>
      <c r="AB40" s="3926"/>
      <c r="AC40" s="3927">
        <f t="shared" si="7"/>
        <v>18920</v>
      </c>
      <c r="AD40" s="3926">
        <f t="shared" si="11"/>
        <v>85574.680000000008</v>
      </c>
      <c r="AE40" s="3926">
        <f t="shared" si="11"/>
        <v>122250.40000000001</v>
      </c>
      <c r="AF40" s="3926">
        <f t="shared" si="11"/>
        <v>57050.12</v>
      </c>
      <c r="AG40" s="3926">
        <f t="shared" si="11"/>
        <v>2500</v>
      </c>
      <c r="AH40" s="3926">
        <f t="shared" si="11"/>
        <v>150</v>
      </c>
      <c r="AI40" s="3926">
        <f t="shared" si="11"/>
        <v>0</v>
      </c>
      <c r="AJ40" s="3926">
        <f t="shared" si="8"/>
        <v>0</v>
      </c>
      <c r="AK40" s="3928">
        <f t="shared" si="9"/>
        <v>267525.2</v>
      </c>
      <c r="AL40" s="3929">
        <f>SUMIF([3]租约表对应的会计账!$C$5:$C$164,B40,[3]租约表对应的会计账!$D$5:$D$164)</f>
        <v>85575</v>
      </c>
      <c r="AM40" s="3930">
        <f>SUMIF([3]租约表对应的会计账!$H$5:$H$164,B40,[3]租约表对应的会计账!$I$5:$I$164)</f>
        <v>114425</v>
      </c>
      <c r="AN40" s="3929">
        <f>SUMIF([3]租约表对应的会计账!$S$5:$S$164,B40,[3]租约表对应的会计账!$T$5:$T$164)</f>
        <v>0</v>
      </c>
      <c r="AO40" s="3929">
        <f>SUMIF([3]租约表对应的会计账!$X$5:$X$164,B40,[3]租约表对应的会计账!$Y$5:$Y$164)</f>
        <v>0</v>
      </c>
      <c r="AP40" s="3929">
        <f>SUMIF([3]租约表对应的会计账!$AC$5:$AC$164,[3]租约表!B40,[3]租约表对应的会计账!$AD$5:$AD$164)</f>
        <v>0</v>
      </c>
      <c r="AQ40" s="3929">
        <f>SUMIF([3]租约表对应的会计账!$AH$5:$AH$164,[3]租约表!B40,[3]租约表对应的会计账!$AI$5:$AI$164)</f>
        <v>0</v>
      </c>
      <c r="AR40" s="3929">
        <f t="shared" si="10"/>
        <v>200000</v>
      </c>
      <c r="AS40" s="3929">
        <f t="shared" si="12"/>
        <v>-0.319999999992433</v>
      </c>
      <c r="AT40" s="3929">
        <f t="shared" si="12"/>
        <v>7825.4000000000087</v>
      </c>
      <c r="AU40" s="3929">
        <f t="shared" si="12"/>
        <v>57050.12</v>
      </c>
      <c r="AV40" s="3929">
        <f t="shared" si="12"/>
        <v>2500</v>
      </c>
      <c r="AW40" s="3929">
        <f t="shared" si="12"/>
        <v>150</v>
      </c>
      <c r="AX40" s="3929">
        <f t="shared" si="12"/>
        <v>0</v>
      </c>
      <c r="AY40" s="3929">
        <f t="shared" si="2"/>
        <v>67525.200000000012</v>
      </c>
      <c r="AZ40" s="3915" t="s">
        <v>3975</v>
      </c>
    </row>
    <row r="41" spans="1:52" s="3931" customFormat="1" ht="60" customHeight="1">
      <c r="A41" s="3910" t="s">
        <v>3997</v>
      </c>
      <c r="B41" s="3911">
        <v>2096</v>
      </c>
      <c r="C41" s="3912" t="s">
        <v>3568</v>
      </c>
      <c r="D41" s="3912"/>
      <c r="E41" s="3913"/>
      <c r="F41" s="3913"/>
      <c r="G41" s="3914">
        <f t="shared" si="3"/>
        <v>0</v>
      </c>
      <c r="H41" s="3915"/>
      <c r="I41" s="3916">
        <v>134.56</v>
      </c>
      <c r="J41" s="3917"/>
      <c r="K41" s="3918"/>
      <c r="L41" s="3918"/>
      <c r="M41" s="3919">
        <f t="shared" si="13"/>
        <v>0</v>
      </c>
      <c r="N41" s="3920"/>
      <c r="O41" s="3921">
        <f t="shared" si="14"/>
        <v>0</v>
      </c>
      <c r="P41" s="3921">
        <f t="shared" si="14"/>
        <v>0</v>
      </c>
      <c r="Q41" s="3921">
        <f t="shared" si="14"/>
        <v>0</v>
      </c>
      <c r="R41" s="3922">
        <v>0</v>
      </c>
      <c r="S41" s="3923">
        <v>0</v>
      </c>
      <c r="T41" s="3923">
        <v>0</v>
      </c>
      <c r="U41" s="3923">
        <v>0</v>
      </c>
      <c r="V41" s="3924">
        <f t="shared" si="6"/>
        <v>0</v>
      </c>
      <c r="W41" s="3925">
        <v>0</v>
      </c>
      <c r="X41" s="3925">
        <v>0</v>
      </c>
      <c r="Y41" s="3925">
        <v>0</v>
      </c>
      <c r="Z41" s="3925"/>
      <c r="AA41" s="3925"/>
      <c r="AB41" s="3926"/>
      <c r="AC41" s="3927">
        <f t="shared" si="7"/>
        <v>0</v>
      </c>
      <c r="AD41" s="3926">
        <f t="shared" si="11"/>
        <v>0</v>
      </c>
      <c r="AE41" s="3926">
        <f t="shared" si="11"/>
        <v>0</v>
      </c>
      <c r="AF41" s="3926">
        <f t="shared" si="11"/>
        <v>0</v>
      </c>
      <c r="AG41" s="3926">
        <f t="shared" si="11"/>
        <v>0</v>
      </c>
      <c r="AH41" s="3926">
        <f t="shared" si="11"/>
        <v>0</v>
      </c>
      <c r="AI41" s="3926">
        <f t="shared" si="11"/>
        <v>0</v>
      </c>
      <c r="AJ41" s="3926">
        <f t="shared" si="8"/>
        <v>0</v>
      </c>
      <c r="AK41" s="3928">
        <f t="shared" si="9"/>
        <v>0</v>
      </c>
      <c r="AL41" s="3929">
        <f>SUMIF([3]租约表对应的会计账!$C$5:$C$164,B41,[3]租约表对应的会计账!$D$5:$D$164)</f>
        <v>0</v>
      </c>
      <c r="AM41" s="3930">
        <f>SUMIF([3]租约表对应的会计账!$H$5:$H$164,B41,[3]租约表对应的会计账!$I$5:$I$164)</f>
        <v>0</v>
      </c>
      <c r="AN41" s="3929">
        <f>SUMIF([3]租约表对应的会计账!$S$5:$S$164,B41,[3]租约表对应的会计账!$T$5:$T$164)</f>
        <v>0</v>
      </c>
      <c r="AO41" s="3929">
        <f>SUMIF([3]租约表对应的会计账!$X$5:$X$164,B41,[3]租约表对应的会计账!$Y$5:$Y$164)</f>
        <v>0</v>
      </c>
      <c r="AP41" s="3929">
        <f>SUMIF([3]租约表对应的会计账!$AC$5:$AC$164,[3]租约表!B41,[3]租约表对应的会计账!$AD$5:$AD$164)</f>
        <v>0</v>
      </c>
      <c r="AQ41" s="3929">
        <f>SUMIF([3]租约表对应的会计账!$AH$5:$AH$164,[3]租约表!B41,[3]租约表对应的会计账!$AI$5:$AI$164)</f>
        <v>0</v>
      </c>
      <c r="AR41" s="3929">
        <f t="shared" si="10"/>
        <v>0</v>
      </c>
      <c r="AS41" s="3929">
        <f t="shared" si="12"/>
        <v>0</v>
      </c>
      <c r="AT41" s="3929">
        <f t="shared" si="12"/>
        <v>0</v>
      </c>
      <c r="AU41" s="3929">
        <f t="shared" si="12"/>
        <v>0</v>
      </c>
      <c r="AV41" s="3929">
        <f t="shared" si="12"/>
        <v>0</v>
      </c>
      <c r="AW41" s="3929">
        <f t="shared" si="12"/>
        <v>0</v>
      </c>
      <c r="AX41" s="3929">
        <f t="shared" si="12"/>
        <v>0</v>
      </c>
      <c r="AY41" s="3929">
        <f t="shared" si="2"/>
        <v>0</v>
      </c>
      <c r="AZ41" s="3915" t="s">
        <v>3568</v>
      </c>
    </row>
    <row r="42" spans="1:52" s="3931" customFormat="1" ht="60" customHeight="1">
      <c r="A42" s="3910" t="s">
        <v>3997</v>
      </c>
      <c r="B42" s="3911">
        <v>2097</v>
      </c>
      <c r="C42" s="3912" t="s">
        <v>3568</v>
      </c>
      <c r="D42" s="3912"/>
      <c r="E42" s="3913"/>
      <c r="F42" s="3913"/>
      <c r="G42" s="3914">
        <f t="shared" si="3"/>
        <v>0</v>
      </c>
      <c r="H42" s="3915"/>
      <c r="I42" s="3916">
        <v>56.8</v>
      </c>
      <c r="J42" s="3917"/>
      <c r="K42" s="3918"/>
      <c r="L42" s="3918"/>
      <c r="M42" s="3919">
        <f t="shared" si="13"/>
        <v>0</v>
      </c>
      <c r="N42" s="3920"/>
      <c r="O42" s="3921">
        <f t="shared" si="14"/>
        <v>0</v>
      </c>
      <c r="P42" s="3921">
        <f t="shared" si="14"/>
        <v>0</v>
      </c>
      <c r="Q42" s="3921">
        <f t="shared" si="14"/>
        <v>0</v>
      </c>
      <c r="R42" s="3922">
        <v>0</v>
      </c>
      <c r="S42" s="3923">
        <v>0</v>
      </c>
      <c r="T42" s="3923">
        <v>0</v>
      </c>
      <c r="U42" s="3923">
        <v>0</v>
      </c>
      <c r="V42" s="3924">
        <f t="shared" si="6"/>
        <v>0</v>
      </c>
      <c r="W42" s="3925">
        <v>0</v>
      </c>
      <c r="X42" s="3925">
        <v>0</v>
      </c>
      <c r="Y42" s="3925">
        <v>0</v>
      </c>
      <c r="Z42" s="3925"/>
      <c r="AA42" s="3925"/>
      <c r="AB42" s="3926"/>
      <c r="AC42" s="3927">
        <f t="shared" si="7"/>
        <v>0</v>
      </c>
      <c r="AD42" s="3926">
        <f t="shared" si="11"/>
        <v>0</v>
      </c>
      <c r="AE42" s="3926">
        <f t="shared" si="11"/>
        <v>0</v>
      </c>
      <c r="AF42" s="3926">
        <f t="shared" si="11"/>
        <v>0</v>
      </c>
      <c r="AG42" s="3926">
        <f t="shared" si="11"/>
        <v>0</v>
      </c>
      <c r="AH42" s="3926">
        <f t="shared" si="11"/>
        <v>0</v>
      </c>
      <c r="AI42" s="3926">
        <f t="shared" si="11"/>
        <v>0</v>
      </c>
      <c r="AJ42" s="3926">
        <f t="shared" si="8"/>
        <v>0</v>
      </c>
      <c r="AK42" s="3928">
        <f t="shared" si="9"/>
        <v>0</v>
      </c>
      <c r="AL42" s="3929">
        <f>SUMIF([3]租约表对应的会计账!$C$5:$C$164,B42,[3]租约表对应的会计账!$D$5:$D$164)</f>
        <v>0</v>
      </c>
      <c r="AM42" s="3930">
        <f>SUMIF([3]租约表对应的会计账!$H$5:$H$164,B42,[3]租约表对应的会计账!$I$5:$I$164)</f>
        <v>0</v>
      </c>
      <c r="AN42" s="3929">
        <f>SUMIF([3]租约表对应的会计账!$S$5:$S$164,B42,[3]租约表对应的会计账!$T$5:$T$164)</f>
        <v>0</v>
      </c>
      <c r="AO42" s="3929">
        <f>SUMIF([3]租约表对应的会计账!$X$5:$X$164,B42,[3]租约表对应的会计账!$Y$5:$Y$164)</f>
        <v>0</v>
      </c>
      <c r="AP42" s="3929">
        <f>SUMIF([3]租约表对应的会计账!$AC$5:$AC$164,[3]租约表!B42,[3]租约表对应的会计账!$AD$5:$AD$164)</f>
        <v>0</v>
      </c>
      <c r="AQ42" s="3929">
        <f>SUMIF([3]租约表对应的会计账!$AH$5:$AH$164,[3]租约表!B42,[3]租约表对应的会计账!$AI$5:$AI$164)</f>
        <v>0</v>
      </c>
      <c r="AR42" s="3929">
        <f t="shared" si="10"/>
        <v>0</v>
      </c>
      <c r="AS42" s="3929">
        <f t="shared" si="12"/>
        <v>0</v>
      </c>
      <c r="AT42" s="3929">
        <f t="shared" si="12"/>
        <v>0</v>
      </c>
      <c r="AU42" s="3929">
        <f t="shared" si="12"/>
        <v>0</v>
      </c>
      <c r="AV42" s="3929">
        <f t="shared" si="12"/>
        <v>0</v>
      </c>
      <c r="AW42" s="3929">
        <f t="shared" si="12"/>
        <v>0</v>
      </c>
      <c r="AX42" s="3929">
        <f t="shared" si="12"/>
        <v>0</v>
      </c>
      <c r="AY42" s="3929">
        <f t="shared" si="2"/>
        <v>0</v>
      </c>
      <c r="AZ42" s="3915" t="s">
        <v>3568</v>
      </c>
    </row>
    <row r="43" spans="1:52" s="3931" customFormat="1" ht="60" customHeight="1">
      <c r="A43" s="3932" t="s">
        <v>3997</v>
      </c>
      <c r="B43" s="3911">
        <v>2098</v>
      </c>
      <c r="C43" s="3912" t="s">
        <v>3568</v>
      </c>
      <c r="D43" s="3912"/>
      <c r="E43" s="3913"/>
      <c r="F43" s="3913"/>
      <c r="G43" s="3914">
        <f t="shared" si="3"/>
        <v>0</v>
      </c>
      <c r="H43" s="3915"/>
      <c r="I43" s="3916">
        <v>88.24</v>
      </c>
      <c r="J43" s="3917"/>
      <c r="K43" s="3918"/>
      <c r="L43" s="3918"/>
      <c r="M43" s="3919">
        <f t="shared" si="13"/>
        <v>0</v>
      </c>
      <c r="N43" s="3920"/>
      <c r="O43" s="3921">
        <f t="shared" si="14"/>
        <v>0</v>
      </c>
      <c r="P43" s="3921">
        <f t="shared" si="14"/>
        <v>0</v>
      </c>
      <c r="Q43" s="3921">
        <f t="shared" si="14"/>
        <v>0</v>
      </c>
      <c r="R43" s="3922">
        <v>0</v>
      </c>
      <c r="S43" s="3923">
        <v>0</v>
      </c>
      <c r="T43" s="3923">
        <v>0</v>
      </c>
      <c r="U43" s="3923">
        <v>0</v>
      </c>
      <c r="V43" s="3924">
        <f t="shared" si="6"/>
        <v>0</v>
      </c>
      <c r="W43" s="3925">
        <v>0</v>
      </c>
      <c r="X43" s="3925">
        <v>0</v>
      </c>
      <c r="Y43" s="3925">
        <v>0</v>
      </c>
      <c r="Z43" s="3925"/>
      <c r="AA43" s="3925"/>
      <c r="AB43" s="3926"/>
      <c r="AC43" s="3927">
        <f t="shared" si="7"/>
        <v>0</v>
      </c>
      <c r="AD43" s="3926">
        <f t="shared" si="11"/>
        <v>0</v>
      </c>
      <c r="AE43" s="3926">
        <f t="shared" si="11"/>
        <v>0</v>
      </c>
      <c r="AF43" s="3926">
        <f t="shared" si="11"/>
        <v>0</v>
      </c>
      <c r="AG43" s="3926">
        <f t="shared" si="11"/>
        <v>0</v>
      </c>
      <c r="AH43" s="3926">
        <f t="shared" si="11"/>
        <v>0</v>
      </c>
      <c r="AI43" s="3926">
        <f t="shared" si="11"/>
        <v>0</v>
      </c>
      <c r="AJ43" s="3926">
        <f t="shared" si="8"/>
        <v>0</v>
      </c>
      <c r="AK43" s="3928">
        <f t="shared" si="9"/>
        <v>0</v>
      </c>
      <c r="AL43" s="3929">
        <v>0</v>
      </c>
      <c r="AM43" s="3930">
        <v>0</v>
      </c>
      <c r="AN43" s="3929">
        <v>0</v>
      </c>
      <c r="AO43" s="3929">
        <v>0</v>
      </c>
      <c r="AP43" s="3929">
        <v>0</v>
      </c>
      <c r="AQ43" s="3929">
        <v>0</v>
      </c>
      <c r="AR43" s="3929">
        <f t="shared" si="10"/>
        <v>0</v>
      </c>
      <c r="AS43" s="3929">
        <f t="shared" si="12"/>
        <v>0</v>
      </c>
      <c r="AT43" s="3929">
        <f t="shared" si="12"/>
        <v>0</v>
      </c>
      <c r="AU43" s="3929">
        <f t="shared" si="12"/>
        <v>0</v>
      </c>
      <c r="AV43" s="3929">
        <f t="shared" si="12"/>
        <v>0</v>
      </c>
      <c r="AW43" s="3929">
        <f t="shared" si="12"/>
        <v>0</v>
      </c>
      <c r="AX43" s="3929">
        <f t="shared" si="12"/>
        <v>0</v>
      </c>
      <c r="AY43" s="3929">
        <f t="shared" si="2"/>
        <v>0</v>
      </c>
      <c r="AZ43" s="3915" t="s">
        <v>3568</v>
      </c>
    </row>
    <row r="44" spans="1:52" s="3931" customFormat="1" ht="60" customHeight="1">
      <c r="A44" s="3910" t="s">
        <v>3997</v>
      </c>
      <c r="B44" s="3911">
        <v>2099</v>
      </c>
      <c r="C44" s="3912" t="s">
        <v>3606</v>
      </c>
      <c r="D44" s="3912" t="s">
        <v>3607</v>
      </c>
      <c r="E44" s="3913">
        <v>44577</v>
      </c>
      <c r="F44" s="3913">
        <v>45382</v>
      </c>
      <c r="G44" s="3914">
        <f t="shared" si="3"/>
        <v>2.2054794520547945</v>
      </c>
      <c r="H44" s="3915" t="s">
        <v>4012</v>
      </c>
      <c r="I44" s="3916">
        <v>151.68</v>
      </c>
      <c r="J44" s="3917">
        <v>1.79</v>
      </c>
      <c r="K44" s="3918">
        <v>3</v>
      </c>
      <c r="L44" s="3918">
        <v>2.8</v>
      </c>
      <c r="M44" s="3919">
        <f t="shared" si="13"/>
        <v>7.59</v>
      </c>
      <c r="N44" s="3920">
        <v>90</v>
      </c>
      <c r="O44" s="3921">
        <f t="shared" si="14"/>
        <v>24435.648000000001</v>
      </c>
      <c r="P44" s="3921">
        <f t="shared" si="14"/>
        <v>40953.599999999999</v>
      </c>
      <c r="Q44" s="3921">
        <f t="shared" si="14"/>
        <v>38223.360000000001</v>
      </c>
      <c r="R44" s="3922">
        <v>0</v>
      </c>
      <c r="S44" s="3923">
        <v>1950</v>
      </c>
      <c r="T44" s="3923">
        <v>1800</v>
      </c>
      <c r="U44" s="3923">
        <v>0</v>
      </c>
      <c r="V44" s="3924">
        <f t="shared" si="6"/>
        <v>107362.60800000001</v>
      </c>
      <c r="W44" s="3925">
        <v>1647</v>
      </c>
      <c r="X44" s="3925">
        <v>2730</v>
      </c>
      <c r="Y44" s="3925">
        <v>2548</v>
      </c>
      <c r="Z44" s="3925"/>
      <c r="AA44" s="3925"/>
      <c r="AB44" s="3926"/>
      <c r="AC44" s="3927">
        <f t="shared" si="7"/>
        <v>6925</v>
      </c>
      <c r="AD44" s="3926">
        <f t="shared" si="11"/>
        <v>22788.648000000001</v>
      </c>
      <c r="AE44" s="3926">
        <f t="shared" si="11"/>
        <v>38223.599999999999</v>
      </c>
      <c r="AF44" s="3926">
        <f t="shared" si="11"/>
        <v>35675.360000000001</v>
      </c>
      <c r="AG44" s="3926">
        <f t="shared" si="11"/>
        <v>0</v>
      </c>
      <c r="AH44" s="3926">
        <f t="shared" si="11"/>
        <v>1950</v>
      </c>
      <c r="AI44" s="3926">
        <f t="shared" si="11"/>
        <v>1800</v>
      </c>
      <c r="AJ44" s="3926">
        <f t="shared" si="8"/>
        <v>0</v>
      </c>
      <c r="AK44" s="3928">
        <f t="shared" si="9"/>
        <v>100437.60800000001</v>
      </c>
      <c r="AL44" s="3929">
        <f>SUMIF([3]租约表对应的会计账!$C$5:$C$164,B44,[3]租约表对应的会计账!$D$5:$D$164)</f>
        <v>23077</v>
      </c>
      <c r="AM44" s="3930">
        <f>SUMIF([3]租约表对应的会计账!$H$5:$H$164,B44,[3]租约表对应的会计账!$I$5:$I$164)</f>
        <v>38792</v>
      </c>
      <c r="AN44" s="3929">
        <f>SUMIF([3]租约表对应的会计账!$S$5:$S$164,B44,[3]租约表对应的会计账!$T$5:$T$164)</f>
        <v>36206</v>
      </c>
      <c r="AO44" s="3929">
        <f>SUMIF([3]租约表对应的会计账!$X$5:$X$164,B44,[3]租约表对应的会计账!$Y$5:$Y$164)</f>
        <v>0</v>
      </c>
      <c r="AP44" s="3929">
        <f>SUMIF([3]租约表对应的会计账!$AC$5:$AC$164,[3]租约表!B44,[3]租约表对应的会计账!$AD$5:$AD$164)</f>
        <v>1950</v>
      </c>
      <c r="AQ44" s="3929">
        <f>SUMIF([3]租约表对应的会计账!$AH$5:$AH$164,[3]租约表!B44,[3]租约表对应的会计账!$AI$5:$AI$164)</f>
        <v>1800</v>
      </c>
      <c r="AR44" s="3929">
        <f t="shared" si="10"/>
        <v>101825</v>
      </c>
      <c r="AS44" s="3929">
        <f t="shared" si="12"/>
        <v>-288.35199999999895</v>
      </c>
      <c r="AT44" s="3929">
        <f t="shared" si="12"/>
        <v>-568.40000000000146</v>
      </c>
      <c r="AU44" s="3929">
        <f t="shared" si="12"/>
        <v>-530.63999999999942</v>
      </c>
      <c r="AV44" s="3929">
        <f t="shared" si="12"/>
        <v>0</v>
      </c>
      <c r="AW44" s="3929">
        <f t="shared" si="12"/>
        <v>0</v>
      </c>
      <c r="AX44" s="3929">
        <f t="shared" si="12"/>
        <v>0</v>
      </c>
      <c r="AY44" s="3929">
        <f t="shared" si="2"/>
        <v>-1387.3919999999998</v>
      </c>
      <c r="AZ44" s="3915" t="s">
        <v>3967</v>
      </c>
    </row>
    <row r="45" spans="1:52" s="3931" customFormat="1" ht="60" customHeight="1">
      <c r="A45" s="3932" t="s">
        <v>3997</v>
      </c>
      <c r="B45" s="3911">
        <v>2101</v>
      </c>
      <c r="C45" s="3912" t="s">
        <v>3608</v>
      </c>
      <c r="D45" s="3912" t="s">
        <v>3609</v>
      </c>
      <c r="E45" s="3913">
        <v>44577</v>
      </c>
      <c r="F45" s="3913">
        <v>45382</v>
      </c>
      <c r="G45" s="3914">
        <f t="shared" si="3"/>
        <v>2.2054794520547945</v>
      </c>
      <c r="H45" s="3915" t="s">
        <v>4013</v>
      </c>
      <c r="I45" s="3916">
        <v>104.72</v>
      </c>
      <c r="J45" s="3917"/>
      <c r="K45" s="3918"/>
      <c r="L45" s="3918">
        <v>2.8</v>
      </c>
      <c r="M45" s="3919">
        <f t="shared" si="13"/>
        <v>2.8</v>
      </c>
      <c r="N45" s="3920">
        <v>90</v>
      </c>
      <c r="O45" s="3921">
        <f t="shared" si="14"/>
        <v>0</v>
      </c>
      <c r="P45" s="3921">
        <f t="shared" si="14"/>
        <v>0</v>
      </c>
      <c r="Q45" s="3921">
        <f t="shared" si="14"/>
        <v>26389.439999999995</v>
      </c>
      <c r="R45" s="3922">
        <v>1250</v>
      </c>
      <c r="S45" s="3923">
        <v>150</v>
      </c>
      <c r="T45" s="3923">
        <v>0</v>
      </c>
      <c r="U45" s="3923">
        <v>0</v>
      </c>
      <c r="V45" s="3924">
        <f t="shared" si="6"/>
        <v>27789.439999999995</v>
      </c>
      <c r="W45" s="3925">
        <v>0</v>
      </c>
      <c r="X45" s="3925">
        <v>0</v>
      </c>
      <c r="Y45" s="3925">
        <v>1759</v>
      </c>
      <c r="Z45" s="3925"/>
      <c r="AA45" s="3925"/>
      <c r="AB45" s="3926"/>
      <c r="AC45" s="3927">
        <f t="shared" si="7"/>
        <v>1759</v>
      </c>
      <c r="AD45" s="3926">
        <f t="shared" si="11"/>
        <v>0</v>
      </c>
      <c r="AE45" s="3926">
        <f t="shared" si="11"/>
        <v>0</v>
      </c>
      <c r="AF45" s="3926">
        <f t="shared" si="11"/>
        <v>24630.439999999995</v>
      </c>
      <c r="AG45" s="3926">
        <f t="shared" si="11"/>
        <v>1250</v>
      </c>
      <c r="AH45" s="3926">
        <f t="shared" si="11"/>
        <v>150</v>
      </c>
      <c r="AI45" s="3926">
        <f t="shared" si="11"/>
        <v>0</v>
      </c>
      <c r="AJ45" s="3926">
        <f t="shared" si="8"/>
        <v>0</v>
      </c>
      <c r="AK45" s="3928">
        <f t="shared" si="9"/>
        <v>26030.439999999995</v>
      </c>
      <c r="AL45" s="3929">
        <f>SUMIF([3]租约表对应的会计账!$C$5:$C$164,B45,[3]租约表对应的会计账!$D$5:$D$164)</f>
        <v>2030</v>
      </c>
      <c r="AM45" s="3930">
        <f>SUMIF([3]租约表对应的会计账!$H$5:$H$164,B45,[3]租约表对应的会计账!$I$5:$I$164)</f>
        <v>0</v>
      </c>
      <c r="AN45" s="3929">
        <f>SUMIF([3]租约表对应的会计账!$S$5:$S$164,B45,[3]租约表对应的会计账!$T$5:$T$164)</f>
        <v>24630.440000000002</v>
      </c>
      <c r="AO45" s="3929">
        <f>SUMIF([3]租约表对应的会计账!$X$5:$X$164,B45,[3]租约表对应的会计账!$Y$5:$Y$164)</f>
        <v>1250</v>
      </c>
      <c r="AP45" s="3929">
        <f>SUMIF([3]租约表对应的会计账!$AC$5:$AC$164,[3]租约表!B45,[3]租约表对应的会计账!$AD$5:$AD$164)</f>
        <v>150</v>
      </c>
      <c r="AQ45" s="3929">
        <f>SUMIF([3]租约表对应的会计账!$AH$5:$AH$164,[3]租约表!B45,[3]租约表对应的会计账!$AI$5:$AI$164)</f>
        <v>0</v>
      </c>
      <c r="AR45" s="3929">
        <f t="shared" si="10"/>
        <v>28060.440000000002</v>
      </c>
      <c r="AS45" s="3929">
        <f t="shared" si="12"/>
        <v>-2030</v>
      </c>
      <c r="AT45" s="3929">
        <f t="shared" si="12"/>
        <v>0</v>
      </c>
      <c r="AU45" s="3929">
        <f t="shared" si="12"/>
        <v>0</v>
      </c>
      <c r="AV45" s="3929">
        <f t="shared" si="12"/>
        <v>0</v>
      </c>
      <c r="AW45" s="3929">
        <f t="shared" si="12"/>
        <v>0</v>
      </c>
      <c r="AX45" s="3929">
        <f t="shared" si="12"/>
        <v>0</v>
      </c>
      <c r="AY45" s="3929">
        <f t="shared" si="2"/>
        <v>-2030</v>
      </c>
      <c r="AZ45" s="3915" t="s">
        <v>4000</v>
      </c>
    </row>
    <row r="46" spans="1:52" s="3931" customFormat="1" ht="60" customHeight="1">
      <c r="A46" s="3910" t="s">
        <v>3997</v>
      </c>
      <c r="B46" s="3911">
        <v>2102</v>
      </c>
      <c r="C46" s="3912" t="s">
        <v>3568</v>
      </c>
      <c r="D46" s="3912"/>
      <c r="E46" s="3913"/>
      <c r="F46" s="3913"/>
      <c r="G46" s="3914">
        <f t="shared" si="3"/>
        <v>0</v>
      </c>
      <c r="H46" s="3915"/>
      <c r="I46" s="3916">
        <v>77.28</v>
      </c>
      <c r="J46" s="3917"/>
      <c r="K46" s="3918"/>
      <c r="L46" s="3918"/>
      <c r="M46" s="3919">
        <f t="shared" si="13"/>
        <v>0</v>
      </c>
      <c r="N46" s="3920"/>
      <c r="O46" s="3921">
        <f t="shared" si="14"/>
        <v>0</v>
      </c>
      <c r="P46" s="3921">
        <f t="shared" si="14"/>
        <v>0</v>
      </c>
      <c r="Q46" s="3921">
        <f t="shared" si="14"/>
        <v>0</v>
      </c>
      <c r="R46" s="3922">
        <v>0</v>
      </c>
      <c r="S46" s="3923">
        <v>0</v>
      </c>
      <c r="T46" s="3923"/>
      <c r="U46" s="3923"/>
      <c r="V46" s="3924">
        <f t="shared" si="6"/>
        <v>0</v>
      </c>
      <c r="W46" s="3925">
        <v>0</v>
      </c>
      <c r="X46" s="3925">
        <v>0</v>
      </c>
      <c r="Y46" s="3925">
        <v>0</v>
      </c>
      <c r="Z46" s="3925"/>
      <c r="AA46" s="3925"/>
      <c r="AB46" s="3926"/>
      <c r="AC46" s="3927">
        <f t="shared" si="7"/>
        <v>0</v>
      </c>
      <c r="AD46" s="3926">
        <f t="shared" si="11"/>
        <v>0</v>
      </c>
      <c r="AE46" s="3926">
        <f t="shared" si="11"/>
        <v>0</v>
      </c>
      <c r="AF46" s="3926">
        <f t="shared" si="11"/>
        <v>0</v>
      </c>
      <c r="AG46" s="3926">
        <f t="shared" si="11"/>
        <v>0</v>
      </c>
      <c r="AH46" s="3926">
        <f t="shared" si="11"/>
        <v>0</v>
      </c>
      <c r="AI46" s="3926">
        <f t="shared" si="11"/>
        <v>0</v>
      </c>
      <c r="AJ46" s="3926">
        <f t="shared" si="8"/>
        <v>0</v>
      </c>
      <c r="AK46" s="3928">
        <f t="shared" si="9"/>
        <v>0</v>
      </c>
      <c r="AL46" s="3929">
        <f>SUMIF([3]租约表对应的会计账!$C$5:$C$164,B46,[3]租约表对应的会计账!$D$5:$D$164)</f>
        <v>0</v>
      </c>
      <c r="AM46" s="3930">
        <f>SUMIF([3]租约表对应的会计账!$H$5:$H$164,B46,[3]租约表对应的会计账!$I$5:$I$164)</f>
        <v>0</v>
      </c>
      <c r="AN46" s="3929">
        <f>SUMIF([3]租约表对应的会计账!$S$5:$S$164,B46,[3]租约表对应的会计账!$T$5:$T$164)</f>
        <v>0</v>
      </c>
      <c r="AO46" s="3929">
        <f>SUMIF([3]租约表对应的会计账!$X$5:$X$164,B46,[3]租约表对应的会计账!$Y$5:$Y$164)</f>
        <v>0</v>
      </c>
      <c r="AP46" s="3929">
        <f>SUMIF([3]租约表对应的会计账!$AC$5:$AC$164,[3]租约表!B46,[3]租约表对应的会计账!$AD$5:$AD$164)</f>
        <v>0</v>
      </c>
      <c r="AQ46" s="3929">
        <f>SUMIF([3]租约表对应的会计账!$AH$5:$AH$164,[3]租约表!B46,[3]租约表对应的会计账!$AI$5:$AI$164)</f>
        <v>0</v>
      </c>
      <c r="AR46" s="3929">
        <f t="shared" si="10"/>
        <v>0</v>
      </c>
      <c r="AS46" s="3929">
        <f t="shared" si="12"/>
        <v>0</v>
      </c>
      <c r="AT46" s="3929">
        <f t="shared" si="12"/>
        <v>0</v>
      </c>
      <c r="AU46" s="3929">
        <f t="shared" si="12"/>
        <v>0</v>
      </c>
      <c r="AV46" s="3929">
        <f t="shared" si="12"/>
        <v>0</v>
      </c>
      <c r="AW46" s="3929">
        <f t="shared" si="12"/>
        <v>0</v>
      </c>
      <c r="AX46" s="3929">
        <f t="shared" si="12"/>
        <v>0</v>
      </c>
      <c r="AY46" s="3929">
        <f t="shared" si="2"/>
        <v>0</v>
      </c>
      <c r="AZ46" s="3915" t="s">
        <v>3568</v>
      </c>
    </row>
    <row r="47" spans="1:52" s="3931" customFormat="1" ht="60" customHeight="1">
      <c r="A47" s="3910" t="s">
        <v>3997</v>
      </c>
      <c r="B47" s="3911">
        <v>2103</v>
      </c>
      <c r="C47" s="3912" t="s">
        <v>3611</v>
      </c>
      <c r="D47" s="3912" t="s">
        <v>3612</v>
      </c>
      <c r="E47" s="3913">
        <v>44805</v>
      </c>
      <c r="F47" s="3913">
        <v>45535</v>
      </c>
      <c r="G47" s="3914">
        <f t="shared" si="3"/>
        <v>2</v>
      </c>
      <c r="H47" s="3915" t="s">
        <v>4014</v>
      </c>
      <c r="I47" s="3916">
        <v>100.96</v>
      </c>
      <c r="J47" s="3917">
        <v>3.71</v>
      </c>
      <c r="K47" s="3918"/>
      <c r="L47" s="3918">
        <v>2.8</v>
      </c>
      <c r="M47" s="3919">
        <f t="shared" si="13"/>
        <v>6.51</v>
      </c>
      <c r="N47" s="3920">
        <v>90</v>
      </c>
      <c r="O47" s="3921">
        <f t="shared" si="14"/>
        <v>33710.544000000002</v>
      </c>
      <c r="P47" s="3921">
        <f t="shared" si="14"/>
        <v>0</v>
      </c>
      <c r="Q47" s="3921">
        <f t="shared" si="14"/>
        <v>25441.919999999998</v>
      </c>
      <c r="R47" s="3922">
        <v>2500</v>
      </c>
      <c r="S47" s="3923">
        <v>150</v>
      </c>
      <c r="T47" s="3923">
        <v>0</v>
      </c>
      <c r="U47" s="3923">
        <v>0</v>
      </c>
      <c r="V47" s="3924">
        <f t="shared" si="6"/>
        <v>61802.464</v>
      </c>
      <c r="W47" s="3925">
        <v>2302</v>
      </c>
      <c r="X47" s="3925">
        <v>0</v>
      </c>
      <c r="Y47" s="3925">
        <v>1696</v>
      </c>
      <c r="Z47" s="3925"/>
      <c r="AA47" s="3925"/>
      <c r="AB47" s="3926"/>
      <c r="AC47" s="3927">
        <f t="shared" si="7"/>
        <v>3998</v>
      </c>
      <c r="AD47" s="3926">
        <f t="shared" si="11"/>
        <v>31408.544000000002</v>
      </c>
      <c r="AE47" s="3926">
        <f t="shared" si="11"/>
        <v>0</v>
      </c>
      <c r="AF47" s="3926">
        <f t="shared" si="11"/>
        <v>23745.919999999998</v>
      </c>
      <c r="AG47" s="3926">
        <f t="shared" si="11"/>
        <v>2500</v>
      </c>
      <c r="AH47" s="3926">
        <f t="shared" si="11"/>
        <v>150</v>
      </c>
      <c r="AI47" s="3926">
        <f t="shared" si="11"/>
        <v>0</v>
      </c>
      <c r="AJ47" s="3926">
        <f t="shared" si="8"/>
        <v>0</v>
      </c>
      <c r="AK47" s="3928">
        <f t="shared" si="9"/>
        <v>57804.464</v>
      </c>
      <c r="AL47" s="3929">
        <f>SUMIF([3]租约表对应的会计账!$C$5:$C$164,B47,[3]租约表对应的会计账!$D$5:$D$164)</f>
        <v>32256</v>
      </c>
      <c r="AM47" s="3930">
        <f>SUMIF([3]租约表对应的会计账!$H$5:$H$164,B47,[3]租约表对应的会计账!$I$5:$I$164)</f>
        <v>0</v>
      </c>
      <c r="AN47" s="3929">
        <f>SUMIF([3]租约表对应的会计账!$S$5:$S$164,B47,[3]租约表对应的会计账!$T$5:$T$164)</f>
        <v>23746</v>
      </c>
      <c r="AO47" s="3929">
        <f>SUMIF([3]租约表对应的会计账!$X$5:$X$164,B47,[3]租约表对应的会计账!$Y$5:$Y$164)</f>
        <v>2500</v>
      </c>
      <c r="AP47" s="3929">
        <f>SUMIF([3]租约表对应的会计账!$AC$5:$AC$164,[3]租约表!B47,[3]租约表对应的会计账!$AD$5:$AD$164)</f>
        <v>150</v>
      </c>
      <c r="AQ47" s="3929">
        <f>SUMIF([3]租约表对应的会计账!$AH$5:$AH$164,[3]租约表!B47,[3]租约表对应的会计账!$AI$5:$AI$164)</f>
        <v>0</v>
      </c>
      <c r="AR47" s="3929">
        <f t="shared" si="10"/>
        <v>58652</v>
      </c>
      <c r="AS47" s="3929">
        <f t="shared" si="12"/>
        <v>-847.45599999999831</v>
      </c>
      <c r="AT47" s="3929">
        <f t="shared" si="12"/>
        <v>0</v>
      </c>
      <c r="AU47" s="3929">
        <f t="shared" si="12"/>
        <v>-8.000000000174623E-2</v>
      </c>
      <c r="AV47" s="3929">
        <f t="shared" si="12"/>
        <v>0</v>
      </c>
      <c r="AW47" s="3929">
        <f t="shared" si="12"/>
        <v>0</v>
      </c>
      <c r="AX47" s="3929">
        <f t="shared" si="12"/>
        <v>0</v>
      </c>
      <c r="AY47" s="3929">
        <f t="shared" si="2"/>
        <v>-847.53600000000006</v>
      </c>
      <c r="AZ47" s="3915"/>
    </row>
    <row r="48" spans="1:52" s="3931" customFormat="1" ht="60" customHeight="1">
      <c r="A48" s="3932">
        <v>2</v>
      </c>
      <c r="B48" s="3911">
        <v>2106</v>
      </c>
      <c r="C48" s="3912" t="s">
        <v>4015</v>
      </c>
      <c r="D48" s="3912"/>
      <c r="E48" s="3912">
        <v>44977</v>
      </c>
      <c r="F48" s="3912">
        <v>45747</v>
      </c>
      <c r="G48" s="3914">
        <f t="shared" si="3"/>
        <v>2.1095890410958904</v>
      </c>
      <c r="H48" s="3936" t="s">
        <v>4016</v>
      </c>
      <c r="I48" s="3916">
        <v>109.28</v>
      </c>
      <c r="J48" s="3937">
        <v>3.05</v>
      </c>
      <c r="K48" s="3918"/>
      <c r="L48" s="3918">
        <v>2.8</v>
      </c>
      <c r="M48" s="3919">
        <f t="shared" si="13"/>
        <v>5.85</v>
      </c>
      <c r="N48" s="3920">
        <v>90</v>
      </c>
      <c r="O48" s="3921">
        <f t="shared" si="14"/>
        <v>29997.359999999997</v>
      </c>
      <c r="P48" s="3921">
        <f t="shared" si="14"/>
        <v>0</v>
      </c>
      <c r="Q48" s="3921">
        <f t="shared" si="14"/>
        <v>27538.559999999998</v>
      </c>
      <c r="R48" s="3922">
        <v>833</v>
      </c>
      <c r="S48" s="3923">
        <v>50</v>
      </c>
      <c r="T48" s="3923">
        <v>0</v>
      </c>
      <c r="U48" s="3923">
        <v>0</v>
      </c>
      <c r="V48" s="3924">
        <f t="shared" si="6"/>
        <v>58418.92</v>
      </c>
      <c r="W48" s="3925">
        <v>0</v>
      </c>
      <c r="X48" s="3925">
        <v>0</v>
      </c>
      <c r="Y48" s="3925">
        <v>1836</v>
      </c>
      <c r="Z48" s="3925"/>
      <c r="AA48" s="3925"/>
      <c r="AB48" s="3926"/>
      <c r="AC48" s="3927">
        <f t="shared" si="7"/>
        <v>1836</v>
      </c>
      <c r="AD48" s="3926">
        <f t="shared" si="11"/>
        <v>29997.359999999997</v>
      </c>
      <c r="AE48" s="3926">
        <f t="shared" si="11"/>
        <v>0</v>
      </c>
      <c r="AF48" s="3926">
        <f t="shared" si="11"/>
        <v>25702.559999999998</v>
      </c>
      <c r="AG48" s="3926">
        <f t="shared" si="11"/>
        <v>833</v>
      </c>
      <c r="AH48" s="3926">
        <f t="shared" si="11"/>
        <v>50</v>
      </c>
      <c r="AI48" s="3926">
        <f t="shared" si="11"/>
        <v>0</v>
      </c>
      <c r="AJ48" s="3926">
        <f t="shared" si="8"/>
        <v>0</v>
      </c>
      <c r="AK48" s="3928">
        <f t="shared" si="9"/>
        <v>56582.92</v>
      </c>
      <c r="AL48" s="3929">
        <f>SUMIF([3]租约表对应的会计账!$C$5:$C$164,B48,[3]租约表对应的会计账!$D$5:$D$164)</f>
        <v>22225</v>
      </c>
      <c r="AM48" s="3930">
        <f>SUMIF([3]租约表对应的会计账!$H$5:$H$164,B48,[3]租约表对应的会计账!$I$5:$I$164)</f>
        <v>0</v>
      </c>
      <c r="AN48" s="3929">
        <f>SUMIF([3]租约表对应的会计账!$S$5:$S$164,B48,[3]租约表对应的会计账!$T$5:$T$164)</f>
        <v>36156</v>
      </c>
      <c r="AO48" s="3929">
        <f>SUMIF([3]租约表对应的会计账!$X$5:$X$164,B48,[3]租约表对应的会计账!$Y$5:$Y$164)</f>
        <v>5154</v>
      </c>
      <c r="AP48" s="3929">
        <f>SUMIF([3]租约表对应的会计账!$AC$5:$AC$164,[3]租约表!B48,[3]租约表对应的会计账!$AD$5:$AD$164)</f>
        <v>166</v>
      </c>
      <c r="AQ48" s="3929">
        <f>SUMIF([3]租约表对应的会计账!$AH$5:$AH$164,[3]租约表!B48,[3]租约表对应的会计账!$AI$5:$AI$164)</f>
        <v>0</v>
      </c>
      <c r="AR48" s="3929">
        <f t="shared" si="10"/>
        <v>63701</v>
      </c>
      <c r="AS48" s="3929">
        <f t="shared" si="12"/>
        <v>7772.3599999999969</v>
      </c>
      <c r="AT48" s="3929">
        <f t="shared" si="12"/>
        <v>0</v>
      </c>
      <c r="AU48" s="3929">
        <f t="shared" si="12"/>
        <v>-10453.440000000002</v>
      </c>
      <c r="AV48" s="3929">
        <f t="shared" si="12"/>
        <v>-4321</v>
      </c>
      <c r="AW48" s="3929">
        <f t="shared" si="12"/>
        <v>-116</v>
      </c>
      <c r="AX48" s="3929">
        <f t="shared" si="12"/>
        <v>0</v>
      </c>
      <c r="AY48" s="3929">
        <f t="shared" si="2"/>
        <v>-7118.0800000000054</v>
      </c>
      <c r="AZ48" s="3915" t="s">
        <v>4017</v>
      </c>
    </row>
    <row r="49" spans="1:52" s="3931" customFormat="1" ht="60" customHeight="1">
      <c r="A49" s="3910" t="s">
        <v>3997</v>
      </c>
      <c r="B49" s="3911">
        <v>2107</v>
      </c>
      <c r="C49" s="3912" t="s">
        <v>4018</v>
      </c>
      <c r="D49" s="3912"/>
      <c r="E49" s="3913">
        <v>44835</v>
      </c>
      <c r="F49" s="3938">
        <v>45746</v>
      </c>
      <c r="G49" s="3914">
        <f t="shared" si="3"/>
        <v>2.495890410958904</v>
      </c>
      <c r="H49" s="3939" t="s">
        <v>4019</v>
      </c>
      <c r="I49" s="3916">
        <v>383.2</v>
      </c>
      <c r="J49" s="3917">
        <v>5</v>
      </c>
      <c r="K49" s="3918"/>
      <c r="L49" s="3918">
        <v>2.8</v>
      </c>
      <c r="M49" s="3919">
        <f t="shared" si="13"/>
        <v>7.8</v>
      </c>
      <c r="N49" s="3920">
        <v>90</v>
      </c>
      <c r="O49" s="3921">
        <f t="shared" si="14"/>
        <v>172440</v>
      </c>
      <c r="P49" s="3921">
        <f t="shared" si="14"/>
        <v>0</v>
      </c>
      <c r="Q49" s="3921">
        <f t="shared" si="14"/>
        <v>96566.39999999998</v>
      </c>
      <c r="R49" s="3922">
        <v>0</v>
      </c>
      <c r="S49" s="3923">
        <v>0</v>
      </c>
      <c r="T49" s="3923">
        <v>0</v>
      </c>
      <c r="U49" s="3923">
        <v>0</v>
      </c>
      <c r="V49" s="3924">
        <f t="shared" si="6"/>
        <v>269006.39999999997</v>
      </c>
      <c r="W49" s="3925">
        <v>0</v>
      </c>
      <c r="X49" s="3925">
        <v>0</v>
      </c>
      <c r="Y49" s="3925">
        <v>0</v>
      </c>
      <c r="Z49" s="3925"/>
      <c r="AA49" s="3925"/>
      <c r="AB49" s="3926"/>
      <c r="AC49" s="3927">
        <f t="shared" si="7"/>
        <v>0</v>
      </c>
      <c r="AD49" s="3926">
        <f t="shared" si="11"/>
        <v>172440</v>
      </c>
      <c r="AE49" s="3926">
        <f t="shared" si="11"/>
        <v>0</v>
      </c>
      <c r="AF49" s="3926">
        <f t="shared" si="11"/>
        <v>96566.39999999998</v>
      </c>
      <c r="AG49" s="3926">
        <f t="shared" si="11"/>
        <v>0</v>
      </c>
      <c r="AH49" s="3926">
        <f t="shared" si="11"/>
        <v>0</v>
      </c>
      <c r="AI49" s="3926">
        <f t="shared" si="11"/>
        <v>0</v>
      </c>
      <c r="AJ49" s="3926">
        <f t="shared" si="8"/>
        <v>0</v>
      </c>
      <c r="AK49" s="3928">
        <f t="shared" si="9"/>
        <v>269006.39999999997</v>
      </c>
      <c r="AL49" s="3929">
        <f>SUMIF([3]租约表对应的会计账!$C$5:$C$164,B49,[3]租约表对应的会计账!$D$5:$D$164)</f>
        <v>0</v>
      </c>
      <c r="AM49" s="3930">
        <f>SUMIF([3]租约表对应的会计账!$H$5:$H$164,B49,[3]租约表对应的会计账!$I$5:$I$164)</f>
        <v>0</v>
      </c>
      <c r="AN49" s="3929">
        <f>SUMIF([3]租约表对应的会计账!$S$5:$S$164,B49,[3]租约表对应的会计账!$T$5:$T$164)</f>
        <v>0</v>
      </c>
      <c r="AO49" s="3929">
        <f>SUMIF([3]租约表对应的会计账!$X$5:$X$164,B49,[3]租约表对应的会计账!$Y$5:$Y$164)</f>
        <v>0</v>
      </c>
      <c r="AP49" s="3929">
        <f>SUMIF([3]租约表对应的会计账!$AC$5:$AC$164,[3]租约表!B49,[3]租约表对应的会计账!$AD$5:$AD$164)</f>
        <v>0</v>
      </c>
      <c r="AQ49" s="3929">
        <f>SUMIF([3]租约表对应的会计账!$AH$5:$AH$164,[3]租约表!B49,[3]租约表对应的会计账!$AI$5:$AI$164)</f>
        <v>0</v>
      </c>
      <c r="AR49" s="3929">
        <f t="shared" si="10"/>
        <v>0</v>
      </c>
      <c r="AS49" s="3929">
        <f t="shared" si="12"/>
        <v>172440</v>
      </c>
      <c r="AT49" s="3929">
        <f t="shared" si="12"/>
        <v>0</v>
      </c>
      <c r="AU49" s="3929">
        <f t="shared" si="12"/>
        <v>96566.39999999998</v>
      </c>
      <c r="AV49" s="3929">
        <f t="shared" si="12"/>
        <v>0</v>
      </c>
      <c r="AW49" s="3929">
        <f t="shared" si="12"/>
        <v>0</v>
      </c>
      <c r="AX49" s="3929">
        <f t="shared" si="12"/>
        <v>0</v>
      </c>
      <c r="AY49" s="3929">
        <f t="shared" si="2"/>
        <v>269006.39999999997</v>
      </c>
      <c r="AZ49" s="3915" t="s">
        <v>3975</v>
      </c>
    </row>
    <row r="50" spans="1:52" s="3931" customFormat="1" ht="60" customHeight="1">
      <c r="A50" s="3910" t="s">
        <v>3997</v>
      </c>
      <c r="B50" s="3911">
        <v>2128</v>
      </c>
      <c r="C50" s="3912" t="s">
        <v>3579</v>
      </c>
      <c r="D50" s="3912"/>
      <c r="E50" s="3913">
        <v>44577</v>
      </c>
      <c r="F50" s="3913">
        <v>45382</v>
      </c>
      <c r="G50" s="3914">
        <f t="shared" si="3"/>
        <v>2.2054794520547945</v>
      </c>
      <c r="H50" s="3915" t="s">
        <v>4020</v>
      </c>
      <c r="I50" s="3916">
        <v>355.36</v>
      </c>
      <c r="J50" s="3917">
        <v>3.6</v>
      </c>
      <c r="K50" s="3918">
        <v>6</v>
      </c>
      <c r="L50" s="3918">
        <v>2.8</v>
      </c>
      <c r="M50" s="3919">
        <f t="shared" si="13"/>
        <v>12.399999999999999</v>
      </c>
      <c r="N50" s="3920">
        <v>90</v>
      </c>
      <c r="O50" s="3921">
        <f t="shared" si="14"/>
        <v>115136.64</v>
      </c>
      <c r="P50" s="3921">
        <f t="shared" si="14"/>
        <v>191894.39999999999</v>
      </c>
      <c r="Q50" s="3921">
        <f t="shared" si="14"/>
        <v>89550.719999999987</v>
      </c>
      <c r="R50" s="3922">
        <v>2500</v>
      </c>
      <c r="S50" s="3923">
        <v>150</v>
      </c>
      <c r="T50" s="3923">
        <v>0</v>
      </c>
      <c r="U50" s="3923">
        <v>0</v>
      </c>
      <c r="V50" s="3924">
        <f t="shared" si="6"/>
        <v>399231.75999999995</v>
      </c>
      <c r="W50" s="3925">
        <v>7676</v>
      </c>
      <c r="X50" s="3925">
        <v>12793</v>
      </c>
      <c r="Y50" s="3925">
        <v>5970</v>
      </c>
      <c r="Z50" s="3925"/>
      <c r="AA50" s="3925"/>
      <c r="AB50" s="3926"/>
      <c r="AC50" s="3927">
        <f t="shared" si="7"/>
        <v>26439</v>
      </c>
      <c r="AD50" s="3926">
        <f t="shared" si="11"/>
        <v>107460.64</v>
      </c>
      <c r="AE50" s="3926">
        <f t="shared" si="11"/>
        <v>179101.4</v>
      </c>
      <c r="AF50" s="3926">
        <f t="shared" si="11"/>
        <v>83580.719999999987</v>
      </c>
      <c r="AG50" s="3926">
        <f t="shared" si="11"/>
        <v>2500</v>
      </c>
      <c r="AH50" s="3926">
        <f t="shared" si="11"/>
        <v>150</v>
      </c>
      <c r="AI50" s="3926">
        <f t="shared" si="11"/>
        <v>0</v>
      </c>
      <c r="AJ50" s="3926">
        <f t="shared" si="8"/>
        <v>0</v>
      </c>
      <c r="AK50" s="3928">
        <f t="shared" si="9"/>
        <v>372792.75999999995</v>
      </c>
      <c r="AL50" s="3929">
        <f>SUMIF([3]租约表对应的会计账!$C$5:$C$164,B50,[3]租约表对应的会计账!$D$5:$D$164)</f>
        <v>115137</v>
      </c>
      <c r="AM50" s="3930">
        <f>SUMIF([3]租约表对应的会计账!$H$5:$H$164,B50,[3]租约表对应的会计账!$I$5:$I$164)</f>
        <v>191894</v>
      </c>
      <c r="AN50" s="3929">
        <f>SUMIF([3]租约表对应的会计账!$S$5:$S$164,B50,[3]租约表对应的会计账!$T$5:$T$164)</f>
        <v>89551</v>
      </c>
      <c r="AO50" s="3929">
        <f>SUMIF([3]租约表对应的会计账!$X$5:$X$164,B50,[3]租约表对应的会计账!$Y$5:$Y$164)</f>
        <v>2500</v>
      </c>
      <c r="AP50" s="3929">
        <f>SUMIF([3]租约表对应的会计账!$AC$5:$AC$164,[3]租约表!B50,[3]租约表对应的会计账!$AD$5:$AD$164)</f>
        <v>150</v>
      </c>
      <c r="AQ50" s="3929">
        <f>SUMIF([3]租约表对应的会计账!$AH$5:$AH$164,[3]租约表!B50,[3]租约表对应的会计账!$AI$5:$AI$164)</f>
        <v>0</v>
      </c>
      <c r="AR50" s="3929">
        <f t="shared" si="10"/>
        <v>399232</v>
      </c>
      <c r="AS50" s="3929">
        <f t="shared" si="12"/>
        <v>-7676.3600000000006</v>
      </c>
      <c r="AT50" s="3929">
        <f t="shared" si="12"/>
        <v>-12792.600000000006</v>
      </c>
      <c r="AU50" s="3929">
        <f t="shared" si="12"/>
        <v>-5970.2800000000134</v>
      </c>
      <c r="AV50" s="3929">
        <f t="shared" si="12"/>
        <v>0</v>
      </c>
      <c r="AW50" s="3929">
        <f t="shared" si="12"/>
        <v>0</v>
      </c>
      <c r="AX50" s="3929">
        <f t="shared" si="12"/>
        <v>0</v>
      </c>
      <c r="AY50" s="3929">
        <f t="shared" si="2"/>
        <v>-26439.24000000002</v>
      </c>
      <c r="AZ50" s="3915" t="s">
        <v>4021</v>
      </c>
    </row>
    <row r="51" spans="1:52" s="3931" customFormat="1" ht="60" customHeight="1">
      <c r="A51" s="3910" t="s">
        <v>3997</v>
      </c>
      <c r="B51" s="3911">
        <v>2137</v>
      </c>
      <c r="C51" s="3912" t="s">
        <v>3614</v>
      </c>
      <c r="D51" s="3912" t="s">
        <v>3615</v>
      </c>
      <c r="E51" s="3913">
        <v>44577</v>
      </c>
      <c r="F51" s="3913">
        <v>45382</v>
      </c>
      <c r="G51" s="3914">
        <f t="shared" si="3"/>
        <v>2.2054794520547945</v>
      </c>
      <c r="H51" s="3915" t="s">
        <v>4022</v>
      </c>
      <c r="I51" s="3916">
        <v>116.32</v>
      </c>
      <c r="J51" s="3917">
        <v>2.5</v>
      </c>
      <c r="K51" s="3918">
        <v>6</v>
      </c>
      <c r="L51" s="3918">
        <v>2.8</v>
      </c>
      <c r="M51" s="3919">
        <f t="shared" si="13"/>
        <v>11.3</v>
      </c>
      <c r="N51" s="3920">
        <v>90</v>
      </c>
      <c r="O51" s="3921">
        <f t="shared" si="14"/>
        <v>26171.999999999996</v>
      </c>
      <c r="P51" s="3921">
        <f t="shared" si="14"/>
        <v>62812.799999999996</v>
      </c>
      <c r="Q51" s="3921">
        <f t="shared" si="14"/>
        <v>29312.639999999996</v>
      </c>
      <c r="R51" s="3922">
        <v>2500</v>
      </c>
      <c r="S51" s="3923">
        <v>150</v>
      </c>
      <c r="T51" s="3923">
        <v>0</v>
      </c>
      <c r="U51" s="3923">
        <v>0</v>
      </c>
      <c r="V51" s="3924">
        <f t="shared" si="6"/>
        <v>120947.43999999999</v>
      </c>
      <c r="W51" s="3925">
        <v>1724</v>
      </c>
      <c r="X51" s="3925">
        <v>4188</v>
      </c>
      <c r="Y51" s="3925">
        <v>1954</v>
      </c>
      <c r="Z51" s="3925"/>
      <c r="AA51" s="3925"/>
      <c r="AB51" s="3926"/>
      <c r="AC51" s="3927">
        <f t="shared" si="7"/>
        <v>7866</v>
      </c>
      <c r="AD51" s="3926">
        <f t="shared" si="11"/>
        <v>24447.999999999996</v>
      </c>
      <c r="AE51" s="3926">
        <f t="shared" si="11"/>
        <v>58624.799999999996</v>
      </c>
      <c r="AF51" s="3926">
        <f t="shared" si="11"/>
        <v>27358.639999999996</v>
      </c>
      <c r="AG51" s="3926">
        <f t="shared" si="11"/>
        <v>2500</v>
      </c>
      <c r="AH51" s="3926">
        <f t="shared" si="11"/>
        <v>150</v>
      </c>
      <c r="AI51" s="3926">
        <f t="shared" si="11"/>
        <v>0</v>
      </c>
      <c r="AJ51" s="3926">
        <f t="shared" si="8"/>
        <v>0</v>
      </c>
      <c r="AK51" s="3928">
        <f t="shared" si="9"/>
        <v>113081.43999999999</v>
      </c>
      <c r="AL51" s="3929">
        <f>SUMIF([3]租约表对应的会计账!$C$5:$C$164,B51,[3]租约表对应的会计账!$D$5:$D$164)</f>
        <v>24103</v>
      </c>
      <c r="AM51" s="3930">
        <f>SUMIF([3]租约表对应的会计账!$H$5:$H$164,B51,[3]租约表对应的会计账!$I$5:$I$164)</f>
        <v>60021</v>
      </c>
      <c r="AN51" s="3929">
        <f>SUMIF([3]租约表对应的会计账!$S$5:$S$164,B51,[3]租约表对应的会计账!$T$5:$T$164)</f>
        <v>28010</v>
      </c>
      <c r="AO51" s="3929">
        <f>SUMIF([3]租约表对应的会计账!$X$5:$X$164,B51,[3]租约表对应的会计账!$Y$5:$Y$164)</f>
        <v>2500</v>
      </c>
      <c r="AP51" s="3929">
        <f>SUMIF([3]租约表对应的会计账!$AC$5:$AC$164,[3]租约表!B51,[3]租约表对应的会计账!$AD$5:$AD$164)</f>
        <v>150</v>
      </c>
      <c r="AQ51" s="3929">
        <f>SUMIF([3]租约表对应的会计账!$AH$5:$AH$164,[3]租约表!B51,[3]租约表对应的会计账!$AI$5:$AI$164)</f>
        <v>0</v>
      </c>
      <c r="AR51" s="3929">
        <f t="shared" si="10"/>
        <v>114784</v>
      </c>
      <c r="AS51" s="3929">
        <f t="shared" ref="AS51:AX82" si="15">AD51-AL51</f>
        <v>344.99999999999636</v>
      </c>
      <c r="AT51" s="3929">
        <f t="shared" si="15"/>
        <v>-1396.2000000000044</v>
      </c>
      <c r="AU51" s="3929">
        <f t="shared" si="15"/>
        <v>-651.36000000000422</v>
      </c>
      <c r="AV51" s="3929">
        <f t="shared" si="15"/>
        <v>0</v>
      </c>
      <c r="AW51" s="3929">
        <f t="shared" si="15"/>
        <v>0</v>
      </c>
      <c r="AX51" s="3929">
        <f t="shared" si="15"/>
        <v>0</v>
      </c>
      <c r="AY51" s="3929">
        <f t="shared" si="2"/>
        <v>-1702.5600000000122</v>
      </c>
      <c r="AZ51" s="3915" t="s">
        <v>3967</v>
      </c>
    </row>
    <row r="52" spans="1:52" s="3931" customFormat="1" ht="60" customHeight="1">
      <c r="A52" s="3910" t="s">
        <v>3997</v>
      </c>
      <c r="B52" s="3911">
        <v>2141</v>
      </c>
      <c r="C52" s="3912" t="s">
        <v>3616</v>
      </c>
      <c r="D52" s="3912" t="s">
        <v>3617</v>
      </c>
      <c r="E52" s="3913">
        <v>44577</v>
      </c>
      <c r="F52" s="3913">
        <v>45382</v>
      </c>
      <c r="G52" s="3914">
        <f t="shared" si="3"/>
        <v>2.2054794520547945</v>
      </c>
      <c r="H52" s="3915" t="s">
        <v>4023</v>
      </c>
      <c r="I52" s="3916">
        <v>150.88</v>
      </c>
      <c r="J52" s="3917">
        <v>4.2699999999999996</v>
      </c>
      <c r="K52" s="3918">
        <v>6</v>
      </c>
      <c r="L52" s="3918">
        <v>2.8</v>
      </c>
      <c r="M52" s="3919">
        <f t="shared" si="13"/>
        <v>13.07</v>
      </c>
      <c r="N52" s="3920">
        <v>90</v>
      </c>
      <c r="O52" s="3921">
        <f t="shared" si="14"/>
        <v>57983.183999999994</v>
      </c>
      <c r="P52" s="3921">
        <f t="shared" si="14"/>
        <v>81475.199999999997</v>
      </c>
      <c r="Q52" s="3921">
        <f t="shared" si="14"/>
        <v>38021.759999999995</v>
      </c>
      <c r="R52" s="3922">
        <v>2500</v>
      </c>
      <c r="S52" s="3923">
        <v>150</v>
      </c>
      <c r="T52" s="3923">
        <v>0</v>
      </c>
      <c r="U52" s="3923">
        <v>0</v>
      </c>
      <c r="V52" s="3924">
        <f t="shared" si="6"/>
        <v>180130.14399999997</v>
      </c>
      <c r="W52" s="3925">
        <v>3920</v>
      </c>
      <c r="X52" s="3925">
        <v>5432</v>
      </c>
      <c r="Y52" s="3925">
        <v>2535</v>
      </c>
      <c r="Z52" s="3925"/>
      <c r="AA52" s="3925"/>
      <c r="AB52" s="3926"/>
      <c r="AC52" s="3927">
        <f t="shared" si="7"/>
        <v>11887</v>
      </c>
      <c r="AD52" s="3926">
        <f t="shared" si="11"/>
        <v>54063.183999999994</v>
      </c>
      <c r="AE52" s="3926">
        <f t="shared" si="11"/>
        <v>76043.199999999997</v>
      </c>
      <c r="AF52" s="3926">
        <f t="shared" si="11"/>
        <v>35486.759999999995</v>
      </c>
      <c r="AG52" s="3926">
        <f t="shared" si="11"/>
        <v>2500</v>
      </c>
      <c r="AH52" s="3926">
        <f t="shared" si="11"/>
        <v>150</v>
      </c>
      <c r="AI52" s="3926">
        <f t="shared" si="11"/>
        <v>0</v>
      </c>
      <c r="AJ52" s="3926">
        <f t="shared" si="8"/>
        <v>0</v>
      </c>
      <c r="AK52" s="3928">
        <f t="shared" si="9"/>
        <v>168243.14399999997</v>
      </c>
      <c r="AL52" s="3929">
        <f>SUMIF([3]租约表对应的会计账!$C$5:$C$164,B52,[3]租约表对应的会计账!$D$5:$D$164)</f>
        <v>54923</v>
      </c>
      <c r="AM52" s="3930">
        <f>SUMIF([3]租约表对应的会计账!$H$5:$H$164,B52,[3]租约表对应的会计账!$I$5:$I$164)</f>
        <v>77175</v>
      </c>
      <c r="AN52" s="3929">
        <f>SUMIF([3]租约表对应的会计账!$S$5:$S$164,B52,[3]租约表对应的会计账!$T$5:$T$164)</f>
        <v>36015</v>
      </c>
      <c r="AO52" s="3929">
        <f>SUMIF([3]租约表对应的会计账!$X$5:$X$164,B52,[3]租约表对应的会计账!$Y$5:$Y$164)</f>
        <v>2500</v>
      </c>
      <c r="AP52" s="3929">
        <f>SUMIF([3]租约表对应的会计账!$AC$5:$AC$164,[3]租约表!B52,[3]租约表对应的会计账!$AD$5:$AD$164)</f>
        <v>150</v>
      </c>
      <c r="AQ52" s="3929">
        <f>SUMIF([3]租约表对应的会计账!$AH$5:$AH$164,[3]租约表!B52,[3]租约表对应的会计账!$AI$5:$AI$164)</f>
        <v>0</v>
      </c>
      <c r="AR52" s="3929">
        <f t="shared" si="10"/>
        <v>170763</v>
      </c>
      <c r="AS52" s="3929">
        <f t="shared" si="15"/>
        <v>-859.81600000000617</v>
      </c>
      <c r="AT52" s="3929">
        <f t="shared" si="15"/>
        <v>-1131.8000000000029</v>
      </c>
      <c r="AU52" s="3929">
        <f t="shared" si="15"/>
        <v>-528.24000000000524</v>
      </c>
      <c r="AV52" s="3929">
        <f t="shared" si="15"/>
        <v>0</v>
      </c>
      <c r="AW52" s="3929">
        <f t="shared" si="15"/>
        <v>0</v>
      </c>
      <c r="AX52" s="3929">
        <f t="shared" si="15"/>
        <v>0</v>
      </c>
      <c r="AY52" s="3929">
        <f t="shared" si="2"/>
        <v>-2519.8560000000143</v>
      </c>
      <c r="AZ52" s="3915" t="s">
        <v>3967</v>
      </c>
    </row>
    <row r="53" spans="1:52" s="3931" customFormat="1" ht="60" customHeight="1">
      <c r="A53" s="3932">
        <v>2</v>
      </c>
      <c r="B53" s="3911" t="s">
        <v>4024</v>
      </c>
      <c r="C53" s="3912" t="s">
        <v>4025</v>
      </c>
      <c r="D53" s="3912" t="s">
        <v>4026</v>
      </c>
      <c r="E53" s="3913">
        <v>44915</v>
      </c>
      <c r="F53" s="3913">
        <v>45096</v>
      </c>
      <c r="G53" s="3914">
        <f t="shared" si="3"/>
        <v>0.49589041095890413</v>
      </c>
      <c r="H53" s="3915" t="s">
        <v>4027</v>
      </c>
      <c r="I53" s="3916">
        <v>13.41</v>
      </c>
      <c r="J53" s="3917"/>
      <c r="K53" s="3918"/>
      <c r="L53" s="3918">
        <v>2.8</v>
      </c>
      <c r="M53" s="3919">
        <f t="shared" si="13"/>
        <v>2.8</v>
      </c>
      <c r="N53" s="3920">
        <v>90</v>
      </c>
      <c r="O53" s="3921">
        <f t="shared" si="14"/>
        <v>0</v>
      </c>
      <c r="P53" s="3921">
        <f t="shared" si="14"/>
        <v>0</v>
      </c>
      <c r="Q53" s="3921">
        <f t="shared" si="14"/>
        <v>3379.3199999999997</v>
      </c>
      <c r="R53" s="3922">
        <v>0</v>
      </c>
      <c r="S53" s="3923">
        <v>0</v>
      </c>
      <c r="T53" s="3923">
        <v>0</v>
      </c>
      <c r="U53" s="3923">
        <v>0</v>
      </c>
      <c r="V53" s="3924">
        <f t="shared" si="6"/>
        <v>3379.3199999999997</v>
      </c>
      <c r="W53" s="3925">
        <v>0</v>
      </c>
      <c r="X53" s="3925">
        <v>0</v>
      </c>
      <c r="Y53" s="3925">
        <v>0</v>
      </c>
      <c r="Z53" s="3925"/>
      <c r="AA53" s="3925"/>
      <c r="AB53" s="3926"/>
      <c r="AC53" s="3927">
        <f t="shared" si="7"/>
        <v>0</v>
      </c>
      <c r="AD53" s="3926">
        <f t="shared" si="11"/>
        <v>0</v>
      </c>
      <c r="AE53" s="3926">
        <f t="shared" si="11"/>
        <v>0</v>
      </c>
      <c r="AF53" s="3926">
        <f t="shared" si="11"/>
        <v>3379.3199999999997</v>
      </c>
      <c r="AG53" s="3926">
        <f t="shared" si="11"/>
        <v>0</v>
      </c>
      <c r="AH53" s="3926">
        <f t="shared" si="11"/>
        <v>0</v>
      </c>
      <c r="AI53" s="3926">
        <f t="shared" si="11"/>
        <v>0</v>
      </c>
      <c r="AJ53" s="3926">
        <f t="shared" si="8"/>
        <v>0</v>
      </c>
      <c r="AK53" s="3928">
        <f t="shared" si="9"/>
        <v>3379.3199999999997</v>
      </c>
      <c r="AL53" s="3929">
        <f>SUMIF([3]租约表对应的会计账!$C$5:$C$164,B53,[3]租约表对应的会计账!$D$5:$D$164)</f>
        <v>399.6</v>
      </c>
      <c r="AM53" s="3930">
        <f>SUMIF([3]租约表对应的会计账!$H$5:$H$164,B53,[3]租约表对应的会计账!$I$5:$I$164)</f>
        <v>0</v>
      </c>
      <c r="AN53" s="3929">
        <f>SUMIF([3]租约表对应的会计账!$S$5:$S$164,B53,[3]租约表对应的会计账!$T$5:$T$164)</f>
        <v>0</v>
      </c>
      <c r="AO53" s="3929">
        <f>SUMIF([3]租约表对应的会计账!$X$5:$X$164,B53,[3]租约表对应的会计账!$Y$5:$Y$164)</f>
        <v>0</v>
      </c>
      <c r="AP53" s="3929">
        <f>SUMIF([3]租约表对应的会计账!$AC$5:$AC$164,[3]租约表!B53,[3]租约表对应的会计账!$AD$5:$AD$164)</f>
        <v>0</v>
      </c>
      <c r="AQ53" s="3929">
        <f>SUMIF([3]租约表对应的会计账!$AH$5:$AH$164,[3]租约表!B53,[3]租约表对应的会计账!$AI$5:$AI$164)</f>
        <v>0</v>
      </c>
      <c r="AR53" s="3929">
        <f t="shared" si="10"/>
        <v>399.6</v>
      </c>
      <c r="AS53" s="3929">
        <f t="shared" si="15"/>
        <v>-399.6</v>
      </c>
      <c r="AT53" s="3929">
        <f t="shared" si="15"/>
        <v>0</v>
      </c>
      <c r="AU53" s="3929">
        <f t="shared" si="15"/>
        <v>3379.3199999999997</v>
      </c>
      <c r="AV53" s="3929">
        <f t="shared" si="15"/>
        <v>0</v>
      </c>
      <c r="AW53" s="3929">
        <f t="shared" si="15"/>
        <v>0</v>
      </c>
      <c r="AX53" s="3929">
        <f t="shared" si="15"/>
        <v>0</v>
      </c>
      <c r="AY53" s="3929">
        <f t="shared" si="2"/>
        <v>2979.72</v>
      </c>
      <c r="AZ53" s="3915" t="s">
        <v>4000</v>
      </c>
    </row>
    <row r="54" spans="1:52" s="3931" customFormat="1" ht="60" customHeight="1">
      <c r="A54" s="3910" t="s">
        <v>4028</v>
      </c>
      <c r="B54" s="3911">
        <v>3003</v>
      </c>
      <c r="C54" s="3912" t="s">
        <v>3618</v>
      </c>
      <c r="D54" s="3912" t="s">
        <v>3619</v>
      </c>
      <c r="E54" s="3913">
        <v>44835</v>
      </c>
      <c r="F54" s="3913">
        <v>45565</v>
      </c>
      <c r="G54" s="3914">
        <f t="shared" si="3"/>
        <v>2</v>
      </c>
      <c r="H54" s="3915" t="s">
        <v>4029</v>
      </c>
      <c r="I54" s="3916">
        <v>284.3</v>
      </c>
      <c r="J54" s="3917">
        <v>4.2</v>
      </c>
      <c r="K54" s="3918">
        <v>3</v>
      </c>
      <c r="L54" s="3918">
        <v>2.8</v>
      </c>
      <c r="M54" s="3919">
        <f t="shared" si="13"/>
        <v>10</v>
      </c>
      <c r="N54" s="3920">
        <v>90</v>
      </c>
      <c r="O54" s="3921">
        <f t="shared" si="14"/>
        <v>107465.40000000001</v>
      </c>
      <c r="P54" s="3921">
        <f t="shared" si="14"/>
        <v>76761.000000000015</v>
      </c>
      <c r="Q54" s="3921">
        <f t="shared" si="14"/>
        <v>71643.599999999991</v>
      </c>
      <c r="R54" s="3922">
        <v>2500</v>
      </c>
      <c r="S54" s="3923">
        <v>150</v>
      </c>
      <c r="T54" s="3923">
        <v>0</v>
      </c>
      <c r="U54" s="3923">
        <v>0</v>
      </c>
      <c r="V54" s="3924">
        <f t="shared" si="6"/>
        <v>258520</v>
      </c>
      <c r="W54" s="3925">
        <v>7164</v>
      </c>
      <c r="X54" s="3925">
        <v>5117</v>
      </c>
      <c r="Y54" s="3925">
        <v>4776</v>
      </c>
      <c r="Z54" s="3925"/>
      <c r="AA54" s="3925"/>
      <c r="AB54" s="3926"/>
      <c r="AC54" s="3927">
        <f t="shared" si="7"/>
        <v>17057</v>
      </c>
      <c r="AD54" s="3926">
        <f t="shared" si="11"/>
        <v>100301.40000000001</v>
      </c>
      <c r="AE54" s="3926">
        <f t="shared" si="11"/>
        <v>71644.000000000015</v>
      </c>
      <c r="AF54" s="3926">
        <f t="shared" si="11"/>
        <v>66867.599999999991</v>
      </c>
      <c r="AG54" s="3926">
        <f t="shared" si="11"/>
        <v>2500</v>
      </c>
      <c r="AH54" s="3926">
        <f t="shared" si="11"/>
        <v>150</v>
      </c>
      <c r="AI54" s="3926">
        <f t="shared" si="11"/>
        <v>0</v>
      </c>
      <c r="AJ54" s="3926">
        <f t="shared" si="8"/>
        <v>0</v>
      </c>
      <c r="AK54" s="3928">
        <f t="shared" si="9"/>
        <v>241463</v>
      </c>
      <c r="AL54" s="3929">
        <f>SUMIF([3]租约表对应的会计账!$C$5:$C$164,B54,[3]租约表对应的会计账!$D$5:$D$164)</f>
        <v>100301</v>
      </c>
      <c r="AM54" s="3930">
        <f>SUMIF([3]租约表对应的会计账!$H$5:$H$164,B54,[3]租约表对应的会计账!$I$5:$I$164)</f>
        <v>71644</v>
      </c>
      <c r="AN54" s="3929">
        <f>SUMIF([3]租约表对应的会计账!$S$5:$S$164,B54,[3]租约表对应的会计账!$T$5:$T$164)</f>
        <v>66868</v>
      </c>
      <c r="AO54" s="3929">
        <f>SUMIF([3]租约表对应的会计账!$X$5:$X$164,B54,[3]租约表对应的会计账!$Y$5:$Y$164)</f>
        <v>2500</v>
      </c>
      <c r="AP54" s="3929">
        <f>SUMIF([3]租约表对应的会计账!$AC$5:$AC$164,[3]租约表!B54,[3]租约表对应的会计账!$AD$5:$AD$164)</f>
        <v>150</v>
      </c>
      <c r="AQ54" s="3929">
        <f>SUMIF([3]租约表对应的会计账!$AH$5:$AH$164,[3]租约表!B54,[3]租约表对应的会计账!$AI$5:$AI$164)</f>
        <v>0</v>
      </c>
      <c r="AR54" s="3929">
        <f t="shared" si="10"/>
        <v>241463</v>
      </c>
      <c r="AS54" s="3929">
        <f t="shared" si="15"/>
        <v>0.40000000000873115</v>
      </c>
      <c r="AT54" s="3929">
        <f t="shared" si="15"/>
        <v>0</v>
      </c>
      <c r="AU54" s="3929">
        <f t="shared" si="15"/>
        <v>-0.40000000000873115</v>
      </c>
      <c r="AV54" s="3929">
        <f t="shared" si="15"/>
        <v>0</v>
      </c>
      <c r="AW54" s="3929">
        <f t="shared" si="15"/>
        <v>0</v>
      </c>
      <c r="AX54" s="3929">
        <f t="shared" si="15"/>
        <v>0</v>
      </c>
      <c r="AY54" s="3929">
        <f t="shared" si="2"/>
        <v>0</v>
      </c>
      <c r="AZ54" s="3915" t="s">
        <v>3967</v>
      </c>
    </row>
    <row r="55" spans="1:52" s="3931" customFormat="1" ht="60" customHeight="1">
      <c r="A55" s="3910" t="s">
        <v>4028</v>
      </c>
      <c r="B55" s="3911">
        <v>3005</v>
      </c>
      <c r="C55" s="3912" t="s">
        <v>3620</v>
      </c>
      <c r="D55" s="3912"/>
      <c r="E55" s="3910">
        <v>43922</v>
      </c>
      <c r="F55" s="3940">
        <v>45747</v>
      </c>
      <c r="G55" s="3914">
        <f t="shared" si="3"/>
        <v>5</v>
      </c>
      <c r="H55" s="3915"/>
      <c r="I55" s="3916">
        <v>235.2</v>
      </c>
      <c r="J55" s="3941">
        <v>5.9</v>
      </c>
      <c r="K55" s="3942">
        <v>3</v>
      </c>
      <c r="L55" s="3942">
        <v>2.8</v>
      </c>
      <c r="M55" s="3919">
        <f t="shared" si="13"/>
        <v>11.7</v>
      </c>
      <c r="N55" s="3920">
        <v>90</v>
      </c>
      <c r="O55" s="3921">
        <f t="shared" si="14"/>
        <v>124891.20000000001</v>
      </c>
      <c r="P55" s="3921">
        <f t="shared" si="14"/>
        <v>63503.999999999993</v>
      </c>
      <c r="Q55" s="3921">
        <f t="shared" si="14"/>
        <v>59270.399999999994</v>
      </c>
      <c r="R55" s="3922">
        <v>0</v>
      </c>
      <c r="S55" s="3923">
        <v>0</v>
      </c>
      <c r="T55" s="3923">
        <v>0</v>
      </c>
      <c r="U55" s="3923">
        <v>0</v>
      </c>
      <c r="V55" s="3924">
        <f t="shared" si="6"/>
        <v>247665.6</v>
      </c>
      <c r="W55" s="3925">
        <v>0</v>
      </c>
      <c r="X55" s="3925">
        <v>0</v>
      </c>
      <c r="Y55" s="3925">
        <v>0</v>
      </c>
      <c r="Z55" s="3925"/>
      <c r="AA55" s="3925"/>
      <c r="AB55" s="3926"/>
      <c r="AC55" s="3927">
        <f t="shared" si="7"/>
        <v>0</v>
      </c>
      <c r="AD55" s="3926">
        <f t="shared" si="11"/>
        <v>124891.20000000001</v>
      </c>
      <c r="AE55" s="3926">
        <f t="shared" si="11"/>
        <v>63503.999999999993</v>
      </c>
      <c r="AF55" s="3926">
        <f t="shared" si="11"/>
        <v>59270.399999999994</v>
      </c>
      <c r="AG55" s="3926">
        <f t="shared" si="11"/>
        <v>0</v>
      </c>
      <c r="AH55" s="3926">
        <f t="shared" si="11"/>
        <v>0</v>
      </c>
      <c r="AI55" s="3926">
        <f t="shared" si="11"/>
        <v>0</v>
      </c>
      <c r="AJ55" s="3926">
        <f t="shared" si="8"/>
        <v>0</v>
      </c>
      <c r="AK55" s="3928">
        <f t="shared" si="9"/>
        <v>247665.6</v>
      </c>
      <c r="AL55" s="3929">
        <f>SUMIF([3]租约表对应的会计账!$C$5:$C$164,B55,[3]租约表对应的会计账!$D$5:$D$164)</f>
        <v>0</v>
      </c>
      <c r="AM55" s="3930">
        <f>SUMIF([3]租约表对应的会计账!$H$5:$H$164,B55,[3]租约表对应的会计账!$I$5:$I$164)</f>
        <v>0</v>
      </c>
      <c r="AN55" s="3929">
        <f>SUMIF([3]租约表对应的会计账!$S$5:$S$164,B55,[3]租约表对应的会计账!$T$5:$T$164)</f>
        <v>0</v>
      </c>
      <c r="AO55" s="3929">
        <f>SUMIF([3]租约表对应的会计账!$X$5:$X$164,B55,[3]租约表对应的会计账!$Y$5:$Y$164)</f>
        <v>0</v>
      </c>
      <c r="AP55" s="3929">
        <f>SUMIF([3]租约表对应的会计账!$AC$5:$AC$164,[3]租约表!B55,[3]租约表对应的会计账!$AD$5:$AD$164)</f>
        <v>0</v>
      </c>
      <c r="AQ55" s="3929">
        <f>SUMIF([3]租约表对应的会计账!$AH$5:$AH$164,[3]租约表!B55,[3]租约表对应的会计账!$AI$5:$AI$164)</f>
        <v>0</v>
      </c>
      <c r="AR55" s="3929">
        <f t="shared" si="10"/>
        <v>0</v>
      </c>
      <c r="AS55" s="3929">
        <f t="shared" si="15"/>
        <v>124891.20000000001</v>
      </c>
      <c r="AT55" s="3929">
        <f t="shared" si="15"/>
        <v>63503.999999999993</v>
      </c>
      <c r="AU55" s="3929">
        <f t="shared" si="15"/>
        <v>59270.399999999994</v>
      </c>
      <c r="AV55" s="3929">
        <f t="shared" si="15"/>
        <v>0</v>
      </c>
      <c r="AW55" s="3929">
        <f t="shared" si="15"/>
        <v>0</v>
      </c>
      <c r="AX55" s="3929">
        <f t="shared" si="15"/>
        <v>0</v>
      </c>
      <c r="AY55" s="3929">
        <f t="shared" si="2"/>
        <v>247665.6</v>
      </c>
      <c r="AZ55" s="3915" t="s">
        <v>3967</v>
      </c>
    </row>
    <row r="56" spans="1:52" s="3931" customFormat="1" ht="60" customHeight="1">
      <c r="A56" s="3910" t="s">
        <v>4028</v>
      </c>
      <c r="B56" s="3911">
        <v>3006</v>
      </c>
      <c r="C56" s="3912" t="s">
        <v>3621</v>
      </c>
      <c r="D56" s="3912" t="s">
        <v>3622</v>
      </c>
      <c r="E56" s="3913">
        <v>44078</v>
      </c>
      <c r="F56" s="3913">
        <v>45291</v>
      </c>
      <c r="G56" s="3914">
        <f t="shared" si="3"/>
        <v>3.3232876712328765</v>
      </c>
      <c r="H56" s="3915" t="s">
        <v>4030</v>
      </c>
      <c r="I56" s="3916">
        <v>1100</v>
      </c>
      <c r="J56" s="3917">
        <v>4.7</v>
      </c>
      <c r="K56" s="3918">
        <v>0</v>
      </c>
      <c r="L56" s="3918">
        <v>2.8</v>
      </c>
      <c r="M56" s="3919">
        <f t="shared" si="13"/>
        <v>7.5</v>
      </c>
      <c r="N56" s="3920">
        <v>90</v>
      </c>
      <c r="O56" s="3921">
        <f t="shared" si="14"/>
        <v>465300</v>
      </c>
      <c r="P56" s="3921">
        <f t="shared" si="14"/>
        <v>0</v>
      </c>
      <c r="Q56" s="3921">
        <f t="shared" si="14"/>
        <v>277200</v>
      </c>
      <c r="R56" s="3922">
        <v>7500</v>
      </c>
      <c r="S56" s="3923">
        <v>0</v>
      </c>
      <c r="T56" s="3923">
        <v>1800</v>
      </c>
      <c r="U56" s="3923">
        <v>450</v>
      </c>
      <c r="V56" s="3924">
        <f t="shared" si="6"/>
        <v>752250</v>
      </c>
      <c r="W56" s="3925">
        <v>192745</v>
      </c>
      <c r="X56" s="3925">
        <v>0</v>
      </c>
      <c r="Y56" s="3925">
        <v>0</v>
      </c>
      <c r="Z56" s="3925"/>
      <c r="AA56" s="3925"/>
      <c r="AB56" s="3926"/>
      <c r="AC56" s="3927">
        <f t="shared" si="7"/>
        <v>192745</v>
      </c>
      <c r="AD56" s="3926">
        <f t="shared" si="11"/>
        <v>272555</v>
      </c>
      <c r="AE56" s="3926">
        <f t="shared" si="11"/>
        <v>0</v>
      </c>
      <c r="AF56" s="3926">
        <f t="shared" si="11"/>
        <v>277200</v>
      </c>
      <c r="AG56" s="3926">
        <f t="shared" si="11"/>
        <v>7500</v>
      </c>
      <c r="AH56" s="3926">
        <f t="shared" si="11"/>
        <v>0</v>
      </c>
      <c r="AI56" s="3926">
        <f t="shared" si="11"/>
        <v>1800</v>
      </c>
      <c r="AJ56" s="3926">
        <f t="shared" si="8"/>
        <v>450</v>
      </c>
      <c r="AK56" s="3928">
        <f t="shared" si="9"/>
        <v>559505</v>
      </c>
      <c r="AL56" s="3929">
        <f>SUMIF([3]租约表对应的会计账!$C$5:$C$164,B56,[3]租约表对应的会计账!$D$5:$D$164)</f>
        <v>298950</v>
      </c>
      <c r="AM56" s="3930">
        <f>SUMIF([3]租约表对应的会计账!$H$5:$H$164,B56,[3]租约表对应的会计账!$I$5:$I$164)</f>
        <v>0</v>
      </c>
      <c r="AN56" s="3929">
        <f>SUMIF([3]租约表对应的会计账!$S$5:$S$164,B56,[3]租约表对应的会计账!$T$5:$T$164)</f>
        <v>281050</v>
      </c>
      <c r="AO56" s="3929">
        <f>SUMIF([3]租约表对应的会计账!$X$5:$X$164,B56,[3]租约表对应的会计账!$Y$5:$Y$164)</f>
        <v>7500</v>
      </c>
      <c r="AP56" s="3929">
        <f>SUMIF([3]租约表对应的会计账!$AC$5:$AC$164,[3]租约表!B56,[3]租约表对应的会计账!$AD$5:$AD$164)</f>
        <v>0</v>
      </c>
      <c r="AQ56" s="3929">
        <f>SUMIF([3]租约表对应的会计账!$AH$5:$AH$164,[3]租约表!B56,[3]租约表对应的会计账!$AI$5:$AI$164)</f>
        <v>1800</v>
      </c>
      <c r="AR56" s="3929">
        <f t="shared" si="10"/>
        <v>589300</v>
      </c>
      <c r="AS56" s="3929">
        <f t="shared" si="15"/>
        <v>-26395</v>
      </c>
      <c r="AT56" s="3929">
        <f t="shared" si="15"/>
        <v>0</v>
      </c>
      <c r="AU56" s="3929">
        <f t="shared" si="15"/>
        <v>-3850</v>
      </c>
      <c r="AV56" s="3929">
        <f t="shared" si="15"/>
        <v>0</v>
      </c>
      <c r="AW56" s="3929">
        <f t="shared" si="15"/>
        <v>0</v>
      </c>
      <c r="AX56" s="3929">
        <f t="shared" si="15"/>
        <v>0</v>
      </c>
      <c r="AY56" s="3929">
        <f t="shared" si="2"/>
        <v>-30245</v>
      </c>
      <c r="AZ56" s="3915" t="s">
        <v>4021</v>
      </c>
    </row>
    <row r="57" spans="1:52" s="3931" customFormat="1" ht="60" customHeight="1">
      <c r="A57" s="3932" t="s">
        <v>4028</v>
      </c>
      <c r="B57" s="3911">
        <v>3008</v>
      </c>
      <c r="C57" s="3912" t="s">
        <v>3623</v>
      </c>
      <c r="D57" s="3912" t="s">
        <v>3624</v>
      </c>
      <c r="E57" s="3913">
        <v>43070</v>
      </c>
      <c r="F57" s="3913">
        <v>45565</v>
      </c>
      <c r="G57" s="3914">
        <f t="shared" si="3"/>
        <v>6.8356164383561646</v>
      </c>
      <c r="H57" s="3915" t="s">
        <v>4031</v>
      </c>
      <c r="I57" s="3916">
        <v>657</v>
      </c>
      <c r="J57" s="3917">
        <v>5</v>
      </c>
      <c r="K57" s="3918">
        <v>3</v>
      </c>
      <c r="L57" s="3918">
        <v>2.8</v>
      </c>
      <c r="M57" s="3919">
        <f t="shared" si="13"/>
        <v>10.8</v>
      </c>
      <c r="N57" s="3920">
        <v>90</v>
      </c>
      <c r="O57" s="3921">
        <f t="shared" si="14"/>
        <v>295650</v>
      </c>
      <c r="P57" s="3921">
        <f t="shared" si="14"/>
        <v>177390</v>
      </c>
      <c r="Q57" s="3921">
        <f t="shared" si="14"/>
        <v>165564</v>
      </c>
      <c r="R57" s="3922">
        <v>2500</v>
      </c>
      <c r="S57" s="3923">
        <v>300</v>
      </c>
      <c r="T57" s="3923">
        <v>0</v>
      </c>
      <c r="U57" s="3923">
        <v>0</v>
      </c>
      <c r="V57" s="3924">
        <f t="shared" si="6"/>
        <v>641404</v>
      </c>
      <c r="W57" s="3925">
        <v>63860</v>
      </c>
      <c r="X57" s="3925">
        <v>11826</v>
      </c>
      <c r="Y57" s="3925">
        <v>11038</v>
      </c>
      <c r="Z57" s="3925"/>
      <c r="AA57" s="3925"/>
      <c r="AB57" s="3926"/>
      <c r="AC57" s="3927">
        <f t="shared" si="7"/>
        <v>86724</v>
      </c>
      <c r="AD57" s="3926">
        <f t="shared" si="11"/>
        <v>231790</v>
      </c>
      <c r="AE57" s="3926">
        <f t="shared" si="11"/>
        <v>165564</v>
      </c>
      <c r="AF57" s="3926">
        <f t="shared" si="11"/>
        <v>154526</v>
      </c>
      <c r="AG57" s="3926">
        <f t="shared" si="11"/>
        <v>2500</v>
      </c>
      <c r="AH57" s="3926">
        <f t="shared" si="11"/>
        <v>300</v>
      </c>
      <c r="AI57" s="3926">
        <f t="shared" si="11"/>
        <v>0</v>
      </c>
      <c r="AJ57" s="3926">
        <f t="shared" si="8"/>
        <v>0</v>
      </c>
      <c r="AK57" s="3928">
        <f t="shared" si="9"/>
        <v>554680</v>
      </c>
      <c r="AL57" s="3929">
        <f>SUMIF([3]租约表对应的会计账!$C$5:$C$164,B57,[3]租约表对应的会计账!$D$5:$D$164)</f>
        <v>126271</v>
      </c>
      <c r="AM57" s="3930">
        <f>SUMIF([3]租约表对应的会计账!$H$5:$H$164,B57,[3]租约表对应的会计账!$I$5:$I$164)</f>
        <v>207975</v>
      </c>
      <c r="AN57" s="3929">
        <f>SUMIF([3]租约表对应的会计账!$S$5:$S$164,B57,[3]租约表对应的会计账!$T$5:$T$164)</f>
        <v>150847</v>
      </c>
      <c r="AO57" s="3929">
        <f>SUMIF([3]租约表对应的会计账!$X$5:$X$164,B57,[3]租约表对应的会计账!$Y$5:$Y$164)</f>
        <v>2500</v>
      </c>
      <c r="AP57" s="3929">
        <f>SUMIF([3]租约表对应的会计账!$AC$5:$AC$164,[3]租约表!B57,[3]租约表对应的会计账!$AD$5:$AD$164)</f>
        <v>300</v>
      </c>
      <c r="AQ57" s="3929">
        <f>SUMIF([3]租约表对应的会计账!$AH$5:$AH$164,[3]租约表!B57,[3]租约表对应的会计账!$AI$5:$AI$164)</f>
        <v>0</v>
      </c>
      <c r="AR57" s="3929">
        <f t="shared" si="10"/>
        <v>487893</v>
      </c>
      <c r="AS57" s="3929">
        <f t="shared" si="15"/>
        <v>105519</v>
      </c>
      <c r="AT57" s="3929">
        <f t="shared" si="15"/>
        <v>-42411</v>
      </c>
      <c r="AU57" s="3929">
        <f t="shared" si="15"/>
        <v>3679</v>
      </c>
      <c r="AV57" s="3929">
        <f t="shared" si="15"/>
        <v>0</v>
      </c>
      <c r="AW57" s="3929">
        <f t="shared" si="15"/>
        <v>0</v>
      </c>
      <c r="AX57" s="3929">
        <f t="shared" si="15"/>
        <v>0</v>
      </c>
      <c r="AY57" s="3929">
        <f t="shared" si="2"/>
        <v>66787</v>
      </c>
      <c r="AZ57" s="3915" t="s">
        <v>3975</v>
      </c>
    </row>
    <row r="58" spans="1:52" s="3931" customFormat="1" ht="60" customHeight="1">
      <c r="A58" s="3910" t="s">
        <v>4028</v>
      </c>
      <c r="B58" s="3911">
        <v>3019</v>
      </c>
      <c r="C58" s="3912" t="s">
        <v>3623</v>
      </c>
      <c r="D58" s="3912" t="s">
        <v>3624</v>
      </c>
      <c r="E58" s="3913">
        <v>43070</v>
      </c>
      <c r="F58" s="3913">
        <v>45565</v>
      </c>
      <c r="G58" s="3914">
        <f t="shared" si="3"/>
        <v>6.8356164383561646</v>
      </c>
      <c r="H58" s="3943" t="s">
        <v>4032</v>
      </c>
      <c r="I58" s="3916">
        <v>303.10000000000002</v>
      </c>
      <c r="J58" s="3941">
        <v>4.2</v>
      </c>
      <c r="K58" s="3942">
        <v>3</v>
      </c>
      <c r="L58" s="3942">
        <v>2.8</v>
      </c>
      <c r="M58" s="3919">
        <f t="shared" si="13"/>
        <v>10</v>
      </c>
      <c r="N58" s="3920">
        <v>90</v>
      </c>
      <c r="O58" s="3921">
        <f t="shared" si="14"/>
        <v>114571.80000000002</v>
      </c>
      <c r="P58" s="3921">
        <f t="shared" si="14"/>
        <v>81837</v>
      </c>
      <c r="Q58" s="3921">
        <f t="shared" si="14"/>
        <v>76381.200000000012</v>
      </c>
      <c r="R58" s="3922">
        <v>0</v>
      </c>
      <c r="S58" s="3923">
        <v>0</v>
      </c>
      <c r="T58" s="3923">
        <v>0</v>
      </c>
      <c r="U58" s="3923">
        <v>0</v>
      </c>
      <c r="V58" s="3924">
        <f t="shared" si="6"/>
        <v>272790</v>
      </c>
      <c r="W58" s="3925">
        <v>0</v>
      </c>
      <c r="X58" s="3925">
        <v>0</v>
      </c>
      <c r="Y58" s="3925">
        <v>0</v>
      </c>
      <c r="Z58" s="3925"/>
      <c r="AA58" s="3925"/>
      <c r="AB58" s="3926"/>
      <c r="AC58" s="3927">
        <f t="shared" si="7"/>
        <v>0</v>
      </c>
      <c r="AD58" s="3926">
        <f t="shared" si="11"/>
        <v>114571.80000000002</v>
      </c>
      <c r="AE58" s="3926">
        <f t="shared" si="11"/>
        <v>81837</v>
      </c>
      <c r="AF58" s="3926">
        <f t="shared" si="11"/>
        <v>76381.200000000012</v>
      </c>
      <c r="AG58" s="3926">
        <f t="shared" si="11"/>
        <v>0</v>
      </c>
      <c r="AH58" s="3926">
        <f t="shared" si="11"/>
        <v>0</v>
      </c>
      <c r="AI58" s="3926">
        <f t="shared" si="11"/>
        <v>0</v>
      </c>
      <c r="AJ58" s="3926">
        <f t="shared" si="8"/>
        <v>0</v>
      </c>
      <c r="AK58" s="3928">
        <f t="shared" si="9"/>
        <v>272790</v>
      </c>
      <c r="AL58" s="3929">
        <f>SUMIF([3]租约表对应的会计账!$C$5:$C$164,B58,[3]租约表对应的会计账!$D$5:$D$164)</f>
        <v>0</v>
      </c>
      <c r="AM58" s="3930">
        <f>SUMIF([3]租约表对应的会计账!$H$5:$H$164,B58,[3]租约表对应的会计账!$I$5:$I$164)</f>
        <v>0</v>
      </c>
      <c r="AN58" s="3929">
        <f>SUMIF([3]租约表对应的会计账!$S$5:$S$164,B58,[3]租约表对应的会计账!$T$5:$T$164)</f>
        <v>0</v>
      </c>
      <c r="AO58" s="3929">
        <f>SUMIF([3]租约表对应的会计账!$X$5:$X$164,B58,[3]租约表对应的会计账!$Y$5:$Y$164)</f>
        <v>0</v>
      </c>
      <c r="AP58" s="3929">
        <f>SUMIF([3]租约表对应的会计账!$AC$5:$AC$164,[3]租约表!B58,[3]租约表对应的会计账!$AD$5:$AD$164)</f>
        <v>0</v>
      </c>
      <c r="AQ58" s="3929">
        <f>SUMIF([3]租约表对应的会计账!$AH$5:$AH$164,[3]租约表!B58,[3]租约表对应的会计账!$AI$5:$AI$164)</f>
        <v>0</v>
      </c>
      <c r="AR58" s="3929">
        <f t="shared" si="10"/>
        <v>0</v>
      </c>
      <c r="AS58" s="3929">
        <f t="shared" si="15"/>
        <v>114571.80000000002</v>
      </c>
      <c r="AT58" s="3929">
        <f t="shared" si="15"/>
        <v>81837</v>
      </c>
      <c r="AU58" s="3929">
        <f t="shared" si="15"/>
        <v>76381.200000000012</v>
      </c>
      <c r="AV58" s="3929">
        <f t="shared" si="15"/>
        <v>0</v>
      </c>
      <c r="AW58" s="3929">
        <f t="shared" si="15"/>
        <v>0</v>
      </c>
      <c r="AX58" s="3929">
        <f t="shared" si="15"/>
        <v>0</v>
      </c>
      <c r="AY58" s="3929">
        <f t="shared" si="2"/>
        <v>272790</v>
      </c>
      <c r="AZ58" s="3915" t="s">
        <v>3975</v>
      </c>
    </row>
    <row r="59" spans="1:52" s="3931" customFormat="1" ht="60" customHeight="1">
      <c r="A59" s="3910" t="s">
        <v>4028</v>
      </c>
      <c r="B59" s="3911">
        <v>3021</v>
      </c>
      <c r="C59" s="3912" t="s">
        <v>3625</v>
      </c>
      <c r="D59" s="3912" t="s">
        <v>3626</v>
      </c>
      <c r="E59" s="3913">
        <v>43466</v>
      </c>
      <c r="F59" s="3912">
        <v>45747</v>
      </c>
      <c r="G59" s="3914">
        <f t="shared" si="3"/>
        <v>6.2493150684931509</v>
      </c>
      <c r="H59" s="3915" t="s">
        <v>4033</v>
      </c>
      <c r="I59" s="3916">
        <v>274.8</v>
      </c>
      <c r="J59" s="3917">
        <v>6.3</v>
      </c>
      <c r="K59" s="3918">
        <v>3</v>
      </c>
      <c r="L59" s="3918">
        <v>2.8</v>
      </c>
      <c r="M59" s="3919">
        <f t="shared" si="13"/>
        <v>12.100000000000001</v>
      </c>
      <c r="N59" s="3920">
        <v>90</v>
      </c>
      <c r="O59" s="3921">
        <f t="shared" si="14"/>
        <v>155811.6</v>
      </c>
      <c r="P59" s="3921">
        <f t="shared" si="14"/>
        <v>74196.000000000015</v>
      </c>
      <c r="Q59" s="3921">
        <f t="shared" si="14"/>
        <v>69249.599999999991</v>
      </c>
      <c r="R59" s="3922">
        <v>2500</v>
      </c>
      <c r="S59" s="3923">
        <v>300</v>
      </c>
      <c r="T59" s="3923">
        <v>0</v>
      </c>
      <c r="U59" s="3923">
        <v>0</v>
      </c>
      <c r="V59" s="3924">
        <f t="shared" si="6"/>
        <v>302057.2</v>
      </c>
      <c r="W59" s="3925">
        <v>81945</v>
      </c>
      <c r="X59" s="3925">
        <v>4946</v>
      </c>
      <c r="Y59" s="3925">
        <v>4617</v>
      </c>
      <c r="Z59" s="3925"/>
      <c r="AA59" s="3925"/>
      <c r="AB59" s="3926"/>
      <c r="AC59" s="3927">
        <f t="shared" si="7"/>
        <v>91508</v>
      </c>
      <c r="AD59" s="3926">
        <f t="shared" si="11"/>
        <v>73866.600000000006</v>
      </c>
      <c r="AE59" s="3926">
        <f t="shared" si="11"/>
        <v>69250.000000000015</v>
      </c>
      <c r="AF59" s="3926">
        <f t="shared" si="11"/>
        <v>64632.599999999991</v>
      </c>
      <c r="AG59" s="3926">
        <f t="shared" si="11"/>
        <v>2500</v>
      </c>
      <c r="AH59" s="3926">
        <f t="shared" si="11"/>
        <v>300</v>
      </c>
      <c r="AI59" s="3926">
        <f t="shared" si="11"/>
        <v>0</v>
      </c>
      <c r="AJ59" s="3926">
        <f t="shared" si="8"/>
        <v>0</v>
      </c>
      <c r="AK59" s="3928">
        <f t="shared" si="9"/>
        <v>210549.2</v>
      </c>
      <c r="AL59" s="3929">
        <f>SUMIF([3]租约表对应的会计账!$C$5:$C$164,B59,[3]租约表对应的会计账!$D$5:$D$164)</f>
        <v>44517</v>
      </c>
      <c r="AM59" s="3930">
        <f>SUMIF([3]租约表对应的会计账!$H$5:$H$164,B59,[3]租约表对应的会计账!$I$5:$I$164)</f>
        <v>57708</v>
      </c>
      <c r="AN59" s="3929">
        <f>SUMIF([3]租约表对应的会计账!$S$5:$S$164,B59,[3]租约表对应的会计账!$T$5:$T$164)</f>
        <v>53861</v>
      </c>
      <c r="AO59" s="3929">
        <f>SUMIF([3]租约表对应的会计账!$X$5:$X$164,B59,[3]租约表对应的会计账!$Y$5:$Y$164)</f>
        <v>2500</v>
      </c>
      <c r="AP59" s="3929">
        <f>SUMIF([3]租约表对应的会计账!$AC$5:$AC$164,[3]租约表!B59,[3]租约表对应的会计账!$AD$5:$AD$164)</f>
        <v>300</v>
      </c>
      <c r="AQ59" s="3929">
        <f>SUMIF([3]租约表对应的会计账!$AH$5:$AH$164,[3]租约表!B59,[3]租约表对应的会计账!$AI$5:$AI$164)</f>
        <v>0</v>
      </c>
      <c r="AR59" s="3929">
        <f t="shared" si="10"/>
        <v>158886</v>
      </c>
      <c r="AS59" s="3929">
        <f t="shared" si="15"/>
        <v>29349.600000000006</v>
      </c>
      <c r="AT59" s="3929">
        <f t="shared" si="15"/>
        <v>11542.000000000015</v>
      </c>
      <c r="AU59" s="3929">
        <f t="shared" si="15"/>
        <v>10771.599999999991</v>
      </c>
      <c r="AV59" s="3929">
        <f t="shared" si="15"/>
        <v>0</v>
      </c>
      <c r="AW59" s="3929">
        <f t="shared" si="15"/>
        <v>0</v>
      </c>
      <c r="AX59" s="3929">
        <f t="shared" si="15"/>
        <v>0</v>
      </c>
      <c r="AY59" s="3929">
        <f t="shared" si="2"/>
        <v>51663.200000000012</v>
      </c>
      <c r="AZ59" s="3915" t="s">
        <v>4034</v>
      </c>
    </row>
    <row r="60" spans="1:52" s="3931" customFormat="1" ht="60" customHeight="1">
      <c r="A60" s="3910" t="s">
        <v>4028</v>
      </c>
      <c r="B60" s="3911">
        <v>3022</v>
      </c>
      <c r="C60" s="3912" t="s">
        <v>3626</v>
      </c>
      <c r="D60" s="3912" t="s">
        <v>3626</v>
      </c>
      <c r="E60" s="3913">
        <v>43997</v>
      </c>
      <c r="F60" s="3912">
        <v>45382</v>
      </c>
      <c r="G60" s="3914">
        <f t="shared" si="3"/>
        <v>3.7945205479452055</v>
      </c>
      <c r="H60" s="3915" t="s">
        <v>4035</v>
      </c>
      <c r="I60" s="3916">
        <v>188.2</v>
      </c>
      <c r="J60" s="3917">
        <v>3.2</v>
      </c>
      <c r="K60" s="3918">
        <v>3</v>
      </c>
      <c r="L60" s="3918">
        <v>2.8</v>
      </c>
      <c r="M60" s="3919">
        <f t="shared" si="13"/>
        <v>9</v>
      </c>
      <c r="N60" s="3920">
        <v>90</v>
      </c>
      <c r="O60" s="3921">
        <f t="shared" si="14"/>
        <v>54201.599999999999</v>
      </c>
      <c r="P60" s="3921">
        <f t="shared" si="14"/>
        <v>50813.999999999993</v>
      </c>
      <c r="Q60" s="3921">
        <f t="shared" si="14"/>
        <v>47426.399999999994</v>
      </c>
      <c r="R60" s="3922">
        <v>2500</v>
      </c>
      <c r="S60" s="3923">
        <v>300</v>
      </c>
      <c r="T60" s="3923">
        <v>0</v>
      </c>
      <c r="U60" s="3923">
        <v>0</v>
      </c>
      <c r="V60" s="3924">
        <f t="shared" si="6"/>
        <v>155242</v>
      </c>
      <c r="W60" s="3925">
        <v>3613</v>
      </c>
      <c r="X60" s="3925">
        <v>3388</v>
      </c>
      <c r="Y60" s="3925">
        <v>3162</v>
      </c>
      <c r="Z60" s="3925"/>
      <c r="AA60" s="3925"/>
      <c r="AB60" s="3926"/>
      <c r="AC60" s="3927">
        <f t="shared" si="7"/>
        <v>10163</v>
      </c>
      <c r="AD60" s="3926">
        <f t="shared" si="11"/>
        <v>50588.6</v>
      </c>
      <c r="AE60" s="3926">
        <f t="shared" si="11"/>
        <v>47425.999999999993</v>
      </c>
      <c r="AF60" s="3926">
        <f t="shared" si="11"/>
        <v>44264.399999999994</v>
      </c>
      <c r="AG60" s="3926">
        <f t="shared" si="11"/>
        <v>2500</v>
      </c>
      <c r="AH60" s="3926">
        <f t="shared" si="11"/>
        <v>300</v>
      </c>
      <c r="AI60" s="3926">
        <f t="shared" si="11"/>
        <v>0</v>
      </c>
      <c r="AJ60" s="3926">
        <f t="shared" si="8"/>
        <v>0</v>
      </c>
      <c r="AK60" s="3928">
        <f t="shared" si="9"/>
        <v>145079</v>
      </c>
      <c r="AL60" s="3929">
        <f>SUMIF([3]租约表对应的会计账!$C$5:$C$164,B60,[3]租约表对应的会计账!$D$5:$D$164)</f>
        <v>34630</v>
      </c>
      <c r="AM60" s="3930">
        <f>SUMIF([3]租约表对应的会计账!$H$5:$H$164,B60,[3]租约表对应的会计账!$I$5:$I$164)</f>
        <v>39522</v>
      </c>
      <c r="AN60" s="3929">
        <f>SUMIF([3]租约表对应的会计账!$S$5:$S$164,B60,[3]租约表对应的会计账!$T$5:$T$164)</f>
        <v>36887</v>
      </c>
      <c r="AO60" s="3929">
        <f>SUMIF([3]租约表对应的会计账!$X$5:$X$164,B60,[3]租约表对应的会计账!$Y$5:$Y$164)</f>
        <v>2500</v>
      </c>
      <c r="AP60" s="3929">
        <f>SUMIF([3]租约表对应的会计账!$AC$5:$AC$164,[3]租约表!B60,[3]租约表对应的会计账!$AD$5:$AD$164)</f>
        <v>300</v>
      </c>
      <c r="AQ60" s="3929">
        <f>SUMIF([3]租约表对应的会计账!$AH$5:$AH$164,[3]租约表!B60,[3]租约表对应的会计账!$AI$5:$AI$164)</f>
        <v>0</v>
      </c>
      <c r="AR60" s="3929">
        <f t="shared" si="10"/>
        <v>113839</v>
      </c>
      <c r="AS60" s="3929">
        <f t="shared" si="15"/>
        <v>15958.599999999999</v>
      </c>
      <c r="AT60" s="3929">
        <f t="shared" si="15"/>
        <v>7903.9999999999927</v>
      </c>
      <c r="AU60" s="3929">
        <f t="shared" si="15"/>
        <v>7377.3999999999942</v>
      </c>
      <c r="AV60" s="3929">
        <f t="shared" si="15"/>
        <v>0</v>
      </c>
      <c r="AW60" s="3929">
        <f t="shared" si="15"/>
        <v>0</v>
      </c>
      <c r="AX60" s="3929">
        <f t="shared" si="15"/>
        <v>0</v>
      </c>
      <c r="AY60" s="3929">
        <f t="shared" si="2"/>
        <v>31239.999999999985</v>
      </c>
      <c r="AZ60" s="3915" t="s">
        <v>4034</v>
      </c>
    </row>
    <row r="61" spans="1:52" s="3931" customFormat="1" ht="60" customHeight="1">
      <c r="A61" s="3910" t="s">
        <v>4028</v>
      </c>
      <c r="B61" s="3911">
        <v>3023</v>
      </c>
      <c r="C61" s="3912" t="s">
        <v>3627</v>
      </c>
      <c r="D61" s="3912" t="s">
        <v>3628</v>
      </c>
      <c r="E61" s="3913">
        <v>44287</v>
      </c>
      <c r="F61" s="3912">
        <v>45747</v>
      </c>
      <c r="G61" s="3914">
        <f t="shared" si="3"/>
        <v>4</v>
      </c>
      <c r="H61" s="3915" t="s">
        <v>4036</v>
      </c>
      <c r="I61" s="3916">
        <v>145.1</v>
      </c>
      <c r="J61" s="3917">
        <v>9.6</v>
      </c>
      <c r="K61" s="3918">
        <v>3</v>
      </c>
      <c r="L61" s="3918">
        <v>2.8</v>
      </c>
      <c r="M61" s="3919">
        <f t="shared" si="13"/>
        <v>15.399999999999999</v>
      </c>
      <c r="N61" s="3920">
        <v>90</v>
      </c>
      <c r="O61" s="3921">
        <f t="shared" si="14"/>
        <v>125366.39999999998</v>
      </c>
      <c r="P61" s="3921">
        <f t="shared" si="14"/>
        <v>39176.999999999993</v>
      </c>
      <c r="Q61" s="3921">
        <f t="shared" si="14"/>
        <v>36565.199999999997</v>
      </c>
      <c r="R61" s="3922">
        <v>2500</v>
      </c>
      <c r="S61" s="3923">
        <v>300</v>
      </c>
      <c r="T61" s="3923">
        <v>0</v>
      </c>
      <c r="U61" s="3923">
        <v>0</v>
      </c>
      <c r="V61" s="3924">
        <f t="shared" si="6"/>
        <v>203908.59999999998</v>
      </c>
      <c r="W61" s="3925">
        <v>38597</v>
      </c>
      <c r="X61" s="3925">
        <v>4353</v>
      </c>
      <c r="Y61" s="3925">
        <v>4063</v>
      </c>
      <c r="Z61" s="3925"/>
      <c r="AA61" s="3925"/>
      <c r="AB61" s="3926"/>
      <c r="AC61" s="3927">
        <f t="shared" si="7"/>
        <v>47013</v>
      </c>
      <c r="AD61" s="3926">
        <f t="shared" si="11"/>
        <v>86769.39999999998</v>
      </c>
      <c r="AE61" s="3926">
        <f t="shared" si="11"/>
        <v>34823.999999999993</v>
      </c>
      <c r="AF61" s="3926">
        <f t="shared" si="11"/>
        <v>32502.199999999997</v>
      </c>
      <c r="AG61" s="3926">
        <f t="shared" ref="AG61:AI78" si="16">R61-Z61</f>
        <v>2500</v>
      </c>
      <c r="AH61" s="3926">
        <f t="shared" si="16"/>
        <v>300</v>
      </c>
      <c r="AI61" s="3926">
        <f t="shared" si="16"/>
        <v>0</v>
      </c>
      <c r="AJ61" s="3926">
        <f t="shared" si="8"/>
        <v>0</v>
      </c>
      <c r="AK61" s="3928">
        <f t="shared" si="9"/>
        <v>156895.59999999998</v>
      </c>
      <c r="AL61" s="3929">
        <f>SUMIF([3]租约表对应的会计账!$C$5:$C$164,B61,[3]租约表对应的会计账!$D$5:$D$164)</f>
        <v>86769</v>
      </c>
      <c r="AM61" s="3930">
        <f>SUMIF([3]租约表对应的会计账!$H$5:$H$164,B61,[3]租约表对应的会计账!$I$5:$I$164)</f>
        <v>34824</v>
      </c>
      <c r="AN61" s="3929">
        <f>SUMIF([3]租约表对应的会计账!$S$5:$S$164,B61,[3]租约表对应的会计账!$T$5:$T$164)</f>
        <v>32502</v>
      </c>
      <c r="AO61" s="3929">
        <f>SUMIF([3]租约表对应的会计账!$X$5:$X$164,B61,[3]租约表对应的会计账!$Y$5:$Y$164)</f>
        <v>2500</v>
      </c>
      <c r="AP61" s="3929">
        <f>SUMIF([3]租约表对应的会计账!$AC$5:$AC$164,[3]租约表!B61,[3]租约表对应的会计账!$AD$5:$AD$164)</f>
        <v>300</v>
      </c>
      <c r="AQ61" s="3929">
        <f>SUMIF([3]租约表对应的会计账!$AH$5:$AH$164,[3]租约表!B61,[3]租约表对应的会计账!$AI$5:$AI$164)</f>
        <v>0</v>
      </c>
      <c r="AR61" s="3929">
        <f t="shared" si="10"/>
        <v>156895</v>
      </c>
      <c r="AS61" s="3929">
        <f t="shared" si="15"/>
        <v>0.39999999997962732</v>
      </c>
      <c r="AT61" s="3929">
        <f t="shared" si="15"/>
        <v>0</v>
      </c>
      <c r="AU61" s="3929">
        <f t="shared" si="15"/>
        <v>0.19999999999708962</v>
      </c>
      <c r="AV61" s="3929">
        <f t="shared" si="15"/>
        <v>0</v>
      </c>
      <c r="AW61" s="3929">
        <f t="shared" si="15"/>
        <v>0</v>
      </c>
      <c r="AX61" s="3929">
        <f t="shared" si="15"/>
        <v>0</v>
      </c>
      <c r="AY61" s="3929">
        <f t="shared" si="2"/>
        <v>0.59999999997671694</v>
      </c>
      <c r="AZ61" s="3915" t="s">
        <v>3967</v>
      </c>
    </row>
    <row r="62" spans="1:52" s="3931" customFormat="1" ht="60" customHeight="1">
      <c r="A62" s="3910" t="s">
        <v>4028</v>
      </c>
      <c r="B62" s="3911">
        <v>3026</v>
      </c>
      <c r="C62" s="3912" t="s">
        <v>3629</v>
      </c>
      <c r="D62" s="3912" t="s">
        <v>3630</v>
      </c>
      <c r="E62" s="3913">
        <v>44835</v>
      </c>
      <c r="F62" s="3913">
        <v>45565</v>
      </c>
      <c r="G62" s="3914">
        <f t="shared" si="3"/>
        <v>2</v>
      </c>
      <c r="H62" s="3915" t="s">
        <v>4037</v>
      </c>
      <c r="I62" s="3916">
        <v>149.19999999999999</v>
      </c>
      <c r="J62" s="3917">
        <v>4.2</v>
      </c>
      <c r="K62" s="3918">
        <v>3</v>
      </c>
      <c r="L62" s="3918">
        <v>2.8</v>
      </c>
      <c r="M62" s="3919">
        <f t="shared" si="13"/>
        <v>10</v>
      </c>
      <c r="N62" s="3920">
        <v>90</v>
      </c>
      <c r="O62" s="3921">
        <f t="shared" si="14"/>
        <v>56397.599999999999</v>
      </c>
      <c r="P62" s="3921">
        <f t="shared" si="14"/>
        <v>40284</v>
      </c>
      <c r="Q62" s="3921">
        <f t="shared" si="14"/>
        <v>37598.399999999994</v>
      </c>
      <c r="R62" s="3922">
        <v>2500</v>
      </c>
      <c r="S62" s="3923">
        <v>150</v>
      </c>
      <c r="T62" s="3923">
        <v>0</v>
      </c>
      <c r="U62" s="3923">
        <v>0</v>
      </c>
      <c r="V62" s="3924">
        <f t="shared" si="6"/>
        <v>136930</v>
      </c>
      <c r="W62" s="3925">
        <v>3760</v>
      </c>
      <c r="X62" s="3925">
        <v>2686</v>
      </c>
      <c r="Y62" s="3925">
        <v>2507</v>
      </c>
      <c r="Z62" s="3925"/>
      <c r="AA62" s="3925"/>
      <c r="AB62" s="3926"/>
      <c r="AC62" s="3927">
        <f t="shared" si="7"/>
        <v>8953</v>
      </c>
      <c r="AD62" s="3926">
        <f t="shared" ref="AD62:AI79" si="17">O62-W62</f>
        <v>52637.599999999999</v>
      </c>
      <c r="AE62" s="3926">
        <f t="shared" si="17"/>
        <v>37598</v>
      </c>
      <c r="AF62" s="3926">
        <f t="shared" si="17"/>
        <v>35091.399999999994</v>
      </c>
      <c r="AG62" s="3926">
        <f t="shared" si="16"/>
        <v>2500</v>
      </c>
      <c r="AH62" s="3926">
        <f t="shared" si="16"/>
        <v>150</v>
      </c>
      <c r="AI62" s="3926">
        <f t="shared" si="16"/>
        <v>0</v>
      </c>
      <c r="AJ62" s="3926">
        <f t="shared" si="8"/>
        <v>0</v>
      </c>
      <c r="AK62" s="3928">
        <f t="shared" si="9"/>
        <v>127977</v>
      </c>
      <c r="AL62" s="3929">
        <f>SUMIF([3]租约表对应的会计账!$C$5:$C$164,B62,[3]租约表对应的会计账!$D$5:$D$164)</f>
        <v>52638</v>
      </c>
      <c r="AM62" s="3930">
        <f>SUMIF([3]租约表对应的会计账!$H$5:$H$164,B62,[3]租约表对应的会计账!$I$5:$I$164)</f>
        <v>37598</v>
      </c>
      <c r="AN62" s="3929">
        <f>SUMIF([3]租约表对应的会计账!$S$5:$S$164,B62,[3]租约表对应的会计账!$T$5:$T$164)</f>
        <v>35091</v>
      </c>
      <c r="AO62" s="3929">
        <f>SUMIF([3]租约表对应的会计账!$X$5:$X$164,B62,[3]租约表对应的会计账!$Y$5:$Y$164)</f>
        <v>2500</v>
      </c>
      <c r="AP62" s="3929">
        <f>SUMIF([3]租约表对应的会计账!$AC$5:$AC$164,[3]租约表!B62,[3]租约表对应的会计账!$AD$5:$AD$164)</f>
        <v>150</v>
      </c>
      <c r="AQ62" s="3929">
        <f>SUMIF([3]租约表对应的会计账!$AH$5:$AH$164,[3]租约表!B62,[3]租约表对应的会计账!$AI$5:$AI$164)</f>
        <v>0</v>
      </c>
      <c r="AR62" s="3929">
        <f t="shared" si="10"/>
        <v>127977</v>
      </c>
      <c r="AS62" s="3929">
        <f t="shared" si="15"/>
        <v>-0.40000000000145519</v>
      </c>
      <c r="AT62" s="3929">
        <f t="shared" si="15"/>
        <v>0</v>
      </c>
      <c r="AU62" s="3929">
        <f t="shared" si="15"/>
        <v>0.39999999999417923</v>
      </c>
      <c r="AV62" s="3929">
        <f t="shared" si="15"/>
        <v>0</v>
      </c>
      <c r="AW62" s="3929">
        <f t="shared" si="15"/>
        <v>0</v>
      </c>
      <c r="AX62" s="3929">
        <f t="shared" si="15"/>
        <v>0</v>
      </c>
      <c r="AY62" s="3929">
        <f t="shared" si="2"/>
        <v>-7.2759576141834259E-12</v>
      </c>
      <c r="AZ62" s="3915" t="s">
        <v>3967</v>
      </c>
    </row>
    <row r="63" spans="1:52" s="3931" customFormat="1" ht="60" customHeight="1">
      <c r="A63" s="3910" t="s">
        <v>4028</v>
      </c>
      <c r="B63" s="3911">
        <v>3028</v>
      </c>
      <c r="C63" s="3912" t="s">
        <v>3631</v>
      </c>
      <c r="D63" s="3912" t="s">
        <v>3632</v>
      </c>
      <c r="E63" s="3913">
        <v>44652</v>
      </c>
      <c r="F63" s="3913">
        <v>45382</v>
      </c>
      <c r="G63" s="3914">
        <f t="shared" si="3"/>
        <v>2</v>
      </c>
      <c r="H63" s="3915" t="s">
        <v>4038</v>
      </c>
      <c r="I63" s="3916">
        <v>83.3</v>
      </c>
      <c r="J63" s="3917">
        <v>9.8000000000000007</v>
      </c>
      <c r="K63" s="3918">
        <v>3</v>
      </c>
      <c r="L63" s="3918">
        <v>2.8</v>
      </c>
      <c r="M63" s="3919">
        <f t="shared" si="13"/>
        <v>15.600000000000001</v>
      </c>
      <c r="N63" s="3920">
        <v>90</v>
      </c>
      <c r="O63" s="3921">
        <f t="shared" si="14"/>
        <v>73470.600000000006</v>
      </c>
      <c r="P63" s="3921">
        <f t="shared" si="14"/>
        <v>22490.999999999996</v>
      </c>
      <c r="Q63" s="3921">
        <f t="shared" si="14"/>
        <v>20991.599999999999</v>
      </c>
      <c r="R63" s="3922">
        <v>2500</v>
      </c>
      <c r="S63" s="3923">
        <v>150</v>
      </c>
      <c r="T63" s="3923">
        <v>0</v>
      </c>
      <c r="U63" s="3923">
        <v>0</v>
      </c>
      <c r="V63" s="3924">
        <f t="shared" si="6"/>
        <v>119603.20000000001</v>
      </c>
      <c r="W63" s="3925">
        <v>4898</v>
      </c>
      <c r="X63" s="3925">
        <v>1499</v>
      </c>
      <c r="Y63" s="3925">
        <v>1399</v>
      </c>
      <c r="Z63" s="3925"/>
      <c r="AA63" s="3925"/>
      <c r="AB63" s="3926"/>
      <c r="AC63" s="3927">
        <f t="shared" si="7"/>
        <v>7796</v>
      </c>
      <c r="AD63" s="3926">
        <f t="shared" si="17"/>
        <v>68572.600000000006</v>
      </c>
      <c r="AE63" s="3926">
        <f t="shared" si="17"/>
        <v>20991.999999999996</v>
      </c>
      <c r="AF63" s="3926">
        <f t="shared" si="17"/>
        <v>19592.599999999999</v>
      </c>
      <c r="AG63" s="3926">
        <f t="shared" si="16"/>
        <v>2500</v>
      </c>
      <c r="AH63" s="3926">
        <f t="shared" si="16"/>
        <v>150</v>
      </c>
      <c r="AI63" s="3926">
        <f t="shared" si="16"/>
        <v>0</v>
      </c>
      <c r="AJ63" s="3926">
        <f t="shared" si="8"/>
        <v>0</v>
      </c>
      <c r="AK63" s="3928">
        <f t="shared" si="9"/>
        <v>111807.20000000001</v>
      </c>
      <c r="AL63" s="3929">
        <f>SUMIF([3]租约表对应的会计账!$C$5:$C$164,B63,[3]租约表对应的会计账!$D$5:$D$164)</f>
        <v>73471</v>
      </c>
      <c r="AM63" s="3930">
        <f>SUMIF([3]租约表对应的会计账!$H$5:$H$164,B63,[3]租约表对应的会计账!$I$5:$I$164)</f>
        <v>22491</v>
      </c>
      <c r="AN63" s="3929">
        <f>SUMIF([3]租约表对应的会计账!$S$5:$S$164,B63,[3]租约表对应的会计账!$T$5:$T$164)</f>
        <v>20992</v>
      </c>
      <c r="AO63" s="3929">
        <f>SUMIF([3]租约表对应的会计账!$X$5:$X$164,B63,[3]租约表对应的会计账!$Y$5:$Y$164)</f>
        <v>2500</v>
      </c>
      <c r="AP63" s="3929">
        <f>SUMIF([3]租约表对应的会计账!$AC$5:$AC$164,[3]租约表!B63,[3]租约表对应的会计账!$AD$5:$AD$164)</f>
        <v>150</v>
      </c>
      <c r="AQ63" s="3929">
        <f>SUMIF([3]租约表对应的会计账!$AH$5:$AH$164,[3]租约表!B63,[3]租约表对应的会计账!$AI$5:$AI$164)</f>
        <v>0</v>
      </c>
      <c r="AR63" s="3929">
        <f t="shared" si="10"/>
        <v>119604</v>
      </c>
      <c r="AS63" s="3929">
        <f t="shared" si="15"/>
        <v>-4898.3999999999942</v>
      </c>
      <c r="AT63" s="3929">
        <f t="shared" si="15"/>
        <v>-1499.0000000000036</v>
      </c>
      <c r="AU63" s="3929">
        <f t="shared" si="15"/>
        <v>-1399.4000000000015</v>
      </c>
      <c r="AV63" s="3929">
        <f t="shared" si="15"/>
        <v>0</v>
      </c>
      <c r="AW63" s="3929">
        <f t="shared" si="15"/>
        <v>0</v>
      </c>
      <c r="AX63" s="3929">
        <f t="shared" si="15"/>
        <v>0</v>
      </c>
      <c r="AY63" s="3929">
        <f t="shared" si="2"/>
        <v>-7796.7999999999993</v>
      </c>
      <c r="AZ63" s="3915" t="s">
        <v>4021</v>
      </c>
    </row>
    <row r="64" spans="1:52" s="3931" customFormat="1" ht="60" customHeight="1">
      <c r="A64" s="3910" t="s">
        <v>4028</v>
      </c>
      <c r="B64" s="3911">
        <v>3037</v>
      </c>
      <c r="C64" s="3912" t="s">
        <v>3633</v>
      </c>
      <c r="D64" s="3912" t="s">
        <v>3634</v>
      </c>
      <c r="E64" s="3913">
        <v>43435</v>
      </c>
      <c r="F64" s="3933">
        <v>45747</v>
      </c>
      <c r="G64" s="3914">
        <f t="shared" si="3"/>
        <v>6.3342465753424655</v>
      </c>
      <c r="H64" s="3915" t="s">
        <v>4039</v>
      </c>
      <c r="I64" s="3916">
        <v>285.10000000000002</v>
      </c>
      <c r="J64" s="3917">
        <v>4.2</v>
      </c>
      <c r="K64" s="3918">
        <v>3</v>
      </c>
      <c r="L64" s="3918">
        <v>2.8</v>
      </c>
      <c r="M64" s="3919">
        <f t="shared" si="13"/>
        <v>10</v>
      </c>
      <c r="N64" s="3920">
        <v>90</v>
      </c>
      <c r="O64" s="3921">
        <f t="shared" si="14"/>
        <v>107767.8</v>
      </c>
      <c r="P64" s="3921">
        <f t="shared" si="14"/>
        <v>76977</v>
      </c>
      <c r="Q64" s="3921">
        <f t="shared" si="14"/>
        <v>71845.2</v>
      </c>
      <c r="R64" s="3922">
        <v>2500</v>
      </c>
      <c r="S64" s="3923">
        <v>150</v>
      </c>
      <c r="T64" s="3923">
        <v>0</v>
      </c>
      <c r="U64" s="3923">
        <v>0</v>
      </c>
      <c r="V64" s="3924">
        <f t="shared" si="6"/>
        <v>259240</v>
      </c>
      <c r="W64" s="3925">
        <v>7185</v>
      </c>
      <c r="X64" s="3925">
        <v>5132</v>
      </c>
      <c r="Y64" s="3925">
        <v>4790</v>
      </c>
      <c r="Z64" s="3925"/>
      <c r="AA64" s="3925"/>
      <c r="AB64" s="3926"/>
      <c r="AC64" s="3927">
        <f t="shared" si="7"/>
        <v>17107</v>
      </c>
      <c r="AD64" s="3926">
        <f t="shared" si="17"/>
        <v>100582.8</v>
      </c>
      <c r="AE64" s="3926">
        <f t="shared" si="17"/>
        <v>71845</v>
      </c>
      <c r="AF64" s="3926">
        <f t="shared" si="17"/>
        <v>67055.199999999997</v>
      </c>
      <c r="AG64" s="3926">
        <f t="shared" si="16"/>
        <v>2500</v>
      </c>
      <c r="AH64" s="3926">
        <f t="shared" si="16"/>
        <v>150</v>
      </c>
      <c r="AI64" s="3926">
        <f t="shared" si="16"/>
        <v>0</v>
      </c>
      <c r="AJ64" s="3926">
        <f t="shared" si="8"/>
        <v>0</v>
      </c>
      <c r="AK64" s="3928">
        <f t="shared" si="9"/>
        <v>242133</v>
      </c>
      <c r="AL64" s="3929">
        <f>SUMIF([3]租约表对应的会计账!$C$5:$C$164,B64,[3]租约表对应的会计账!$D$5:$D$164)</f>
        <v>107768</v>
      </c>
      <c r="AM64" s="3930">
        <f>SUMIF([3]租约表对应的会计账!$H$5:$H$164,B64,[3]租约表对应的会计账!$I$5:$I$164)</f>
        <v>76977</v>
      </c>
      <c r="AN64" s="3929">
        <f>SUMIF([3]租约表对应的会计账!$S$5:$S$164,B64,[3]租约表对应的会计账!$T$5:$T$164)</f>
        <v>71845</v>
      </c>
      <c r="AO64" s="3929">
        <f>SUMIF([3]租约表对应的会计账!$X$5:$X$164,B64,[3]租约表对应的会计账!$Y$5:$Y$164)</f>
        <v>2500</v>
      </c>
      <c r="AP64" s="3929">
        <f>SUMIF([3]租约表对应的会计账!$AC$5:$AC$164,[3]租约表!B64,[3]租约表对应的会计账!$AD$5:$AD$164)</f>
        <v>150</v>
      </c>
      <c r="AQ64" s="3929">
        <f>SUMIF([3]租约表对应的会计账!$AH$5:$AH$164,[3]租约表!B64,[3]租约表对应的会计账!$AI$5:$AI$164)</f>
        <v>0</v>
      </c>
      <c r="AR64" s="3929">
        <f t="shared" si="10"/>
        <v>259240</v>
      </c>
      <c r="AS64" s="3929">
        <f t="shared" si="15"/>
        <v>-7185.1999999999971</v>
      </c>
      <c r="AT64" s="3929">
        <f t="shared" si="15"/>
        <v>-5132</v>
      </c>
      <c r="AU64" s="3929">
        <f t="shared" si="15"/>
        <v>-4789.8000000000029</v>
      </c>
      <c r="AV64" s="3929">
        <f t="shared" si="15"/>
        <v>0</v>
      </c>
      <c r="AW64" s="3929">
        <f t="shared" si="15"/>
        <v>0</v>
      </c>
      <c r="AX64" s="3929">
        <f t="shared" si="15"/>
        <v>0</v>
      </c>
      <c r="AY64" s="3929">
        <f t="shared" si="2"/>
        <v>-17107</v>
      </c>
      <c r="AZ64" s="3915" t="s">
        <v>4021</v>
      </c>
    </row>
    <row r="65" spans="1:52" s="3931" customFormat="1" ht="60" customHeight="1">
      <c r="A65" s="3910" t="s">
        <v>4040</v>
      </c>
      <c r="B65" s="3911">
        <v>4003</v>
      </c>
      <c r="C65" s="3912" t="s">
        <v>3635</v>
      </c>
      <c r="D65" s="3912" t="s">
        <v>3636</v>
      </c>
      <c r="E65" s="3913">
        <v>44652</v>
      </c>
      <c r="F65" s="3913">
        <v>45382</v>
      </c>
      <c r="G65" s="3914">
        <f t="shared" si="3"/>
        <v>2</v>
      </c>
      <c r="H65" s="3915" t="s">
        <v>4041</v>
      </c>
      <c r="I65" s="3916">
        <v>351.2</v>
      </c>
      <c r="J65" s="3917">
        <v>4.03</v>
      </c>
      <c r="K65" s="3918">
        <v>3</v>
      </c>
      <c r="L65" s="3918">
        <v>2.8</v>
      </c>
      <c r="M65" s="3919">
        <f t="shared" si="13"/>
        <v>9.83</v>
      </c>
      <c r="N65" s="3920">
        <v>90</v>
      </c>
      <c r="O65" s="3921">
        <f t="shared" si="14"/>
        <v>127380.24</v>
      </c>
      <c r="P65" s="3921">
        <f t="shared" si="14"/>
        <v>94823.999999999985</v>
      </c>
      <c r="Q65" s="3921">
        <f t="shared" si="14"/>
        <v>88502.399999999994</v>
      </c>
      <c r="R65" s="3922">
        <v>2500</v>
      </c>
      <c r="S65" s="3923">
        <v>150</v>
      </c>
      <c r="T65" s="3923">
        <v>0</v>
      </c>
      <c r="U65" s="3923">
        <v>0</v>
      </c>
      <c r="V65" s="3924">
        <f t="shared" si="6"/>
        <v>313356.64</v>
      </c>
      <c r="W65" s="3925">
        <v>8492</v>
      </c>
      <c r="X65" s="3925">
        <v>6322</v>
      </c>
      <c r="Y65" s="3925">
        <v>5900</v>
      </c>
      <c r="Z65" s="3925"/>
      <c r="AA65" s="3925"/>
      <c r="AB65" s="3926"/>
      <c r="AC65" s="3927">
        <f t="shared" si="7"/>
        <v>20714</v>
      </c>
      <c r="AD65" s="3926">
        <f t="shared" si="17"/>
        <v>118888.24</v>
      </c>
      <c r="AE65" s="3926">
        <f t="shared" si="17"/>
        <v>88501.999999999985</v>
      </c>
      <c r="AF65" s="3926">
        <f t="shared" si="17"/>
        <v>82602.399999999994</v>
      </c>
      <c r="AG65" s="3926">
        <f t="shared" si="16"/>
        <v>2500</v>
      </c>
      <c r="AH65" s="3926">
        <f t="shared" si="16"/>
        <v>150</v>
      </c>
      <c r="AI65" s="3926">
        <f t="shared" si="16"/>
        <v>0</v>
      </c>
      <c r="AJ65" s="3926">
        <f t="shared" si="8"/>
        <v>0</v>
      </c>
      <c r="AK65" s="3928">
        <f t="shared" si="9"/>
        <v>292642.64</v>
      </c>
      <c r="AL65" s="3929">
        <f>SUMIF([3]租约表对应的会计账!$C$5:$C$164,B65,[3]租约表对应的会计账!$D$5:$D$164)</f>
        <v>386873</v>
      </c>
      <c r="AM65" s="3930">
        <f>SUMIF([3]租约表对应的会计账!$H$5:$H$164,B65,[3]租约表对应的会计账!$I$5:$I$164)</f>
        <v>288686</v>
      </c>
      <c r="AN65" s="3929">
        <f>SUMIF([3]租约表对应的会计账!$S$5:$S$164,B65,[3]租约表对应的会计账!$T$5:$T$164)</f>
        <v>269441</v>
      </c>
      <c r="AO65" s="3929">
        <f>SUMIF([3]租约表对应的会计账!$X$5:$X$164,B65,[3]租约表对应的会计账!$Y$5:$Y$164)</f>
        <v>7500</v>
      </c>
      <c r="AP65" s="3929">
        <f>SUMIF([3]租约表对应的会计账!$AC$5:$AC$164,[3]租约表!B65,[3]租约表对应的会计账!$AD$5:$AD$164)</f>
        <v>450</v>
      </c>
      <c r="AQ65" s="3929">
        <f>SUMIF([3]租约表对应的会计账!$AH$5:$AH$164,[3]租约表!B65,[3]租约表对应的会计账!$AI$5:$AI$164)</f>
        <v>0</v>
      </c>
      <c r="AR65" s="3929">
        <f t="shared" si="10"/>
        <v>952950</v>
      </c>
      <c r="AS65" s="3929">
        <f t="shared" si="15"/>
        <v>-267984.76</v>
      </c>
      <c r="AT65" s="3929">
        <f t="shared" si="15"/>
        <v>-200184</v>
      </c>
      <c r="AU65" s="3929">
        <f t="shared" si="15"/>
        <v>-186838.6</v>
      </c>
      <c r="AV65" s="3929">
        <f t="shared" si="15"/>
        <v>-5000</v>
      </c>
      <c r="AW65" s="3929">
        <f t="shared" si="15"/>
        <v>-300</v>
      </c>
      <c r="AX65" s="3929">
        <f t="shared" si="15"/>
        <v>0</v>
      </c>
      <c r="AY65" s="3929">
        <f t="shared" si="2"/>
        <v>-660307.36</v>
      </c>
      <c r="AZ65" s="3915" t="s">
        <v>4042</v>
      </c>
    </row>
    <row r="66" spans="1:52" s="3931" customFormat="1" ht="60" customHeight="1">
      <c r="A66" s="3910" t="s">
        <v>4040</v>
      </c>
      <c r="B66" s="3911">
        <v>4006</v>
      </c>
      <c r="C66" s="3912" t="s">
        <v>3637</v>
      </c>
      <c r="D66" s="3912" t="s">
        <v>3638</v>
      </c>
      <c r="E66" s="3913">
        <v>44845</v>
      </c>
      <c r="F66" s="3913">
        <v>45565</v>
      </c>
      <c r="G66" s="3914">
        <f t="shared" si="3"/>
        <v>1.9726027397260273</v>
      </c>
      <c r="H66" s="3915" t="s">
        <v>4043</v>
      </c>
      <c r="I66" s="3916">
        <v>265.60000000000002</v>
      </c>
      <c r="J66" s="3917">
        <v>3.39</v>
      </c>
      <c r="K66" s="3918">
        <v>0</v>
      </c>
      <c r="L66" s="3918">
        <v>2.8</v>
      </c>
      <c r="M66" s="3919">
        <f t="shared" si="13"/>
        <v>6.1899999999999995</v>
      </c>
      <c r="N66" s="3920">
        <v>90</v>
      </c>
      <c r="O66" s="3921">
        <f t="shared" si="14"/>
        <v>81034.560000000012</v>
      </c>
      <c r="P66" s="3921">
        <f t="shared" si="14"/>
        <v>0</v>
      </c>
      <c r="Q66" s="3921">
        <f t="shared" si="14"/>
        <v>66931.200000000012</v>
      </c>
      <c r="R66" s="3922">
        <v>2500</v>
      </c>
      <c r="S66" s="3923">
        <v>150</v>
      </c>
      <c r="T66" s="3923">
        <v>0</v>
      </c>
      <c r="U66" s="3923">
        <v>0</v>
      </c>
      <c r="V66" s="3924">
        <f t="shared" si="6"/>
        <v>150615.76</v>
      </c>
      <c r="W66" s="3925">
        <v>5482</v>
      </c>
      <c r="X66" s="3925">
        <v>0</v>
      </c>
      <c r="Y66" s="3925">
        <v>4462</v>
      </c>
      <c r="Z66" s="3925"/>
      <c r="AA66" s="3925"/>
      <c r="AB66" s="3926"/>
      <c r="AC66" s="3927">
        <f t="shared" si="7"/>
        <v>9944</v>
      </c>
      <c r="AD66" s="3926">
        <f t="shared" si="17"/>
        <v>75552.560000000012</v>
      </c>
      <c r="AE66" s="3926">
        <f t="shared" si="17"/>
        <v>0</v>
      </c>
      <c r="AF66" s="3926">
        <f t="shared" si="17"/>
        <v>62469.200000000012</v>
      </c>
      <c r="AG66" s="3926">
        <f t="shared" si="16"/>
        <v>2500</v>
      </c>
      <c r="AH66" s="3926">
        <f t="shared" si="16"/>
        <v>150</v>
      </c>
      <c r="AI66" s="3926">
        <f t="shared" si="16"/>
        <v>0</v>
      </c>
      <c r="AJ66" s="3926">
        <f t="shared" si="8"/>
        <v>0</v>
      </c>
      <c r="AK66" s="3928">
        <f t="shared" si="9"/>
        <v>140671.76</v>
      </c>
      <c r="AL66" s="3929">
        <f>SUMIF([3]租约表对应的会计账!$C$5:$C$164,B66,[3]租约表对应的会计账!$D$5:$D$164)</f>
        <v>76657</v>
      </c>
      <c r="AM66" s="3930">
        <f>SUMIF([3]租约表对应的会计账!$H$5:$H$164,B66,[3]租约表对应的会计账!$I$5:$I$164)</f>
        <v>0</v>
      </c>
      <c r="AN66" s="3929">
        <f>SUMIF([3]租约表对应的会计账!$S$5:$S$164,B66,[3]租约表对应的会计账!$T$5:$T$164)</f>
        <v>63400</v>
      </c>
      <c r="AO66" s="3929">
        <f>SUMIF([3]租约表对应的会计账!$X$5:$X$164,B66,[3]租约表对应的会计账!$Y$5:$Y$164)</f>
        <v>2499</v>
      </c>
      <c r="AP66" s="3929">
        <f>SUMIF([3]租约表对应的会计账!$AC$5:$AC$164,[3]租约表!B66,[3]租约表对应的会计账!$AD$5:$AD$164)</f>
        <v>150</v>
      </c>
      <c r="AQ66" s="3929">
        <f>SUMIF([3]租约表对应的会计账!$AH$5:$AH$164,[3]租约表!B66,[3]租约表对应的会计账!$AI$5:$AI$164)</f>
        <v>0</v>
      </c>
      <c r="AR66" s="3929">
        <f t="shared" si="10"/>
        <v>142706</v>
      </c>
      <c r="AS66" s="3929">
        <f t="shared" si="15"/>
        <v>-1104.4399999999878</v>
      </c>
      <c r="AT66" s="3929">
        <f t="shared" si="15"/>
        <v>0</v>
      </c>
      <c r="AU66" s="3929">
        <f t="shared" si="15"/>
        <v>-930.79999999998836</v>
      </c>
      <c r="AV66" s="3929">
        <f t="shared" si="15"/>
        <v>1</v>
      </c>
      <c r="AW66" s="3929">
        <f t="shared" si="15"/>
        <v>0</v>
      </c>
      <c r="AX66" s="3929">
        <f t="shared" si="15"/>
        <v>0</v>
      </c>
      <c r="AY66" s="3929">
        <f t="shared" si="2"/>
        <v>-2034.2399999999761</v>
      </c>
      <c r="AZ66" s="3915" t="s">
        <v>3967</v>
      </c>
    </row>
    <row r="67" spans="1:52" s="3931" customFormat="1" ht="60" customHeight="1">
      <c r="A67" s="3910" t="s">
        <v>4040</v>
      </c>
      <c r="B67" s="3911" t="s">
        <v>4044</v>
      </c>
      <c r="C67" s="3912" t="s">
        <v>3639</v>
      </c>
      <c r="D67" s="3912" t="s">
        <v>3640</v>
      </c>
      <c r="E67" s="3913">
        <v>44844</v>
      </c>
      <c r="F67" s="3913">
        <v>45565</v>
      </c>
      <c r="G67" s="3914">
        <f t="shared" si="3"/>
        <v>1.9753424657534246</v>
      </c>
      <c r="H67" s="3915" t="s">
        <v>4045</v>
      </c>
      <c r="I67" s="3916">
        <v>233.28</v>
      </c>
      <c r="J67" s="3917">
        <v>3.95</v>
      </c>
      <c r="K67" s="3918">
        <v>1</v>
      </c>
      <c r="L67" s="3918">
        <v>2.8</v>
      </c>
      <c r="M67" s="3919">
        <f t="shared" si="13"/>
        <v>7.75</v>
      </c>
      <c r="N67" s="3920">
        <v>90</v>
      </c>
      <c r="O67" s="3921">
        <f t="shared" si="14"/>
        <v>82931.040000000008</v>
      </c>
      <c r="P67" s="3921">
        <f t="shared" si="14"/>
        <v>20995.200000000001</v>
      </c>
      <c r="Q67" s="3921">
        <f t="shared" si="14"/>
        <v>58786.559999999998</v>
      </c>
      <c r="R67" s="3922">
        <v>2500</v>
      </c>
      <c r="S67" s="3923">
        <v>300</v>
      </c>
      <c r="T67" s="3923">
        <v>0</v>
      </c>
      <c r="U67" s="3923">
        <v>0</v>
      </c>
      <c r="V67" s="3924">
        <f t="shared" si="6"/>
        <v>165512.79999999999</v>
      </c>
      <c r="W67" s="3925">
        <v>5613</v>
      </c>
      <c r="X67" s="3925">
        <v>1400</v>
      </c>
      <c r="Y67" s="3925">
        <v>3919</v>
      </c>
      <c r="Z67" s="3925"/>
      <c r="AA67" s="3925"/>
      <c r="AB67" s="3926"/>
      <c r="AC67" s="3927">
        <f t="shared" si="7"/>
        <v>10932</v>
      </c>
      <c r="AD67" s="3926">
        <f t="shared" si="17"/>
        <v>77318.040000000008</v>
      </c>
      <c r="AE67" s="3926">
        <f t="shared" si="17"/>
        <v>19595.2</v>
      </c>
      <c r="AF67" s="3926">
        <f t="shared" si="17"/>
        <v>54867.56</v>
      </c>
      <c r="AG67" s="3926">
        <f t="shared" si="16"/>
        <v>2500</v>
      </c>
      <c r="AH67" s="3926">
        <f t="shared" si="16"/>
        <v>300</v>
      </c>
      <c r="AI67" s="3926">
        <f t="shared" si="16"/>
        <v>0</v>
      </c>
      <c r="AJ67" s="3926">
        <f t="shared" si="8"/>
        <v>0</v>
      </c>
      <c r="AK67" s="3928">
        <f t="shared" si="9"/>
        <v>154580.79999999999</v>
      </c>
      <c r="AL67" s="3929">
        <f>SUMIF([3]租约表对应的会计账!$C$5:$C$164,B67,[3]租约表对应的会计账!$D$5:$D$164)</f>
        <v>78497</v>
      </c>
      <c r="AM67" s="3930">
        <f>SUMIF([3]租约表对应的会计账!$H$5:$H$164,B67,[3]租约表对应的会计账!$I$5:$I$164)</f>
        <v>19887</v>
      </c>
      <c r="AN67" s="3929">
        <f>SUMIF([3]租约表对应的会计账!$S$5:$S$164,B67,[3]租约表对应的会计账!$T$5:$T$164)</f>
        <v>55684</v>
      </c>
      <c r="AO67" s="3929">
        <f>SUMIF([3]租约表对应的会计账!$X$5:$X$164,B67,[3]租约表对应的会计账!$Y$5:$Y$164)</f>
        <v>2500</v>
      </c>
      <c r="AP67" s="3929">
        <f>SUMIF([3]租约表对应的会计账!$AC$5:$AC$164,[3]租约表!B67,[3]租约表对应的会计账!$AD$5:$AD$164)</f>
        <v>300</v>
      </c>
      <c r="AQ67" s="3929">
        <f>SUMIF([3]租约表对应的会计账!$AH$5:$AH$164,[3]租约表!B67,[3]租约表对应的会计账!$AI$5:$AI$164)</f>
        <v>0</v>
      </c>
      <c r="AR67" s="3929">
        <f t="shared" si="10"/>
        <v>156868</v>
      </c>
      <c r="AS67" s="3929">
        <f t="shared" si="15"/>
        <v>-1178.9599999999919</v>
      </c>
      <c r="AT67" s="3929">
        <f t="shared" si="15"/>
        <v>-291.79999999999927</v>
      </c>
      <c r="AU67" s="3929">
        <f t="shared" si="15"/>
        <v>-816.44000000000233</v>
      </c>
      <c r="AV67" s="3929">
        <f t="shared" si="15"/>
        <v>0</v>
      </c>
      <c r="AW67" s="3929">
        <f t="shared" si="15"/>
        <v>0</v>
      </c>
      <c r="AX67" s="3929">
        <f t="shared" si="15"/>
        <v>0</v>
      </c>
      <c r="AY67" s="3929">
        <f t="shared" ref="AY67:AY126" si="18">SUM(AS67:AX67)</f>
        <v>-2287.1999999999935</v>
      </c>
      <c r="AZ67" s="3915" t="s">
        <v>3967</v>
      </c>
    </row>
    <row r="68" spans="1:52" s="3931" customFormat="1" ht="60" customHeight="1">
      <c r="A68" s="3910" t="s">
        <v>4040</v>
      </c>
      <c r="B68" s="3911">
        <v>4008</v>
      </c>
      <c r="C68" s="3912" t="s">
        <v>3641</v>
      </c>
      <c r="D68" s="3912" t="s">
        <v>3642</v>
      </c>
      <c r="E68" s="3913">
        <v>44652</v>
      </c>
      <c r="F68" s="3912">
        <v>45747</v>
      </c>
      <c r="G68" s="3914">
        <f t="shared" ref="G68:G125" si="19">(F68-E68)/365</f>
        <v>3</v>
      </c>
      <c r="H68" s="3915" t="s">
        <v>4046</v>
      </c>
      <c r="I68" s="3916">
        <v>451.5</v>
      </c>
      <c r="J68" s="3917">
        <v>0.9</v>
      </c>
      <c r="K68" s="3918"/>
      <c r="L68" s="3918">
        <v>2.8</v>
      </c>
      <c r="M68" s="3919">
        <f t="shared" si="13"/>
        <v>3.6999999999999997</v>
      </c>
      <c r="N68" s="3920">
        <v>90</v>
      </c>
      <c r="O68" s="3921">
        <f t="shared" ref="O68:Q99" si="20">$I68*J68*$N68</f>
        <v>36571.5</v>
      </c>
      <c r="P68" s="3921">
        <f t="shared" si="20"/>
        <v>0</v>
      </c>
      <c r="Q68" s="3921">
        <f t="shared" si="20"/>
        <v>113777.99999999999</v>
      </c>
      <c r="R68" s="3922">
        <v>2500</v>
      </c>
      <c r="S68" s="3923">
        <v>300</v>
      </c>
      <c r="T68" s="3923">
        <v>0</v>
      </c>
      <c r="U68" s="3923">
        <v>0</v>
      </c>
      <c r="V68" s="3924">
        <f t="shared" ref="V68:V125" si="21">SUM(O68:U68)</f>
        <v>153149.5</v>
      </c>
      <c r="W68" s="3925">
        <v>4064</v>
      </c>
      <c r="X68" s="3925">
        <v>0</v>
      </c>
      <c r="Y68" s="3925">
        <v>12642</v>
      </c>
      <c r="Z68" s="3925"/>
      <c r="AA68" s="3925"/>
      <c r="AB68" s="3926"/>
      <c r="AC68" s="3927">
        <f t="shared" ref="AC68:AC125" si="22">SUM(W68:AB68)</f>
        <v>16706</v>
      </c>
      <c r="AD68" s="3926">
        <f t="shared" si="17"/>
        <v>32507.5</v>
      </c>
      <c r="AE68" s="3926">
        <f t="shared" si="17"/>
        <v>0</v>
      </c>
      <c r="AF68" s="3926">
        <f t="shared" si="17"/>
        <v>101135.99999999999</v>
      </c>
      <c r="AG68" s="3926">
        <f t="shared" si="16"/>
        <v>2500</v>
      </c>
      <c r="AH68" s="3926">
        <f t="shared" si="16"/>
        <v>300</v>
      </c>
      <c r="AI68" s="3926">
        <f t="shared" si="16"/>
        <v>0</v>
      </c>
      <c r="AJ68" s="3926">
        <f t="shared" ref="AJ68:AJ125" si="23">U68</f>
        <v>0</v>
      </c>
      <c r="AK68" s="3928">
        <f t="shared" ref="AK68:AK125" si="24">SUM(AD68:AJ68)</f>
        <v>136443.5</v>
      </c>
      <c r="AL68" s="3929">
        <f>SUMIF([3]租约表对应的会计账!$C$5:$C$164,B68,[3]租约表对应的会计账!$D$5:$D$164)</f>
        <v>32508</v>
      </c>
      <c r="AM68" s="3930">
        <f>SUMIF([3]租约表对应的会计账!$H$5:$H$164,B68,[3]租约表对应的会计账!$I$5:$I$164)</f>
        <v>0</v>
      </c>
      <c r="AN68" s="3929">
        <f>SUMIF([3]租约表对应的会计账!$S$5:$S$164,B68,[3]租约表对应的会计账!$T$5:$T$164)</f>
        <v>101136</v>
      </c>
      <c r="AO68" s="3929">
        <f>SUMIF([3]租约表对应的会计账!$X$5:$X$164,B68,[3]租约表对应的会计账!$Y$5:$Y$164)</f>
        <v>2500</v>
      </c>
      <c r="AP68" s="3929">
        <f>SUMIF([3]租约表对应的会计账!$AC$5:$AC$164,[3]租约表!B68,[3]租约表对应的会计账!$AD$5:$AD$164)</f>
        <v>300</v>
      </c>
      <c r="AQ68" s="3929">
        <f>SUMIF([3]租约表对应的会计账!$AH$5:$AH$164,[3]租约表!B68,[3]租约表对应的会计账!$AI$5:$AI$164)</f>
        <v>0</v>
      </c>
      <c r="AR68" s="3929">
        <f t="shared" ref="AR68:AR125" si="25">SUM(AL68:AQ68)</f>
        <v>136444</v>
      </c>
      <c r="AS68" s="3929">
        <f t="shared" si="15"/>
        <v>-0.5</v>
      </c>
      <c r="AT68" s="3929">
        <f t="shared" si="15"/>
        <v>0</v>
      </c>
      <c r="AU68" s="3929">
        <f t="shared" si="15"/>
        <v>0</v>
      </c>
      <c r="AV68" s="3929">
        <f t="shared" si="15"/>
        <v>0</v>
      </c>
      <c r="AW68" s="3929">
        <f t="shared" si="15"/>
        <v>0</v>
      </c>
      <c r="AX68" s="3929">
        <f t="shared" si="15"/>
        <v>0</v>
      </c>
      <c r="AY68" s="3929">
        <f t="shared" si="18"/>
        <v>-0.5</v>
      </c>
      <c r="AZ68" s="3915" t="s">
        <v>3967</v>
      </c>
    </row>
    <row r="69" spans="1:52" s="3931" customFormat="1" ht="60" customHeight="1">
      <c r="A69" s="3910" t="s">
        <v>4040</v>
      </c>
      <c r="B69" s="3911">
        <v>4010</v>
      </c>
      <c r="C69" s="3912" t="s">
        <v>3643</v>
      </c>
      <c r="D69" s="3912" t="s">
        <v>3644</v>
      </c>
      <c r="E69" s="3913">
        <v>44413</v>
      </c>
      <c r="F69" s="3913">
        <v>45138</v>
      </c>
      <c r="G69" s="3914">
        <f t="shared" si="19"/>
        <v>1.9863013698630136</v>
      </c>
      <c r="H69" s="3915" t="s">
        <v>4047</v>
      </c>
      <c r="I69" s="3916">
        <v>182.88</v>
      </c>
      <c r="J69" s="3917">
        <v>4.2</v>
      </c>
      <c r="K69" s="3918">
        <v>3</v>
      </c>
      <c r="L69" s="3918">
        <v>2.8</v>
      </c>
      <c r="M69" s="3919">
        <f t="shared" si="13"/>
        <v>10</v>
      </c>
      <c r="N69" s="3920">
        <v>90</v>
      </c>
      <c r="O69" s="3921">
        <f t="shared" si="20"/>
        <v>69128.639999999999</v>
      </c>
      <c r="P69" s="3921">
        <f t="shared" si="20"/>
        <v>49377.599999999999</v>
      </c>
      <c r="Q69" s="3921">
        <f t="shared" si="20"/>
        <v>46085.759999999995</v>
      </c>
      <c r="R69" s="3922">
        <v>2500</v>
      </c>
      <c r="S69" s="3923">
        <v>150</v>
      </c>
      <c r="T69" s="3923">
        <v>0</v>
      </c>
      <c r="U69" s="3923">
        <v>0</v>
      </c>
      <c r="V69" s="3924">
        <f t="shared" si="21"/>
        <v>167242</v>
      </c>
      <c r="W69" s="3925">
        <v>9985</v>
      </c>
      <c r="X69" s="3925">
        <v>7132</v>
      </c>
      <c r="Y69" s="3925">
        <v>6657</v>
      </c>
      <c r="Z69" s="3925"/>
      <c r="AA69" s="3925"/>
      <c r="AB69" s="3926"/>
      <c r="AC69" s="3927">
        <f t="shared" si="22"/>
        <v>23774</v>
      </c>
      <c r="AD69" s="3926">
        <f t="shared" si="17"/>
        <v>59143.64</v>
      </c>
      <c r="AE69" s="3926">
        <f t="shared" si="17"/>
        <v>42245.599999999999</v>
      </c>
      <c r="AF69" s="3926">
        <f t="shared" si="17"/>
        <v>39428.759999999995</v>
      </c>
      <c r="AG69" s="3926">
        <f t="shared" si="16"/>
        <v>2500</v>
      </c>
      <c r="AH69" s="3926">
        <f t="shared" si="16"/>
        <v>150</v>
      </c>
      <c r="AI69" s="3926">
        <f t="shared" si="16"/>
        <v>0</v>
      </c>
      <c r="AJ69" s="3926">
        <f t="shared" si="23"/>
        <v>0</v>
      </c>
      <c r="AK69" s="3928">
        <f t="shared" si="24"/>
        <v>143468</v>
      </c>
      <c r="AL69" s="3929">
        <f>SUMIF([3]租约表对应的会计账!$C$5:$C$164,B69,[3]租约表对应的会计账!$D$5:$D$164)</f>
        <v>59514</v>
      </c>
      <c r="AM69" s="3930">
        <f>SUMIF([3]租约表对应的会计账!$H$5:$H$164,B69,[3]租约表对应的会计账!$I$5:$I$164)</f>
        <v>42246</v>
      </c>
      <c r="AN69" s="3929">
        <f>SUMIF([3]租约表对应的会计账!$S$5:$S$164,B69,[3]租约表对应的会计账!$T$5:$T$164)</f>
        <v>39799</v>
      </c>
      <c r="AO69" s="3929">
        <f>SUMIF([3]租约表对应的会计账!$X$5:$X$164,B69,[3]租约表对应的会计账!$Y$5:$Y$164)</f>
        <v>2151</v>
      </c>
      <c r="AP69" s="3929">
        <f>SUMIF([3]租约表对应的会计账!$AC$5:$AC$164,[3]租约表!B69,[3]租约表对应的会计账!$AD$5:$AD$164)</f>
        <v>129</v>
      </c>
      <c r="AQ69" s="3929">
        <f>SUMIF([3]租约表对应的会计账!$AH$5:$AH$164,[3]租约表!B69,[3]租约表对应的会计账!$AI$5:$AI$164)</f>
        <v>0</v>
      </c>
      <c r="AR69" s="3929">
        <f t="shared" si="25"/>
        <v>143839</v>
      </c>
      <c r="AS69" s="3929">
        <f t="shared" si="15"/>
        <v>-370.36000000000058</v>
      </c>
      <c r="AT69" s="3929">
        <f t="shared" si="15"/>
        <v>-0.40000000000145519</v>
      </c>
      <c r="AU69" s="3929">
        <f t="shared" si="15"/>
        <v>-370.24000000000524</v>
      </c>
      <c r="AV69" s="3929">
        <f t="shared" si="15"/>
        <v>349</v>
      </c>
      <c r="AW69" s="3929">
        <f t="shared" si="15"/>
        <v>21</v>
      </c>
      <c r="AX69" s="3929">
        <f t="shared" si="15"/>
        <v>0</v>
      </c>
      <c r="AY69" s="3929">
        <f t="shared" si="18"/>
        <v>-371.00000000000728</v>
      </c>
      <c r="AZ69" s="3915" t="s">
        <v>3975</v>
      </c>
    </row>
    <row r="70" spans="1:52" s="3931" customFormat="1" ht="60" customHeight="1">
      <c r="A70" s="3910" t="s">
        <v>4040</v>
      </c>
      <c r="B70" s="3911">
        <v>4013</v>
      </c>
      <c r="C70" s="3912" t="s">
        <v>3645</v>
      </c>
      <c r="D70" s="3912" t="s">
        <v>3646</v>
      </c>
      <c r="E70" s="3913">
        <v>44652</v>
      </c>
      <c r="F70" s="3913">
        <v>45382</v>
      </c>
      <c r="G70" s="3914">
        <f t="shared" si="19"/>
        <v>2</v>
      </c>
      <c r="H70" s="3915" t="s">
        <v>4048</v>
      </c>
      <c r="I70" s="3916">
        <v>279.5</v>
      </c>
      <c r="J70" s="3917">
        <v>4.7</v>
      </c>
      <c r="K70" s="3918">
        <v>3</v>
      </c>
      <c r="L70" s="3918">
        <v>2.8</v>
      </c>
      <c r="M70" s="3919">
        <f t="shared" si="13"/>
        <v>10.5</v>
      </c>
      <c r="N70" s="3920">
        <v>90</v>
      </c>
      <c r="O70" s="3921">
        <f t="shared" si="20"/>
        <v>118228.50000000001</v>
      </c>
      <c r="P70" s="3921">
        <f t="shared" si="20"/>
        <v>75465</v>
      </c>
      <c r="Q70" s="3921">
        <f t="shared" si="20"/>
        <v>70433.999999999985</v>
      </c>
      <c r="R70" s="3922">
        <v>2500</v>
      </c>
      <c r="S70" s="3923">
        <v>300</v>
      </c>
      <c r="T70" s="3923">
        <v>0</v>
      </c>
      <c r="U70" s="3923">
        <v>0</v>
      </c>
      <c r="V70" s="3924">
        <f t="shared" si="21"/>
        <v>266927.5</v>
      </c>
      <c r="W70" s="3925">
        <v>13137</v>
      </c>
      <c r="X70" s="3925">
        <v>8385</v>
      </c>
      <c r="Y70" s="3925">
        <v>7826</v>
      </c>
      <c r="Z70" s="3925"/>
      <c r="AA70" s="3925"/>
      <c r="AB70" s="3926"/>
      <c r="AC70" s="3927">
        <f t="shared" si="22"/>
        <v>29348</v>
      </c>
      <c r="AD70" s="3926">
        <f t="shared" si="17"/>
        <v>105091.50000000001</v>
      </c>
      <c r="AE70" s="3926">
        <f t="shared" si="17"/>
        <v>67080</v>
      </c>
      <c r="AF70" s="3926">
        <f t="shared" si="17"/>
        <v>62607.999999999985</v>
      </c>
      <c r="AG70" s="3926">
        <f t="shared" si="16"/>
        <v>2500</v>
      </c>
      <c r="AH70" s="3926">
        <f t="shared" si="16"/>
        <v>300</v>
      </c>
      <c r="AI70" s="3926">
        <f t="shared" si="16"/>
        <v>0</v>
      </c>
      <c r="AJ70" s="3926">
        <f t="shared" si="23"/>
        <v>0</v>
      </c>
      <c r="AK70" s="3928">
        <f t="shared" si="24"/>
        <v>237579.5</v>
      </c>
      <c r="AL70" s="3929">
        <f>SUMIF([3]租约表对应的会计账!$C$5:$C$164,B70,[3]租约表对应的会计账!$D$5:$D$164)</f>
        <v>105092</v>
      </c>
      <c r="AM70" s="3930">
        <f>SUMIF([3]租约表对应的会计账!$H$5:$H$164,B70,[3]租约表对应的会计账!$I$5:$I$164)</f>
        <v>67080</v>
      </c>
      <c r="AN70" s="3929">
        <f>SUMIF([3]租约表对应的会计账!$S$5:$S$164,B70,[3]租约表对应的会计账!$T$5:$T$164)</f>
        <v>62608</v>
      </c>
      <c r="AO70" s="3929">
        <f>SUMIF([3]租约表对应的会计账!$X$5:$X$164,B70,[3]租约表对应的会计账!$Y$5:$Y$164)</f>
        <v>2500</v>
      </c>
      <c r="AP70" s="3929">
        <f>SUMIF([3]租约表对应的会计账!$AC$5:$AC$164,[3]租约表!B70,[3]租约表对应的会计账!$AD$5:$AD$164)</f>
        <v>300</v>
      </c>
      <c r="AQ70" s="3929">
        <f>SUMIF([3]租约表对应的会计账!$AH$5:$AH$164,[3]租约表!B70,[3]租约表对应的会计账!$AI$5:$AI$164)</f>
        <v>0</v>
      </c>
      <c r="AR70" s="3929">
        <f t="shared" si="25"/>
        <v>237580</v>
      </c>
      <c r="AS70" s="3929">
        <f t="shared" si="15"/>
        <v>-0.49999999998544808</v>
      </c>
      <c r="AT70" s="3929">
        <f t="shared" si="15"/>
        <v>0</v>
      </c>
      <c r="AU70" s="3929">
        <f t="shared" si="15"/>
        <v>0</v>
      </c>
      <c r="AV70" s="3929">
        <f t="shared" si="15"/>
        <v>0</v>
      </c>
      <c r="AW70" s="3929">
        <f t="shared" si="15"/>
        <v>0</v>
      </c>
      <c r="AX70" s="3929">
        <f t="shared" si="15"/>
        <v>0</v>
      </c>
      <c r="AY70" s="3929">
        <f t="shared" si="18"/>
        <v>-0.49999999998544808</v>
      </c>
      <c r="AZ70" s="3915" t="s">
        <v>3967</v>
      </c>
    </row>
    <row r="71" spans="1:52" s="3931" customFormat="1" ht="60" customHeight="1">
      <c r="A71" s="3910" t="s">
        <v>4040</v>
      </c>
      <c r="B71" s="3911">
        <v>4015</v>
      </c>
      <c r="C71" s="3912" t="s">
        <v>3645</v>
      </c>
      <c r="D71" s="3912" t="s">
        <v>3647</v>
      </c>
      <c r="E71" s="3913">
        <v>44880</v>
      </c>
      <c r="F71" s="3913">
        <v>45382</v>
      </c>
      <c r="G71" s="3914">
        <f t="shared" si="19"/>
        <v>1.3753424657534246</v>
      </c>
      <c r="H71" s="3915" t="s">
        <v>4049</v>
      </c>
      <c r="I71" s="3916">
        <v>120.8</v>
      </c>
      <c r="J71" s="3917">
        <v>4.7</v>
      </c>
      <c r="K71" s="3918">
        <v>3</v>
      </c>
      <c r="L71" s="3918">
        <v>2.8</v>
      </c>
      <c r="M71" s="3919">
        <f t="shared" si="13"/>
        <v>10.5</v>
      </c>
      <c r="N71" s="3920">
        <v>90</v>
      </c>
      <c r="O71" s="3921">
        <f t="shared" si="20"/>
        <v>51098.400000000001</v>
      </c>
      <c r="P71" s="3921">
        <f t="shared" si="20"/>
        <v>32615.999999999996</v>
      </c>
      <c r="Q71" s="3921">
        <f t="shared" si="20"/>
        <v>30441.599999999995</v>
      </c>
      <c r="R71" s="3922">
        <v>0</v>
      </c>
      <c r="S71" s="3923">
        <v>0</v>
      </c>
      <c r="T71" s="3923">
        <v>0</v>
      </c>
      <c r="U71" s="3923">
        <v>0</v>
      </c>
      <c r="V71" s="3924">
        <f t="shared" si="21"/>
        <v>114155.99999999999</v>
      </c>
      <c r="W71" s="3925">
        <v>5678</v>
      </c>
      <c r="X71" s="3925">
        <v>3624</v>
      </c>
      <c r="Y71" s="3925">
        <v>3382</v>
      </c>
      <c r="Z71" s="3925"/>
      <c r="AA71" s="3925"/>
      <c r="AB71" s="3926"/>
      <c r="AC71" s="3927">
        <f t="shared" si="22"/>
        <v>12684</v>
      </c>
      <c r="AD71" s="3926">
        <f t="shared" si="17"/>
        <v>45420.4</v>
      </c>
      <c r="AE71" s="3926">
        <f t="shared" si="17"/>
        <v>28991.999999999996</v>
      </c>
      <c r="AF71" s="3926">
        <f t="shared" si="17"/>
        <v>27059.599999999995</v>
      </c>
      <c r="AG71" s="3926">
        <f t="shared" si="16"/>
        <v>0</v>
      </c>
      <c r="AH71" s="3926">
        <f t="shared" si="16"/>
        <v>0</v>
      </c>
      <c r="AI71" s="3926">
        <f t="shared" si="16"/>
        <v>0</v>
      </c>
      <c r="AJ71" s="3926">
        <f t="shared" si="23"/>
        <v>0</v>
      </c>
      <c r="AK71" s="3928">
        <f t="shared" si="24"/>
        <v>101471.99999999999</v>
      </c>
      <c r="AL71" s="3929">
        <f>SUMIF([3]租约表对应的会计账!$C$5:$C$164,B71,[3]租约表对应的会计账!$D$5:$D$164)</f>
        <v>55072</v>
      </c>
      <c r="AM71" s="3930">
        <f>SUMIF([3]租约表对应的会计账!$H$5:$H$164,B71,[3]租约表对应的会计账!$I$5:$I$164)</f>
        <v>35153</v>
      </c>
      <c r="AN71" s="3929">
        <f>SUMIF([3]租约表对应的会计账!$S$5:$S$164,B71,[3]租约表对应的会计账!$T$5:$T$164)</f>
        <v>36192</v>
      </c>
      <c r="AO71" s="3929">
        <f>SUMIF([3]租约表对应的会计账!$X$5:$X$164,B71,[3]租约表对应的会计账!$Y$5:$Y$164)</f>
        <v>0</v>
      </c>
      <c r="AP71" s="3929">
        <f>SUMIF([3]租约表对应的会计账!$AC$5:$AC$164,[3]租约表!B71,[3]租约表对应的会计账!$AD$5:$AD$164)</f>
        <v>0</v>
      </c>
      <c r="AQ71" s="3929">
        <f>SUMIF([3]租约表对应的会计账!$AH$5:$AH$164,[3]租约表!B71,[3]租约表对应的会计账!$AI$5:$AI$164)</f>
        <v>0</v>
      </c>
      <c r="AR71" s="3929">
        <f t="shared" si="25"/>
        <v>126417</v>
      </c>
      <c r="AS71" s="3929">
        <f t="shared" si="15"/>
        <v>-9651.5999999999985</v>
      </c>
      <c r="AT71" s="3929">
        <f t="shared" si="15"/>
        <v>-6161.0000000000036</v>
      </c>
      <c r="AU71" s="3929">
        <f t="shared" si="15"/>
        <v>-9132.4000000000051</v>
      </c>
      <c r="AV71" s="3929">
        <f t="shared" si="15"/>
        <v>0</v>
      </c>
      <c r="AW71" s="3929">
        <f t="shared" si="15"/>
        <v>0</v>
      </c>
      <c r="AX71" s="3929">
        <f t="shared" si="15"/>
        <v>0</v>
      </c>
      <c r="AY71" s="3929">
        <f t="shared" si="18"/>
        <v>-24945.000000000007</v>
      </c>
      <c r="AZ71" s="3915" t="s">
        <v>4021</v>
      </c>
    </row>
    <row r="72" spans="1:52" s="3931" customFormat="1" ht="37.9" customHeight="1">
      <c r="A72" s="3910" t="s">
        <v>4040</v>
      </c>
      <c r="B72" s="3934">
        <v>4016</v>
      </c>
      <c r="C72" s="3912" t="s">
        <v>3648</v>
      </c>
      <c r="D72" s="3912" t="s">
        <v>3649</v>
      </c>
      <c r="E72" s="3913">
        <v>44387</v>
      </c>
      <c r="F72" s="3913">
        <v>45138</v>
      </c>
      <c r="G72" s="3914">
        <f t="shared" si="19"/>
        <v>2.0575342465753423</v>
      </c>
      <c r="H72" s="3915" t="s">
        <v>4050</v>
      </c>
      <c r="I72" s="3916" t="s">
        <v>4051</v>
      </c>
      <c r="J72" s="3917">
        <v>5.2</v>
      </c>
      <c r="K72" s="3918">
        <v>3</v>
      </c>
      <c r="L72" s="3918">
        <v>2.8</v>
      </c>
      <c r="M72" s="3919">
        <f t="shared" si="13"/>
        <v>11</v>
      </c>
      <c r="N72" s="3920">
        <v>90</v>
      </c>
      <c r="O72" s="3921">
        <f t="shared" si="20"/>
        <v>55186.560000000005</v>
      </c>
      <c r="P72" s="3921">
        <f t="shared" si="20"/>
        <v>31838.399999999998</v>
      </c>
      <c r="Q72" s="3921">
        <f t="shared" si="20"/>
        <v>29715.84</v>
      </c>
      <c r="R72" s="3922">
        <v>0</v>
      </c>
      <c r="S72" s="3923">
        <v>150</v>
      </c>
      <c r="T72" s="3923">
        <v>0</v>
      </c>
      <c r="U72" s="3923">
        <v>0</v>
      </c>
      <c r="V72" s="3924">
        <f t="shared" si="21"/>
        <v>116890.8</v>
      </c>
      <c r="W72" s="3925">
        <v>13585</v>
      </c>
      <c r="X72" s="3925">
        <v>2123</v>
      </c>
      <c r="Y72" s="3925">
        <v>1981</v>
      </c>
      <c r="Z72" s="3925"/>
      <c r="AA72" s="3925"/>
      <c r="AB72" s="3926"/>
      <c r="AC72" s="3927">
        <f t="shared" si="22"/>
        <v>17689</v>
      </c>
      <c r="AD72" s="3926">
        <f t="shared" si="17"/>
        <v>41601.560000000005</v>
      </c>
      <c r="AE72" s="3926">
        <f t="shared" si="17"/>
        <v>29715.399999999998</v>
      </c>
      <c r="AF72" s="3926">
        <f t="shared" si="17"/>
        <v>27734.84</v>
      </c>
      <c r="AG72" s="3926">
        <f t="shared" si="16"/>
        <v>0</v>
      </c>
      <c r="AH72" s="3926">
        <f t="shared" si="16"/>
        <v>150</v>
      </c>
      <c r="AI72" s="3926">
        <f t="shared" si="16"/>
        <v>0</v>
      </c>
      <c r="AJ72" s="3926">
        <f t="shared" si="23"/>
        <v>0</v>
      </c>
      <c r="AK72" s="3928">
        <f t="shared" si="24"/>
        <v>99201.8</v>
      </c>
      <c r="AL72" s="3929">
        <f>SUMIF([3]租约表对应的会计账!$C$5:$C$164,B72,[3]租约表对应的会计账!$D$5:$D$164)</f>
        <v>40947</v>
      </c>
      <c r="AM72" s="3930">
        <f>SUMIF([3]租约表对应的会计账!$H$5:$H$164,B72,[3]租约表对应的会计账!$I$5:$I$164)</f>
        <v>29715</v>
      </c>
      <c r="AN72" s="3929">
        <f>SUMIF([3]租约表对应的会计账!$S$5:$S$164,B72,[3]租约表对应的会计账!$T$5:$T$164)</f>
        <v>27735</v>
      </c>
      <c r="AO72" s="3929">
        <f>SUMIF([3]租约表对应的会计账!$X$5:$X$164,B72,[3]租约表对应的会计账!$Y$5:$Y$164)</f>
        <v>0</v>
      </c>
      <c r="AP72" s="3929">
        <f>SUMIF([3]租约表对应的会计账!$AC$5:$AC$164,[3]租约表!B72,[3]租约表对应的会计账!$AD$5:$AD$164)</f>
        <v>150</v>
      </c>
      <c r="AQ72" s="3929">
        <f>SUMIF([3]租约表对应的会计账!$AH$5:$AH$164,[3]租约表!B72,[3]租约表对应的会计账!$AI$5:$AI$164)</f>
        <v>0</v>
      </c>
      <c r="AR72" s="3929">
        <f t="shared" si="25"/>
        <v>98547</v>
      </c>
      <c r="AS72" s="3929">
        <f t="shared" si="15"/>
        <v>654.56000000000495</v>
      </c>
      <c r="AT72" s="3929">
        <f t="shared" si="15"/>
        <v>0.39999999999781721</v>
      </c>
      <c r="AU72" s="3929">
        <f t="shared" si="15"/>
        <v>-0.15999999999985448</v>
      </c>
      <c r="AV72" s="3929">
        <f t="shared" si="15"/>
        <v>0</v>
      </c>
      <c r="AW72" s="3929">
        <f t="shared" si="15"/>
        <v>0</v>
      </c>
      <c r="AX72" s="3929">
        <f t="shared" si="15"/>
        <v>0</v>
      </c>
      <c r="AY72" s="3929">
        <f t="shared" si="18"/>
        <v>654.80000000000291</v>
      </c>
      <c r="AZ72" s="3915" t="s">
        <v>4052</v>
      </c>
    </row>
    <row r="73" spans="1:52" s="3931" customFormat="1" ht="60" customHeight="1">
      <c r="A73" s="3910" t="s">
        <v>4040</v>
      </c>
      <c r="B73" s="3911">
        <v>4017</v>
      </c>
      <c r="C73" s="3912" t="s">
        <v>3568</v>
      </c>
      <c r="D73" s="3912"/>
      <c r="E73" s="3913"/>
      <c r="F73" s="3913"/>
      <c r="G73" s="3914">
        <f t="shared" si="19"/>
        <v>0</v>
      </c>
      <c r="H73" s="3915"/>
      <c r="I73" s="3916">
        <v>41.92</v>
      </c>
      <c r="J73" s="3917"/>
      <c r="K73" s="3918"/>
      <c r="L73" s="3918"/>
      <c r="M73" s="3919">
        <f t="shared" si="13"/>
        <v>0</v>
      </c>
      <c r="N73" s="3920"/>
      <c r="O73" s="3921">
        <f t="shared" si="20"/>
        <v>0</v>
      </c>
      <c r="P73" s="3921">
        <f t="shared" si="20"/>
        <v>0</v>
      </c>
      <c r="Q73" s="3921">
        <f t="shared" si="20"/>
        <v>0</v>
      </c>
      <c r="R73" s="3922">
        <v>0</v>
      </c>
      <c r="S73" s="3923">
        <v>0</v>
      </c>
      <c r="T73" s="3923">
        <v>0</v>
      </c>
      <c r="U73" s="3923">
        <v>0</v>
      </c>
      <c r="V73" s="3924">
        <f t="shared" si="21"/>
        <v>0</v>
      </c>
      <c r="W73" s="3925">
        <v>0</v>
      </c>
      <c r="X73" s="3925">
        <v>0</v>
      </c>
      <c r="Y73" s="3925">
        <v>0</v>
      </c>
      <c r="Z73" s="3925"/>
      <c r="AA73" s="3925"/>
      <c r="AB73" s="3926"/>
      <c r="AC73" s="3927">
        <f t="shared" si="22"/>
        <v>0</v>
      </c>
      <c r="AD73" s="3926">
        <f t="shared" si="17"/>
        <v>0</v>
      </c>
      <c r="AE73" s="3926">
        <f t="shared" si="17"/>
        <v>0</v>
      </c>
      <c r="AF73" s="3926">
        <f t="shared" si="17"/>
        <v>0</v>
      </c>
      <c r="AG73" s="3926">
        <f t="shared" si="16"/>
        <v>0</v>
      </c>
      <c r="AH73" s="3926">
        <f t="shared" si="16"/>
        <v>0</v>
      </c>
      <c r="AI73" s="3926">
        <f t="shared" si="16"/>
        <v>0</v>
      </c>
      <c r="AJ73" s="3926">
        <f t="shared" si="23"/>
        <v>0</v>
      </c>
      <c r="AK73" s="3928">
        <f t="shared" si="24"/>
        <v>0</v>
      </c>
      <c r="AL73" s="3929">
        <f>SUMIF([3]租约表对应的会计账!$C$5:$C$164,B73,[3]租约表对应的会计账!$D$5:$D$164)</f>
        <v>0</v>
      </c>
      <c r="AM73" s="3930">
        <f>SUMIF([3]租约表对应的会计账!$H$5:$H$164,B73,[3]租约表对应的会计账!$I$5:$I$164)</f>
        <v>0</v>
      </c>
      <c r="AN73" s="3929">
        <f>SUMIF([3]租约表对应的会计账!$S$5:$S$164,B73,[3]租约表对应的会计账!$T$5:$T$164)</f>
        <v>0</v>
      </c>
      <c r="AO73" s="3929">
        <f>SUMIF([3]租约表对应的会计账!$X$5:$X$164,B73,[3]租约表对应的会计账!$Y$5:$Y$164)</f>
        <v>0</v>
      </c>
      <c r="AP73" s="3929">
        <f>SUMIF([3]租约表对应的会计账!$AC$5:$AC$164,[3]租约表!B73,[3]租约表对应的会计账!$AD$5:$AD$164)</f>
        <v>0</v>
      </c>
      <c r="AQ73" s="3929">
        <f>SUMIF([3]租约表对应的会计账!$AH$5:$AH$164,[3]租约表!B73,[3]租约表对应的会计账!$AI$5:$AI$164)</f>
        <v>0</v>
      </c>
      <c r="AR73" s="3929">
        <f t="shared" si="25"/>
        <v>0</v>
      </c>
      <c r="AS73" s="3929">
        <f t="shared" si="15"/>
        <v>0</v>
      </c>
      <c r="AT73" s="3929">
        <f t="shared" si="15"/>
        <v>0</v>
      </c>
      <c r="AU73" s="3929">
        <f t="shared" si="15"/>
        <v>0</v>
      </c>
      <c r="AV73" s="3929">
        <f t="shared" si="15"/>
        <v>0</v>
      </c>
      <c r="AW73" s="3929">
        <f t="shared" si="15"/>
        <v>0</v>
      </c>
      <c r="AX73" s="3929">
        <f t="shared" si="15"/>
        <v>0</v>
      </c>
      <c r="AY73" s="3929">
        <f t="shared" si="18"/>
        <v>0</v>
      </c>
      <c r="AZ73" s="3915" t="s">
        <v>3568</v>
      </c>
    </row>
    <row r="74" spans="1:52" s="3931" customFormat="1" ht="60" customHeight="1">
      <c r="A74" s="3910" t="s">
        <v>4040</v>
      </c>
      <c r="B74" s="3911">
        <v>4018</v>
      </c>
      <c r="C74" s="3912" t="s">
        <v>3650</v>
      </c>
      <c r="D74" s="3912" t="s">
        <v>3651</v>
      </c>
      <c r="E74" s="3913">
        <v>44397</v>
      </c>
      <c r="F74" s="3913">
        <v>45138</v>
      </c>
      <c r="G74" s="3914">
        <f t="shared" si="19"/>
        <v>2.0301369863013701</v>
      </c>
      <c r="H74" s="3915" t="s">
        <v>4053</v>
      </c>
      <c r="I74" s="3916">
        <v>70.400000000000006</v>
      </c>
      <c r="J74" s="3917">
        <v>5.2</v>
      </c>
      <c r="K74" s="3918">
        <v>3</v>
      </c>
      <c r="L74" s="3918">
        <v>2.8</v>
      </c>
      <c r="M74" s="3919">
        <f t="shared" si="13"/>
        <v>11</v>
      </c>
      <c r="N74" s="3920">
        <v>90</v>
      </c>
      <c r="O74" s="3921">
        <f t="shared" si="20"/>
        <v>32947.200000000004</v>
      </c>
      <c r="P74" s="3921">
        <f t="shared" si="20"/>
        <v>19008</v>
      </c>
      <c r="Q74" s="3921">
        <f t="shared" si="20"/>
        <v>17740.8</v>
      </c>
      <c r="R74" s="3922">
        <v>2500</v>
      </c>
      <c r="S74" s="3923">
        <v>150</v>
      </c>
      <c r="T74" s="3923">
        <v>0</v>
      </c>
      <c r="U74" s="3923">
        <v>0</v>
      </c>
      <c r="V74" s="3924">
        <f t="shared" si="21"/>
        <v>72346</v>
      </c>
      <c r="W74" s="3925">
        <v>8532</v>
      </c>
      <c r="X74" s="3925">
        <v>1267</v>
      </c>
      <c r="Y74" s="3925">
        <v>1183</v>
      </c>
      <c r="Z74" s="3925"/>
      <c r="AA74" s="3925"/>
      <c r="AB74" s="3926"/>
      <c r="AC74" s="3927">
        <f t="shared" si="22"/>
        <v>10982</v>
      </c>
      <c r="AD74" s="3926">
        <f t="shared" si="17"/>
        <v>24415.200000000004</v>
      </c>
      <c r="AE74" s="3926">
        <f t="shared" si="17"/>
        <v>17741</v>
      </c>
      <c r="AF74" s="3926">
        <f t="shared" si="17"/>
        <v>16557.8</v>
      </c>
      <c r="AG74" s="3926">
        <f t="shared" si="16"/>
        <v>2500</v>
      </c>
      <c r="AH74" s="3926">
        <f t="shared" si="16"/>
        <v>150</v>
      </c>
      <c r="AI74" s="3926">
        <f t="shared" si="16"/>
        <v>0</v>
      </c>
      <c r="AJ74" s="3926">
        <f t="shared" si="23"/>
        <v>0</v>
      </c>
      <c r="AK74" s="3928">
        <f t="shared" si="24"/>
        <v>61364</v>
      </c>
      <c r="AL74" s="3929">
        <f>SUMIF([3]租约表对应的会计账!$C$5:$C$164,B74,[3]租约表对应的会计账!$D$5:$D$164)</f>
        <v>24415</v>
      </c>
      <c r="AM74" s="3930">
        <f>SUMIF([3]租约表对应的会计账!$H$5:$H$164,B74,[3]租约表对应的会计账!$I$5:$I$164)</f>
        <v>17741</v>
      </c>
      <c r="AN74" s="3929">
        <f>SUMIF([3]租约表对应的会计账!$S$5:$S$164,B74,[3]租约表对应的会计账!$T$5:$T$164)</f>
        <v>16558</v>
      </c>
      <c r="AO74" s="3929">
        <f>SUMIF([3]租约表对应的会计账!$X$5:$X$164,B74,[3]租约表对应的会计账!$Y$5:$Y$164)</f>
        <v>2500</v>
      </c>
      <c r="AP74" s="3929">
        <f>SUMIF([3]租约表对应的会计账!$AC$5:$AC$164,[3]租约表!B74,[3]租约表对应的会计账!$AD$5:$AD$164)</f>
        <v>150</v>
      </c>
      <c r="AQ74" s="3929">
        <f>SUMIF([3]租约表对应的会计账!$AH$5:$AH$164,[3]租约表!B74,[3]租约表对应的会计账!$AI$5:$AI$164)</f>
        <v>0</v>
      </c>
      <c r="AR74" s="3929">
        <f t="shared" si="25"/>
        <v>61364</v>
      </c>
      <c r="AS74" s="3929">
        <f t="shared" si="15"/>
        <v>0.20000000000436557</v>
      </c>
      <c r="AT74" s="3929">
        <f t="shared" si="15"/>
        <v>0</v>
      </c>
      <c r="AU74" s="3929">
        <f t="shared" si="15"/>
        <v>-0.2000000000007276</v>
      </c>
      <c r="AV74" s="3929">
        <f t="shared" si="15"/>
        <v>0</v>
      </c>
      <c r="AW74" s="3929">
        <f t="shared" si="15"/>
        <v>0</v>
      </c>
      <c r="AX74" s="3929">
        <f t="shared" si="15"/>
        <v>0</v>
      </c>
      <c r="AY74" s="3929">
        <f t="shared" si="18"/>
        <v>3.637978807091713E-12</v>
      </c>
      <c r="AZ74" s="3915" t="s">
        <v>3967</v>
      </c>
    </row>
    <row r="75" spans="1:52" s="3931" customFormat="1" ht="60" customHeight="1">
      <c r="A75" s="3910" t="s">
        <v>4040</v>
      </c>
      <c r="B75" s="3911">
        <v>4026</v>
      </c>
      <c r="C75" s="3912" t="s">
        <v>3652</v>
      </c>
      <c r="D75" s="3912" t="s">
        <v>3653</v>
      </c>
      <c r="E75" s="3913">
        <v>43922</v>
      </c>
      <c r="F75" s="3944">
        <v>45747</v>
      </c>
      <c r="G75" s="3914">
        <f t="shared" si="19"/>
        <v>5</v>
      </c>
      <c r="H75" s="3915" t="s">
        <v>4054</v>
      </c>
      <c r="I75" s="3916">
        <v>178</v>
      </c>
      <c r="J75" s="3917">
        <v>2.1</v>
      </c>
      <c r="K75" s="3918">
        <v>1</v>
      </c>
      <c r="L75" s="3918">
        <v>2.8</v>
      </c>
      <c r="M75" s="3919">
        <f t="shared" si="13"/>
        <v>5.9</v>
      </c>
      <c r="N75" s="3920">
        <v>90</v>
      </c>
      <c r="O75" s="3921">
        <f t="shared" si="20"/>
        <v>33642</v>
      </c>
      <c r="P75" s="3921">
        <f t="shared" si="20"/>
        <v>16020</v>
      </c>
      <c r="Q75" s="3921">
        <f t="shared" si="20"/>
        <v>44856</v>
      </c>
      <c r="R75" s="3922">
        <v>2500</v>
      </c>
      <c r="S75" s="3923">
        <v>150</v>
      </c>
      <c r="T75" s="3923">
        <v>0</v>
      </c>
      <c r="U75" s="3923">
        <v>0</v>
      </c>
      <c r="V75" s="3924">
        <f t="shared" si="21"/>
        <v>97168</v>
      </c>
      <c r="W75" s="3925">
        <v>2286</v>
      </c>
      <c r="X75" s="3925">
        <v>1068</v>
      </c>
      <c r="Y75" s="3925">
        <v>2990</v>
      </c>
      <c r="Z75" s="3925"/>
      <c r="AA75" s="3925"/>
      <c r="AB75" s="3926"/>
      <c r="AC75" s="3927">
        <f t="shared" si="22"/>
        <v>6344</v>
      </c>
      <c r="AD75" s="3926">
        <f t="shared" si="17"/>
        <v>31356</v>
      </c>
      <c r="AE75" s="3926">
        <f t="shared" si="17"/>
        <v>14952</v>
      </c>
      <c r="AF75" s="3926">
        <f t="shared" si="17"/>
        <v>41866</v>
      </c>
      <c r="AG75" s="3926">
        <f t="shared" si="16"/>
        <v>2500</v>
      </c>
      <c r="AH75" s="3926">
        <f t="shared" si="16"/>
        <v>150</v>
      </c>
      <c r="AI75" s="3926">
        <f t="shared" si="16"/>
        <v>0</v>
      </c>
      <c r="AJ75" s="3926">
        <f t="shared" si="23"/>
        <v>0</v>
      </c>
      <c r="AK75" s="3928">
        <f t="shared" si="24"/>
        <v>90824</v>
      </c>
      <c r="AL75" s="3929">
        <f>SUMIF([3]租约表对应的会计账!$C$5:$C$164,B75,[3]租约表对应的会计账!$D$5:$D$164)</f>
        <v>31992</v>
      </c>
      <c r="AM75" s="3930">
        <f>SUMIF([3]租约表对应的会计账!$H$5:$H$164,B75,[3]租约表对应的会计账!$I$5:$I$164)</f>
        <v>15175</v>
      </c>
      <c r="AN75" s="3929">
        <f>SUMIF([3]租约表对应的会计账!$S$5:$S$164,B75,[3]租约表对应的会计账!$T$5:$T$164)</f>
        <v>42489</v>
      </c>
      <c r="AO75" s="3929">
        <f>SUMIF([3]租约表对应的会计账!$X$5:$X$164,B75,[3]租约表对应的会计账!$Y$5:$Y$164)</f>
        <v>2500</v>
      </c>
      <c r="AP75" s="3929">
        <f>SUMIF([3]租约表对应的会计账!$AC$5:$AC$164,[3]租约表!B75,[3]租约表对应的会计账!$AD$5:$AD$164)</f>
        <v>150</v>
      </c>
      <c r="AQ75" s="3929">
        <f>SUMIF([3]租约表对应的会计账!$AH$5:$AH$164,[3]租约表!B75,[3]租约表对应的会计账!$AI$5:$AI$164)</f>
        <v>0</v>
      </c>
      <c r="AR75" s="3929">
        <f t="shared" si="25"/>
        <v>92306</v>
      </c>
      <c r="AS75" s="3929">
        <f t="shared" si="15"/>
        <v>-636</v>
      </c>
      <c r="AT75" s="3929">
        <f t="shared" si="15"/>
        <v>-223</v>
      </c>
      <c r="AU75" s="3929">
        <f t="shared" si="15"/>
        <v>-623</v>
      </c>
      <c r="AV75" s="3929">
        <f t="shared" si="15"/>
        <v>0</v>
      </c>
      <c r="AW75" s="3929">
        <f t="shared" si="15"/>
        <v>0</v>
      </c>
      <c r="AX75" s="3929">
        <f t="shared" si="15"/>
        <v>0</v>
      </c>
      <c r="AY75" s="3929">
        <f t="shared" si="18"/>
        <v>-1482</v>
      </c>
      <c r="AZ75" s="3915" t="s">
        <v>3967</v>
      </c>
    </row>
    <row r="76" spans="1:52" s="3931" customFormat="1" ht="60" customHeight="1">
      <c r="A76" s="3910" t="s">
        <v>4040</v>
      </c>
      <c r="B76" s="3911">
        <v>4032</v>
      </c>
      <c r="C76" s="3912" t="s">
        <v>3654</v>
      </c>
      <c r="D76" s="3912" t="s">
        <v>3602</v>
      </c>
      <c r="E76" s="3913">
        <v>44409</v>
      </c>
      <c r="F76" s="3913">
        <v>45138</v>
      </c>
      <c r="G76" s="3914">
        <f t="shared" si="19"/>
        <v>1.9972602739726026</v>
      </c>
      <c r="H76" s="3915" t="s">
        <v>4055</v>
      </c>
      <c r="I76" s="3916">
        <v>142.4</v>
      </c>
      <c r="J76" s="3917">
        <v>10.199999999999999</v>
      </c>
      <c r="K76" s="3918">
        <v>3</v>
      </c>
      <c r="L76" s="3918">
        <v>2.8</v>
      </c>
      <c r="M76" s="3919">
        <f t="shared" si="13"/>
        <v>16</v>
      </c>
      <c r="N76" s="3920">
        <v>90</v>
      </c>
      <c r="O76" s="3921">
        <f t="shared" si="20"/>
        <v>130723.2</v>
      </c>
      <c r="P76" s="3921">
        <f t="shared" si="20"/>
        <v>38448.000000000007</v>
      </c>
      <c r="Q76" s="3921">
        <f t="shared" si="20"/>
        <v>35884.799999999996</v>
      </c>
      <c r="R76" s="3922">
        <v>2500</v>
      </c>
      <c r="S76" s="3923">
        <v>150</v>
      </c>
      <c r="T76" s="3923">
        <v>0</v>
      </c>
      <c r="U76" s="3923">
        <v>0</v>
      </c>
      <c r="V76" s="3924">
        <f t="shared" si="21"/>
        <v>207706</v>
      </c>
      <c r="W76" s="3925">
        <v>29847</v>
      </c>
      <c r="X76" s="3925">
        <v>5554</v>
      </c>
      <c r="Y76" s="3925">
        <v>5183</v>
      </c>
      <c r="Z76" s="3925"/>
      <c r="AA76" s="3925"/>
      <c r="AB76" s="3926"/>
      <c r="AC76" s="3927">
        <f t="shared" si="22"/>
        <v>40584</v>
      </c>
      <c r="AD76" s="3926">
        <f t="shared" si="17"/>
        <v>100876.2</v>
      </c>
      <c r="AE76" s="3926">
        <f t="shared" si="17"/>
        <v>32894.000000000007</v>
      </c>
      <c r="AF76" s="3926">
        <f t="shared" si="17"/>
        <v>30701.799999999996</v>
      </c>
      <c r="AG76" s="3926">
        <f t="shared" si="16"/>
        <v>2500</v>
      </c>
      <c r="AH76" s="3926">
        <f t="shared" si="16"/>
        <v>150</v>
      </c>
      <c r="AI76" s="3926">
        <f t="shared" si="16"/>
        <v>0</v>
      </c>
      <c r="AJ76" s="3926">
        <f t="shared" si="23"/>
        <v>0</v>
      </c>
      <c r="AK76" s="3928">
        <f t="shared" si="24"/>
        <v>167122</v>
      </c>
      <c r="AL76" s="3929">
        <f>SUMIF([3]租约表对应的会计账!$C$5:$C$164,B76,[3]租约表对应的会计账!$D$5:$D$164)</f>
        <v>100876</v>
      </c>
      <c r="AM76" s="3930">
        <f>SUMIF([3]租约表对应的会计账!$H$5:$H$164,B76,[3]租约表对应的会计账!$I$5:$I$164)</f>
        <v>32894</v>
      </c>
      <c r="AN76" s="3929">
        <f>SUMIF([3]租约表对应的会计账!$S$5:$S$164,B76,[3]租约表对应的会计账!$T$5:$T$164)</f>
        <v>30702</v>
      </c>
      <c r="AO76" s="3929">
        <f>SUMIF([3]租约表对应的会计账!$X$5:$X$164,B76,[3]租约表对应的会计账!$Y$5:$Y$164)</f>
        <v>2500</v>
      </c>
      <c r="AP76" s="3929">
        <f>SUMIF([3]租约表对应的会计账!$AC$5:$AC$164,[3]租约表!B76,[3]租约表对应的会计账!$AD$5:$AD$164)</f>
        <v>150</v>
      </c>
      <c r="AQ76" s="3929">
        <f>SUMIF([3]租约表对应的会计账!$AH$5:$AH$164,[3]租约表!B76,[3]租约表对应的会计账!$AI$5:$AI$164)</f>
        <v>0</v>
      </c>
      <c r="AR76" s="3929">
        <f t="shared" si="25"/>
        <v>167122</v>
      </c>
      <c r="AS76" s="3929">
        <f t="shared" si="15"/>
        <v>0.19999999999708962</v>
      </c>
      <c r="AT76" s="3929">
        <f t="shared" si="15"/>
        <v>0</v>
      </c>
      <c r="AU76" s="3929">
        <f t="shared" si="15"/>
        <v>-0.20000000000436557</v>
      </c>
      <c r="AV76" s="3929">
        <f t="shared" si="15"/>
        <v>0</v>
      </c>
      <c r="AW76" s="3929">
        <f t="shared" si="15"/>
        <v>0</v>
      </c>
      <c r="AX76" s="3929">
        <f t="shared" si="15"/>
        <v>0</v>
      </c>
      <c r="AY76" s="3929">
        <f t="shared" si="18"/>
        <v>-7.2759576141834259E-12</v>
      </c>
      <c r="AZ76" s="3915" t="s">
        <v>3967</v>
      </c>
    </row>
    <row r="77" spans="1:52" s="3931" customFormat="1" ht="60" customHeight="1">
      <c r="A77" s="3910" t="s">
        <v>4040</v>
      </c>
      <c r="B77" s="3911">
        <v>4033</v>
      </c>
      <c r="C77" s="3912" t="s">
        <v>3655</v>
      </c>
      <c r="D77" s="3912" t="s">
        <v>3656</v>
      </c>
      <c r="E77" s="3913">
        <v>44652</v>
      </c>
      <c r="F77" s="3913">
        <v>45382</v>
      </c>
      <c r="G77" s="3914">
        <f t="shared" si="19"/>
        <v>2</v>
      </c>
      <c r="H77" s="3915" t="s">
        <v>4056</v>
      </c>
      <c r="I77" s="3916">
        <v>451</v>
      </c>
      <c r="J77" s="3917">
        <v>4.5</v>
      </c>
      <c r="K77" s="3918">
        <v>3</v>
      </c>
      <c r="L77" s="3918">
        <v>2.8</v>
      </c>
      <c r="M77" s="3919">
        <f t="shared" si="13"/>
        <v>10.3</v>
      </c>
      <c r="N77" s="3920">
        <v>90</v>
      </c>
      <c r="O77" s="3921">
        <f t="shared" si="20"/>
        <v>182655</v>
      </c>
      <c r="P77" s="3921">
        <f t="shared" si="20"/>
        <v>121770</v>
      </c>
      <c r="Q77" s="3921">
        <f t="shared" si="20"/>
        <v>113652</v>
      </c>
      <c r="R77" s="3922">
        <v>2500</v>
      </c>
      <c r="S77" s="3923">
        <v>300</v>
      </c>
      <c r="T77" s="3923">
        <v>0</v>
      </c>
      <c r="U77" s="3923">
        <v>450</v>
      </c>
      <c r="V77" s="3924">
        <f t="shared" si="21"/>
        <v>421327</v>
      </c>
      <c r="W77" s="3925">
        <v>20295</v>
      </c>
      <c r="X77" s="3925">
        <v>13530</v>
      </c>
      <c r="Y77" s="3925">
        <v>12628</v>
      </c>
      <c r="Z77" s="3925"/>
      <c r="AA77" s="3925"/>
      <c r="AB77" s="3926"/>
      <c r="AC77" s="3927">
        <f t="shared" si="22"/>
        <v>46453</v>
      </c>
      <c r="AD77" s="3926">
        <f t="shared" si="17"/>
        <v>162360</v>
      </c>
      <c r="AE77" s="3926">
        <f t="shared" si="17"/>
        <v>108240</v>
      </c>
      <c r="AF77" s="3926">
        <f t="shared" si="17"/>
        <v>101024</v>
      </c>
      <c r="AG77" s="3926">
        <f t="shared" si="16"/>
        <v>2500</v>
      </c>
      <c r="AH77" s="3926">
        <f t="shared" si="16"/>
        <v>300</v>
      </c>
      <c r="AI77" s="3926">
        <f t="shared" si="16"/>
        <v>0</v>
      </c>
      <c r="AJ77" s="3926">
        <f t="shared" si="23"/>
        <v>450</v>
      </c>
      <c r="AK77" s="3928">
        <f t="shared" si="24"/>
        <v>374874</v>
      </c>
      <c r="AL77" s="3929">
        <f>SUMIF([3]租约表对应的会计账!$C$5:$C$164,B77,[3]租约表对应的会计账!$D$5:$D$164)</f>
        <v>162360</v>
      </c>
      <c r="AM77" s="3930">
        <f>SUMIF([3]租约表对应的会计账!$H$5:$H$164,B77,[3]租约表对应的会计账!$I$5:$I$164)</f>
        <v>108240</v>
      </c>
      <c r="AN77" s="3929">
        <f>SUMIF([3]租约表对应的会计账!$S$5:$S$164,B77,[3]租约表对应的会计账!$T$5:$T$164)</f>
        <v>101024</v>
      </c>
      <c r="AO77" s="3929">
        <f>SUMIF([3]租约表对应的会计账!$X$5:$X$164,B77,[3]租约表对应的会计账!$Y$5:$Y$164)</f>
        <v>2500</v>
      </c>
      <c r="AP77" s="3929">
        <f>SUMIF([3]租约表对应的会计账!$AC$5:$AC$164,[3]租约表!B77,[3]租约表对应的会计账!$AD$5:$AD$164)</f>
        <v>300</v>
      </c>
      <c r="AQ77" s="3929">
        <f>SUMIF([3]租约表对应的会计账!$AH$5:$AH$164,[3]租约表!B77,[3]租约表对应的会计账!$AI$5:$AI$164)</f>
        <v>0</v>
      </c>
      <c r="AR77" s="3929">
        <f t="shared" si="25"/>
        <v>374424</v>
      </c>
      <c r="AS77" s="3929">
        <f t="shared" si="15"/>
        <v>0</v>
      </c>
      <c r="AT77" s="3929">
        <f t="shared" si="15"/>
        <v>0</v>
      </c>
      <c r="AU77" s="3929">
        <f t="shared" si="15"/>
        <v>0</v>
      </c>
      <c r="AV77" s="3929">
        <f t="shared" si="15"/>
        <v>0</v>
      </c>
      <c r="AW77" s="3929">
        <f t="shared" si="15"/>
        <v>0</v>
      </c>
      <c r="AX77" s="3929">
        <f t="shared" si="15"/>
        <v>0</v>
      </c>
      <c r="AY77" s="3929">
        <f t="shared" si="18"/>
        <v>0</v>
      </c>
      <c r="AZ77" s="3915" t="s">
        <v>3967</v>
      </c>
    </row>
    <row r="78" spans="1:52" s="3931" customFormat="1" ht="60" customHeight="1">
      <c r="A78" s="3910" t="s">
        <v>4040</v>
      </c>
      <c r="B78" s="3911">
        <v>4088</v>
      </c>
      <c r="C78" s="3912" t="s">
        <v>3568</v>
      </c>
      <c r="D78" s="3912"/>
      <c r="E78" s="3913"/>
      <c r="F78" s="3913"/>
      <c r="G78" s="3914">
        <f t="shared" si="19"/>
        <v>0</v>
      </c>
      <c r="H78" s="3915"/>
      <c r="I78" s="3916">
        <v>409.2</v>
      </c>
      <c r="J78" s="3917"/>
      <c r="K78" s="3918"/>
      <c r="L78" s="3918"/>
      <c r="M78" s="3919">
        <f t="shared" si="13"/>
        <v>0</v>
      </c>
      <c r="N78" s="3920"/>
      <c r="O78" s="3921">
        <f t="shared" si="20"/>
        <v>0</v>
      </c>
      <c r="P78" s="3921">
        <f t="shared" si="20"/>
        <v>0</v>
      </c>
      <c r="Q78" s="3921">
        <f t="shared" si="20"/>
        <v>0</v>
      </c>
      <c r="R78" s="3922">
        <v>0</v>
      </c>
      <c r="S78" s="3923">
        <v>0</v>
      </c>
      <c r="T78" s="3923">
        <v>0</v>
      </c>
      <c r="U78" s="3923">
        <v>0</v>
      </c>
      <c r="V78" s="3924">
        <f t="shared" si="21"/>
        <v>0</v>
      </c>
      <c r="W78" s="3925">
        <v>0</v>
      </c>
      <c r="X78" s="3925">
        <v>0</v>
      </c>
      <c r="Y78" s="3925">
        <v>0</v>
      </c>
      <c r="Z78" s="3925"/>
      <c r="AA78" s="3925"/>
      <c r="AB78" s="3926"/>
      <c r="AC78" s="3927">
        <f t="shared" si="22"/>
        <v>0</v>
      </c>
      <c r="AD78" s="3926">
        <f t="shared" si="17"/>
        <v>0</v>
      </c>
      <c r="AE78" s="3926">
        <f t="shared" si="17"/>
        <v>0</v>
      </c>
      <c r="AF78" s="3926">
        <f t="shared" si="17"/>
        <v>0</v>
      </c>
      <c r="AG78" s="3926">
        <f t="shared" si="16"/>
        <v>0</v>
      </c>
      <c r="AH78" s="3926">
        <f t="shared" si="16"/>
        <v>0</v>
      </c>
      <c r="AI78" s="3926">
        <f t="shared" si="16"/>
        <v>0</v>
      </c>
      <c r="AJ78" s="3926">
        <f t="shared" si="23"/>
        <v>0</v>
      </c>
      <c r="AK78" s="3928">
        <f t="shared" si="24"/>
        <v>0</v>
      </c>
      <c r="AL78" s="3929">
        <f>SUMIF([3]租约表对应的会计账!$C$5:$C$164,B78,[3]租约表对应的会计账!$D$5:$D$164)</f>
        <v>0</v>
      </c>
      <c r="AM78" s="3930">
        <f>SUMIF([3]租约表对应的会计账!$H$5:$H$164,B78,[3]租约表对应的会计账!$I$5:$I$164)</f>
        <v>0</v>
      </c>
      <c r="AN78" s="3929">
        <f>SUMIF([3]租约表对应的会计账!$S$5:$S$164,B78,[3]租约表对应的会计账!$T$5:$T$164)</f>
        <v>0</v>
      </c>
      <c r="AO78" s="3929">
        <f>SUMIF([3]租约表对应的会计账!$X$5:$X$164,B78,[3]租约表对应的会计账!$Y$5:$Y$164)</f>
        <v>0</v>
      </c>
      <c r="AP78" s="3929">
        <f>SUMIF([3]租约表对应的会计账!$AC$5:$AC$164,[3]租约表!B78,[3]租约表对应的会计账!$AD$5:$AD$164)</f>
        <v>0</v>
      </c>
      <c r="AQ78" s="3929">
        <f>SUMIF([3]租约表对应的会计账!$AH$5:$AH$164,[3]租约表!B78,[3]租约表对应的会计账!$AI$5:$AI$164)</f>
        <v>0</v>
      </c>
      <c r="AR78" s="3929">
        <f t="shared" si="25"/>
        <v>0</v>
      </c>
      <c r="AS78" s="3929">
        <f t="shared" si="15"/>
        <v>0</v>
      </c>
      <c r="AT78" s="3929">
        <f t="shared" si="15"/>
        <v>0</v>
      </c>
      <c r="AU78" s="3929">
        <f t="shared" si="15"/>
        <v>0</v>
      </c>
      <c r="AV78" s="3929">
        <f t="shared" si="15"/>
        <v>0</v>
      </c>
      <c r="AW78" s="3929">
        <f t="shared" si="15"/>
        <v>0</v>
      </c>
      <c r="AX78" s="3929">
        <f t="shared" si="15"/>
        <v>0</v>
      </c>
      <c r="AY78" s="3929">
        <f t="shared" si="18"/>
        <v>0</v>
      </c>
      <c r="AZ78" s="3915" t="s">
        <v>3568</v>
      </c>
    </row>
    <row r="79" spans="1:52" s="3931" customFormat="1" ht="60" customHeight="1">
      <c r="A79" s="3910" t="s">
        <v>4040</v>
      </c>
      <c r="B79" s="3911">
        <v>4089</v>
      </c>
      <c r="C79" s="3912" t="s">
        <v>3568</v>
      </c>
      <c r="D79" s="3912"/>
      <c r="E79" s="3913"/>
      <c r="F79" s="3913"/>
      <c r="G79" s="3914">
        <f t="shared" si="19"/>
        <v>0</v>
      </c>
      <c r="H79" s="3915"/>
      <c r="I79" s="3916">
        <v>188.48</v>
      </c>
      <c r="J79" s="3917"/>
      <c r="K79" s="3918"/>
      <c r="L79" s="3918"/>
      <c r="M79" s="3919">
        <f t="shared" si="13"/>
        <v>0</v>
      </c>
      <c r="N79" s="3920">
        <v>90</v>
      </c>
      <c r="O79" s="3921">
        <f t="shared" si="20"/>
        <v>0</v>
      </c>
      <c r="P79" s="3921">
        <f t="shared" si="20"/>
        <v>0</v>
      </c>
      <c r="Q79" s="3921">
        <f t="shared" si="20"/>
        <v>0</v>
      </c>
      <c r="R79" s="3922"/>
      <c r="S79" s="3923"/>
      <c r="T79" s="3923"/>
      <c r="U79" s="3923"/>
      <c r="V79" s="3924">
        <f t="shared" si="21"/>
        <v>0</v>
      </c>
      <c r="W79" s="3925">
        <v>0</v>
      </c>
      <c r="X79" s="3925">
        <v>0</v>
      </c>
      <c r="Y79" s="3925">
        <v>0</v>
      </c>
      <c r="Z79" s="3925"/>
      <c r="AA79" s="3925"/>
      <c r="AB79" s="3926"/>
      <c r="AC79" s="3927">
        <f t="shared" si="22"/>
        <v>0</v>
      </c>
      <c r="AD79" s="3926">
        <f t="shared" si="17"/>
        <v>0</v>
      </c>
      <c r="AE79" s="3926">
        <f t="shared" si="17"/>
        <v>0</v>
      </c>
      <c r="AF79" s="3926">
        <f t="shared" si="17"/>
        <v>0</v>
      </c>
      <c r="AG79" s="3926">
        <f t="shared" si="17"/>
        <v>0</v>
      </c>
      <c r="AH79" s="3926">
        <f t="shared" si="17"/>
        <v>0</v>
      </c>
      <c r="AI79" s="3926">
        <f t="shared" si="17"/>
        <v>0</v>
      </c>
      <c r="AJ79" s="3926">
        <f t="shared" si="23"/>
        <v>0</v>
      </c>
      <c r="AK79" s="3928">
        <f t="shared" si="24"/>
        <v>0</v>
      </c>
      <c r="AL79" s="3929">
        <f>SUMIF([3]租约表对应的会计账!$C$5:$C$164,B79,[3]租约表对应的会计账!$D$5:$D$164)</f>
        <v>0</v>
      </c>
      <c r="AM79" s="3930">
        <f>SUMIF([3]租约表对应的会计账!$H$5:$H$164,B79,[3]租约表对应的会计账!$I$5:$I$164)</f>
        <v>0</v>
      </c>
      <c r="AN79" s="3929">
        <f>SUMIF([3]租约表对应的会计账!$S$5:$S$164,B79,[3]租约表对应的会计账!$T$5:$T$164)</f>
        <v>0</v>
      </c>
      <c r="AO79" s="3929">
        <f>SUMIF([3]租约表对应的会计账!$X$5:$X$164,B79,[3]租约表对应的会计账!$Y$5:$Y$164)</f>
        <v>0</v>
      </c>
      <c r="AP79" s="3929">
        <f>SUMIF([3]租约表对应的会计账!$AC$5:$AC$164,[3]租约表!B79,[3]租约表对应的会计账!$AD$5:$AD$164)</f>
        <v>0</v>
      </c>
      <c r="AQ79" s="3929">
        <f>SUMIF([3]租约表对应的会计账!$AH$5:$AH$164,[3]租约表!B79,[3]租约表对应的会计账!$AI$5:$AI$164)</f>
        <v>0</v>
      </c>
      <c r="AR79" s="3929">
        <f t="shared" si="25"/>
        <v>0</v>
      </c>
      <c r="AS79" s="3929">
        <f t="shared" si="15"/>
        <v>0</v>
      </c>
      <c r="AT79" s="3929">
        <f t="shared" si="15"/>
        <v>0</v>
      </c>
      <c r="AU79" s="3929">
        <f t="shared" si="15"/>
        <v>0</v>
      </c>
      <c r="AV79" s="3929">
        <f t="shared" si="15"/>
        <v>0</v>
      </c>
      <c r="AW79" s="3929">
        <f t="shared" si="15"/>
        <v>0</v>
      </c>
      <c r="AX79" s="3929">
        <f t="shared" si="15"/>
        <v>0</v>
      </c>
      <c r="AY79" s="3929">
        <f t="shared" si="18"/>
        <v>0</v>
      </c>
      <c r="AZ79" s="3915"/>
    </row>
    <row r="80" spans="1:52" s="3931" customFormat="1" ht="60" customHeight="1">
      <c r="A80" s="3910" t="s">
        <v>4057</v>
      </c>
      <c r="B80" s="3911">
        <v>5001</v>
      </c>
      <c r="C80" s="3912" t="s">
        <v>3658</v>
      </c>
      <c r="D80" s="3912" t="s">
        <v>3659</v>
      </c>
      <c r="E80" s="3913">
        <v>44287</v>
      </c>
      <c r="F80" s="3913">
        <v>45382</v>
      </c>
      <c r="G80" s="3914">
        <f t="shared" si="19"/>
        <v>3</v>
      </c>
      <c r="H80" s="3915" t="s">
        <v>4058</v>
      </c>
      <c r="I80" s="3916">
        <v>113.1</v>
      </c>
      <c r="J80" s="3917">
        <v>10.199999999999999</v>
      </c>
      <c r="K80" s="3918">
        <v>1</v>
      </c>
      <c r="L80" s="3918">
        <v>2.8</v>
      </c>
      <c r="M80" s="3919">
        <f t="shared" si="13"/>
        <v>14</v>
      </c>
      <c r="N80" s="3920">
        <v>90</v>
      </c>
      <c r="O80" s="3921">
        <f t="shared" si="20"/>
        <v>103825.79999999999</v>
      </c>
      <c r="P80" s="3921">
        <f t="shared" si="20"/>
        <v>10179</v>
      </c>
      <c r="Q80" s="3921">
        <f t="shared" si="20"/>
        <v>28501.199999999997</v>
      </c>
      <c r="R80" s="3922">
        <v>2500</v>
      </c>
      <c r="S80" s="3923">
        <v>3750</v>
      </c>
      <c r="T80" s="3923">
        <v>1800</v>
      </c>
      <c r="U80" s="3923">
        <v>0</v>
      </c>
      <c r="V80" s="3924">
        <f t="shared" si="21"/>
        <v>150556</v>
      </c>
      <c r="W80" s="3925">
        <v>16422</v>
      </c>
      <c r="X80" s="3925">
        <v>679</v>
      </c>
      <c r="Y80" s="3925">
        <v>4434</v>
      </c>
      <c r="Z80" s="3925"/>
      <c r="AA80" s="3925"/>
      <c r="AB80" s="3926"/>
      <c r="AC80" s="3927">
        <f t="shared" si="22"/>
        <v>21535</v>
      </c>
      <c r="AD80" s="3926">
        <f t="shared" ref="AD80:AI111" si="26">O80-W80</f>
        <v>87403.799999999988</v>
      </c>
      <c r="AE80" s="3926">
        <f t="shared" si="26"/>
        <v>9500</v>
      </c>
      <c r="AF80" s="3926">
        <f t="shared" si="26"/>
        <v>24067.199999999997</v>
      </c>
      <c r="AG80" s="3926">
        <f t="shared" si="26"/>
        <v>2500</v>
      </c>
      <c r="AH80" s="3926">
        <f t="shared" si="26"/>
        <v>3750</v>
      </c>
      <c r="AI80" s="3926">
        <f t="shared" si="26"/>
        <v>1800</v>
      </c>
      <c r="AJ80" s="3926">
        <f t="shared" si="23"/>
        <v>0</v>
      </c>
      <c r="AK80" s="3928">
        <f t="shared" si="24"/>
        <v>129020.99999999999</v>
      </c>
      <c r="AL80" s="3929">
        <f>SUMIF([3]租约表对应的会计账!$C$5:$C$164,B80,[3]租约表对应的会计账!$D$5:$D$164)</f>
        <v>87404</v>
      </c>
      <c r="AM80" s="3930">
        <f>SUMIF([3]租约表对应的会计账!$H$5:$H$164,B80,[3]租约表对应的会计账!$I$5:$I$164)</f>
        <v>9500</v>
      </c>
      <c r="AN80" s="3929">
        <f>SUMIF([3]租约表对应的会计账!$S$5:$S$164,B80,[3]租约表对应的会计账!$T$5:$T$164)</f>
        <v>24067</v>
      </c>
      <c r="AO80" s="3929">
        <f>SUMIF([3]租约表对应的会计账!$X$5:$X$164,B80,[3]租约表对应的会计账!$Y$5:$Y$164)</f>
        <v>2500</v>
      </c>
      <c r="AP80" s="3929">
        <f>SUMIF([3]租约表对应的会计账!$AC$5:$AC$164,[3]租约表!B80,[3]租约表对应的会计账!$AD$5:$AD$164)</f>
        <v>3750</v>
      </c>
      <c r="AQ80" s="3929">
        <f>SUMIF([3]租约表对应的会计账!$AH$5:$AH$164,[3]租约表!B80,[3]租约表对应的会计账!$AI$5:$AI$164)</f>
        <v>1800</v>
      </c>
      <c r="AR80" s="3929">
        <f t="shared" si="25"/>
        <v>129021</v>
      </c>
      <c r="AS80" s="3929">
        <f t="shared" si="15"/>
        <v>-0.20000000001164153</v>
      </c>
      <c r="AT80" s="3929">
        <f t="shared" si="15"/>
        <v>0</v>
      </c>
      <c r="AU80" s="3929">
        <f t="shared" si="15"/>
        <v>0.19999999999708962</v>
      </c>
      <c r="AV80" s="3929">
        <f t="shared" si="15"/>
        <v>0</v>
      </c>
      <c r="AW80" s="3929">
        <f t="shared" si="15"/>
        <v>0</v>
      </c>
      <c r="AX80" s="3929">
        <f t="shared" si="15"/>
        <v>0</v>
      </c>
      <c r="AY80" s="3929">
        <f t="shared" si="18"/>
        <v>-1.4551915228366852E-11</v>
      </c>
      <c r="AZ80" s="3915" t="s">
        <v>3967</v>
      </c>
    </row>
    <row r="81" spans="1:52" s="3931" customFormat="1" ht="60" customHeight="1">
      <c r="A81" s="3910" t="s">
        <v>4057</v>
      </c>
      <c r="B81" s="3911">
        <v>5002</v>
      </c>
      <c r="C81" s="3912" t="s">
        <v>3660</v>
      </c>
      <c r="D81" s="3912" t="s">
        <v>3661</v>
      </c>
      <c r="E81" s="3913">
        <v>44392</v>
      </c>
      <c r="F81" s="3913">
        <v>45473</v>
      </c>
      <c r="G81" s="3914">
        <f t="shared" si="19"/>
        <v>2.9616438356164383</v>
      </c>
      <c r="H81" s="3915" t="s">
        <v>4059</v>
      </c>
      <c r="I81" s="3916">
        <v>296</v>
      </c>
      <c r="J81" s="3917">
        <v>7.2</v>
      </c>
      <c r="K81" s="3918">
        <v>1</v>
      </c>
      <c r="L81" s="3918">
        <v>2.8</v>
      </c>
      <c r="M81" s="3919">
        <f t="shared" si="13"/>
        <v>11</v>
      </c>
      <c r="N81" s="3920">
        <v>90</v>
      </c>
      <c r="O81" s="3921">
        <f t="shared" si="20"/>
        <v>191808.00000000003</v>
      </c>
      <c r="P81" s="3921">
        <f t="shared" si="20"/>
        <v>26640</v>
      </c>
      <c r="Q81" s="3921">
        <f t="shared" si="20"/>
        <v>74592</v>
      </c>
      <c r="R81" s="3922">
        <v>2500</v>
      </c>
      <c r="S81" s="3923">
        <v>3750</v>
      </c>
      <c r="T81" s="3923">
        <v>1800</v>
      </c>
      <c r="U81" s="3923">
        <v>0</v>
      </c>
      <c r="V81" s="3924">
        <f t="shared" si="21"/>
        <v>301090</v>
      </c>
      <c r="W81" s="3925">
        <v>12787</v>
      </c>
      <c r="X81" s="3925">
        <v>1776</v>
      </c>
      <c r="Y81" s="3925">
        <v>10774</v>
      </c>
      <c r="Z81" s="3925"/>
      <c r="AA81" s="3925"/>
      <c r="AB81" s="3926"/>
      <c r="AC81" s="3927">
        <f t="shared" si="22"/>
        <v>25337</v>
      </c>
      <c r="AD81" s="3926">
        <f t="shared" si="26"/>
        <v>179021.00000000003</v>
      </c>
      <c r="AE81" s="3926">
        <f t="shared" si="26"/>
        <v>24864</v>
      </c>
      <c r="AF81" s="3926">
        <f t="shared" si="26"/>
        <v>63818</v>
      </c>
      <c r="AG81" s="3926">
        <f t="shared" si="26"/>
        <v>2500</v>
      </c>
      <c r="AH81" s="3926">
        <f t="shared" si="26"/>
        <v>3750</v>
      </c>
      <c r="AI81" s="3926">
        <f t="shared" si="26"/>
        <v>1800</v>
      </c>
      <c r="AJ81" s="3926">
        <f t="shared" si="23"/>
        <v>0</v>
      </c>
      <c r="AK81" s="3928">
        <f t="shared" si="24"/>
        <v>275753</v>
      </c>
      <c r="AL81" s="3929">
        <f>SUMIF([3]租约表对应的会计账!$C$5:$C$164,B81,[3]租约表对应的会计账!$D$5:$D$164)</f>
        <v>179021</v>
      </c>
      <c r="AM81" s="3930">
        <f>SUMIF([3]租约表对应的会计账!$H$5:$H$164,B81,[3]租约表对应的会计账!$I$5:$I$164)</f>
        <v>24864</v>
      </c>
      <c r="AN81" s="3929">
        <f>SUMIF([3]租约表对应的会计账!$S$5:$S$164,B81,[3]租约表对应的会计账!$T$5:$T$164)</f>
        <v>64718</v>
      </c>
      <c r="AO81" s="3929">
        <f>SUMIF([3]租约表对应的会计账!$X$5:$X$164,B81,[3]租约表对应的会计账!$Y$5:$Y$164)</f>
        <v>2500</v>
      </c>
      <c r="AP81" s="3929">
        <f>SUMIF([3]租约表对应的会计账!$AC$5:$AC$164,[3]租约表!B81,[3]租约表对应的会计账!$AD$5:$AD$164)</f>
        <v>3750</v>
      </c>
      <c r="AQ81" s="3929">
        <f>SUMIF([3]租约表对应的会计账!$AH$5:$AH$164,[3]租约表!B81,[3]租约表对应的会计账!$AI$5:$AI$164)</f>
        <v>1800</v>
      </c>
      <c r="AR81" s="3929">
        <f t="shared" si="25"/>
        <v>276653</v>
      </c>
      <c r="AS81" s="3929">
        <f t="shared" si="15"/>
        <v>0</v>
      </c>
      <c r="AT81" s="3929">
        <f t="shared" si="15"/>
        <v>0</v>
      </c>
      <c r="AU81" s="3929">
        <f t="shared" si="15"/>
        <v>-900</v>
      </c>
      <c r="AV81" s="3929">
        <f t="shared" si="15"/>
        <v>0</v>
      </c>
      <c r="AW81" s="3929">
        <f t="shared" si="15"/>
        <v>0</v>
      </c>
      <c r="AX81" s="3929">
        <f t="shared" si="15"/>
        <v>0</v>
      </c>
      <c r="AY81" s="3929">
        <f t="shared" si="18"/>
        <v>-900</v>
      </c>
      <c r="AZ81" s="3915" t="s">
        <v>3967</v>
      </c>
    </row>
    <row r="82" spans="1:52" s="3931" customFormat="1" ht="60" customHeight="1">
      <c r="A82" s="3910" t="s">
        <v>4057</v>
      </c>
      <c r="B82" s="3911">
        <v>5003</v>
      </c>
      <c r="C82" s="3912" t="s">
        <v>3662</v>
      </c>
      <c r="D82" s="3912" t="s">
        <v>3663</v>
      </c>
      <c r="E82" s="3913">
        <v>44393</v>
      </c>
      <c r="F82" s="3912">
        <v>45489</v>
      </c>
      <c r="G82" s="3914">
        <f t="shared" si="19"/>
        <v>3.0027397260273974</v>
      </c>
      <c r="H82" s="3915"/>
      <c r="I82" s="3916">
        <v>113.9</v>
      </c>
      <c r="J82" s="3917">
        <v>2.7</v>
      </c>
      <c r="K82" s="3918">
        <v>1</v>
      </c>
      <c r="L82" s="3918">
        <v>2.8</v>
      </c>
      <c r="M82" s="3919">
        <f t="shared" si="13"/>
        <v>6.5</v>
      </c>
      <c r="N82" s="3920">
        <v>90</v>
      </c>
      <c r="O82" s="3921">
        <f t="shared" si="20"/>
        <v>27677.700000000004</v>
      </c>
      <c r="P82" s="3921">
        <f t="shared" si="20"/>
        <v>10251</v>
      </c>
      <c r="Q82" s="3921">
        <f t="shared" si="20"/>
        <v>28702.800000000003</v>
      </c>
      <c r="R82" s="3922">
        <v>2500</v>
      </c>
      <c r="S82" s="3923">
        <v>3150</v>
      </c>
      <c r="T82" s="3923">
        <v>1800</v>
      </c>
      <c r="U82" s="3923">
        <v>0</v>
      </c>
      <c r="V82" s="3924">
        <f t="shared" si="21"/>
        <v>74081.5</v>
      </c>
      <c r="W82" s="3925">
        <v>1845</v>
      </c>
      <c r="X82" s="3925">
        <v>683</v>
      </c>
      <c r="Y82" s="3925">
        <v>957</v>
      </c>
      <c r="Z82" s="3925"/>
      <c r="AA82" s="3925"/>
      <c r="AB82" s="3926"/>
      <c r="AC82" s="3927">
        <f t="shared" si="22"/>
        <v>3485</v>
      </c>
      <c r="AD82" s="3926">
        <f t="shared" si="26"/>
        <v>25832.700000000004</v>
      </c>
      <c r="AE82" s="3926">
        <f t="shared" si="26"/>
        <v>9568</v>
      </c>
      <c r="AF82" s="3926">
        <f t="shared" si="26"/>
        <v>27745.800000000003</v>
      </c>
      <c r="AG82" s="3926">
        <f t="shared" si="26"/>
        <v>2500</v>
      </c>
      <c r="AH82" s="3926">
        <f t="shared" si="26"/>
        <v>3150</v>
      </c>
      <c r="AI82" s="3926">
        <f t="shared" si="26"/>
        <v>1800</v>
      </c>
      <c r="AJ82" s="3926">
        <f t="shared" si="23"/>
        <v>0</v>
      </c>
      <c r="AK82" s="3928">
        <f t="shared" si="24"/>
        <v>70596.5</v>
      </c>
      <c r="AL82" s="3929">
        <f>SUMIF([3]租约表对应的会计账!$C$5:$C$164,B82,[3]租约表对应的会计账!$D$5:$D$164)</f>
        <v>0</v>
      </c>
      <c r="AM82" s="3930">
        <f>SUMIF([3]租约表对应的会计账!$H$5:$H$164,B82,[3]租约表对应的会计账!$I$5:$I$164)</f>
        <v>0</v>
      </c>
      <c r="AN82" s="3929">
        <f>SUMIF([3]租约表对应的会计账!$S$5:$S$164,B82,[3]租约表对应的会计账!$T$5:$T$164)</f>
        <v>0</v>
      </c>
      <c r="AO82" s="3929">
        <f>SUMIF([3]租约表对应的会计账!$X$5:$X$164,B82,[3]租约表对应的会计账!$Y$5:$Y$164)</f>
        <v>0</v>
      </c>
      <c r="AP82" s="3929">
        <f>SUMIF([3]租约表对应的会计账!$AC$5:$AC$164,[3]租约表!B82,[3]租约表对应的会计账!$AD$5:$AD$164)</f>
        <v>0</v>
      </c>
      <c r="AQ82" s="3929">
        <f>SUMIF([3]租约表对应的会计账!$AH$5:$AH$164,[3]租约表!B82,[3]租约表对应的会计账!$AI$5:$AI$164)</f>
        <v>0</v>
      </c>
      <c r="AR82" s="3929">
        <f t="shared" si="25"/>
        <v>0</v>
      </c>
      <c r="AS82" s="3929">
        <f t="shared" si="15"/>
        <v>25832.700000000004</v>
      </c>
      <c r="AT82" s="3929">
        <f t="shared" si="15"/>
        <v>9568</v>
      </c>
      <c r="AU82" s="3929">
        <f t="shared" si="15"/>
        <v>27745.800000000003</v>
      </c>
      <c r="AV82" s="3929">
        <f t="shared" si="15"/>
        <v>2500</v>
      </c>
      <c r="AW82" s="3929">
        <f t="shared" si="15"/>
        <v>3150</v>
      </c>
      <c r="AX82" s="3929">
        <f t="shared" si="15"/>
        <v>1800</v>
      </c>
      <c r="AY82" s="3929">
        <f t="shared" si="18"/>
        <v>70596.5</v>
      </c>
      <c r="AZ82" s="3915" t="s">
        <v>3975</v>
      </c>
    </row>
    <row r="83" spans="1:52" s="3931" customFormat="1" ht="60" customHeight="1">
      <c r="A83" s="3932" t="s">
        <v>4057</v>
      </c>
      <c r="B83" s="3934">
        <v>5005</v>
      </c>
      <c r="C83" s="3912" t="s">
        <v>3664</v>
      </c>
      <c r="D83" s="3912" t="s">
        <v>3665</v>
      </c>
      <c r="E83" s="3913">
        <v>44409</v>
      </c>
      <c r="F83" s="3913">
        <v>45504</v>
      </c>
      <c r="G83" s="3914">
        <f t="shared" si="19"/>
        <v>3</v>
      </c>
      <c r="H83" s="3915" t="s">
        <v>4060</v>
      </c>
      <c r="I83" s="3916">
        <v>108.1</v>
      </c>
      <c r="J83" s="3917">
        <v>5.7</v>
      </c>
      <c r="K83" s="3918">
        <v>1</v>
      </c>
      <c r="L83" s="3918">
        <v>2.8</v>
      </c>
      <c r="M83" s="3919">
        <f t="shared" si="13"/>
        <v>9.5</v>
      </c>
      <c r="N83" s="3920">
        <v>90</v>
      </c>
      <c r="O83" s="3921">
        <f t="shared" si="20"/>
        <v>55455.299999999996</v>
      </c>
      <c r="P83" s="3921">
        <f t="shared" si="20"/>
        <v>9729</v>
      </c>
      <c r="Q83" s="3921">
        <f t="shared" si="20"/>
        <v>27241.199999999997</v>
      </c>
      <c r="R83" s="3922">
        <v>2500</v>
      </c>
      <c r="S83" s="3923">
        <v>3750</v>
      </c>
      <c r="T83" s="3923">
        <v>1800</v>
      </c>
      <c r="U83" s="3923">
        <v>0</v>
      </c>
      <c r="V83" s="3924">
        <f t="shared" si="21"/>
        <v>100475.5</v>
      </c>
      <c r="W83" s="3925">
        <v>13285</v>
      </c>
      <c r="X83" s="3925">
        <v>757</v>
      </c>
      <c r="Y83" s="3925">
        <v>3935</v>
      </c>
      <c r="Z83" s="3925"/>
      <c r="AA83" s="3925"/>
      <c r="AB83" s="3926"/>
      <c r="AC83" s="3927">
        <f t="shared" si="22"/>
        <v>17977</v>
      </c>
      <c r="AD83" s="3926">
        <f t="shared" si="26"/>
        <v>42170.299999999996</v>
      </c>
      <c r="AE83" s="3926">
        <f t="shared" si="26"/>
        <v>8972</v>
      </c>
      <c r="AF83" s="3926">
        <f t="shared" si="26"/>
        <v>23306.199999999997</v>
      </c>
      <c r="AG83" s="3926">
        <f t="shared" si="26"/>
        <v>2500</v>
      </c>
      <c r="AH83" s="3926">
        <f t="shared" si="26"/>
        <v>3750</v>
      </c>
      <c r="AI83" s="3926">
        <f t="shared" si="26"/>
        <v>1800</v>
      </c>
      <c r="AJ83" s="3926">
        <f t="shared" si="23"/>
        <v>0</v>
      </c>
      <c r="AK83" s="3928">
        <f t="shared" si="24"/>
        <v>82498.5</v>
      </c>
      <c r="AL83" s="3929">
        <f>SUMIF([3]租约表对应的会计账!$C$5:$C$164,B83,[3]租约表对应的会计账!$D$5:$D$164)</f>
        <v>43695</v>
      </c>
      <c r="AM83" s="3930">
        <f>SUMIF([3]租约表对应的会计账!$H$5:$H$164,B83,[3]租约表对应的会计账!$I$5:$I$164)</f>
        <v>6305</v>
      </c>
      <c r="AN83" s="3929">
        <f>SUMIF([3]租约表对应的会计账!$S$5:$S$164,B83,[3]租约表对应的会计账!$T$5:$T$164)</f>
        <v>0</v>
      </c>
      <c r="AO83" s="3929">
        <f>SUMIF([3]租约表对应的会计账!$X$5:$X$164,B83,[3]租约表对应的会计账!$Y$5:$Y$164)</f>
        <v>0</v>
      </c>
      <c r="AP83" s="3929">
        <f>SUMIF([3]租约表对应的会计账!$AC$5:$AC$164,[3]租约表!B83,[3]租约表对应的会计账!$AD$5:$AD$164)</f>
        <v>0</v>
      </c>
      <c r="AQ83" s="3929">
        <f>SUMIF([3]租约表对应的会计账!$AH$5:$AH$164,[3]租约表!B83,[3]租约表对应的会计账!$AI$5:$AI$164)</f>
        <v>0</v>
      </c>
      <c r="AR83" s="3929">
        <f t="shared" si="25"/>
        <v>50000</v>
      </c>
      <c r="AS83" s="3929">
        <f t="shared" ref="AS83:AX114" si="27">AD83-AL83</f>
        <v>-1524.7000000000044</v>
      </c>
      <c r="AT83" s="3929">
        <f t="shared" si="27"/>
        <v>2667</v>
      </c>
      <c r="AU83" s="3929">
        <f t="shared" si="27"/>
        <v>23306.199999999997</v>
      </c>
      <c r="AV83" s="3929">
        <f t="shared" si="27"/>
        <v>2500</v>
      </c>
      <c r="AW83" s="3929">
        <f t="shared" si="27"/>
        <v>3750</v>
      </c>
      <c r="AX83" s="3929">
        <f t="shared" si="27"/>
        <v>1800</v>
      </c>
      <c r="AY83" s="3929">
        <f t="shared" si="18"/>
        <v>32498.499999999993</v>
      </c>
      <c r="AZ83" s="3915" t="s">
        <v>3975</v>
      </c>
    </row>
    <row r="84" spans="1:52" s="3931" customFormat="1" ht="60" customHeight="1">
      <c r="A84" s="3910" t="s">
        <v>4057</v>
      </c>
      <c r="B84" s="3911">
        <v>5006</v>
      </c>
      <c r="C84" s="3912" t="s">
        <v>3666</v>
      </c>
      <c r="D84" s="3912" t="s">
        <v>3667</v>
      </c>
      <c r="E84" s="3913">
        <v>44520</v>
      </c>
      <c r="F84" s="3913">
        <v>45747</v>
      </c>
      <c r="G84" s="3914">
        <f t="shared" si="19"/>
        <v>3.3616438356164382</v>
      </c>
      <c r="H84" s="3915" t="s">
        <v>4061</v>
      </c>
      <c r="I84" s="3916">
        <v>509.28</v>
      </c>
      <c r="J84" s="3917">
        <v>5.2</v>
      </c>
      <c r="K84" s="3918">
        <v>1</v>
      </c>
      <c r="L84" s="3918">
        <v>2.8</v>
      </c>
      <c r="M84" s="3919">
        <f t="shared" si="13"/>
        <v>9</v>
      </c>
      <c r="N84" s="3920">
        <v>90</v>
      </c>
      <c r="O84" s="3921">
        <f t="shared" si="20"/>
        <v>238343.03999999998</v>
      </c>
      <c r="P84" s="3921">
        <f t="shared" si="20"/>
        <v>45835.199999999997</v>
      </c>
      <c r="Q84" s="3921">
        <f t="shared" si="20"/>
        <v>128338.56</v>
      </c>
      <c r="R84" s="3922">
        <v>7500</v>
      </c>
      <c r="S84" s="3923">
        <v>4350</v>
      </c>
      <c r="T84" s="3923">
        <v>1800</v>
      </c>
      <c r="U84" s="3923">
        <v>0</v>
      </c>
      <c r="V84" s="3924">
        <f t="shared" si="21"/>
        <v>426166.8</v>
      </c>
      <c r="W84" s="3925">
        <v>15890</v>
      </c>
      <c r="X84" s="3925">
        <v>3056</v>
      </c>
      <c r="Y84" s="3925">
        <v>0</v>
      </c>
      <c r="Z84" s="3925"/>
      <c r="AA84" s="3925"/>
      <c r="AB84" s="3926"/>
      <c r="AC84" s="3927">
        <f t="shared" si="22"/>
        <v>18946</v>
      </c>
      <c r="AD84" s="3926">
        <f t="shared" si="26"/>
        <v>222453.03999999998</v>
      </c>
      <c r="AE84" s="3926">
        <f t="shared" si="26"/>
        <v>42779.199999999997</v>
      </c>
      <c r="AF84" s="3926">
        <f t="shared" si="26"/>
        <v>128338.56</v>
      </c>
      <c r="AG84" s="3926">
        <f t="shared" si="26"/>
        <v>7500</v>
      </c>
      <c r="AH84" s="3926">
        <f t="shared" si="26"/>
        <v>4350</v>
      </c>
      <c r="AI84" s="3926">
        <f t="shared" si="26"/>
        <v>1800</v>
      </c>
      <c r="AJ84" s="3926">
        <f t="shared" si="23"/>
        <v>0</v>
      </c>
      <c r="AK84" s="3928">
        <f t="shared" si="24"/>
        <v>407220.8</v>
      </c>
      <c r="AL84" s="3929">
        <f>SUMIF([3]租约表对应的会计账!$C$5:$C$164,B84,[3]租约表对应的会计账!$D$5:$D$164)</f>
        <v>222453</v>
      </c>
      <c r="AM84" s="3930">
        <f>SUMIF([3]租约表对应的会计账!$H$5:$H$164,B84,[3]租约表对应的会计账!$I$5:$I$164)</f>
        <v>42780</v>
      </c>
      <c r="AN84" s="3929">
        <f>SUMIF([3]租约表对应的会计账!$S$5:$S$164,B84,[3]租约表对应的会计账!$T$5:$T$164)</f>
        <v>128339</v>
      </c>
      <c r="AO84" s="3929">
        <f>SUMIF([3]租约表对应的会计账!$X$5:$X$164,B84,[3]租约表对应的会计账!$Y$5:$Y$164)</f>
        <v>7500</v>
      </c>
      <c r="AP84" s="3929">
        <f>SUMIF([3]租约表对应的会计账!$AC$5:$AC$164,[3]租约表!B84,[3]租约表对应的会计账!$AD$5:$AD$164)</f>
        <v>4950</v>
      </c>
      <c r="AQ84" s="3929">
        <f>SUMIF([3]租约表对应的会计账!$AH$5:$AH$164,[3]租约表!B84,[3]租约表对应的会计账!$AI$5:$AI$164)</f>
        <v>1200</v>
      </c>
      <c r="AR84" s="3929">
        <f t="shared" si="25"/>
        <v>407222</v>
      </c>
      <c r="AS84" s="3929">
        <f t="shared" si="27"/>
        <v>3.9999999979045242E-2</v>
      </c>
      <c r="AT84" s="3929">
        <f t="shared" si="27"/>
        <v>-0.80000000000291038</v>
      </c>
      <c r="AU84" s="3929">
        <f t="shared" si="27"/>
        <v>-0.44000000000232831</v>
      </c>
      <c r="AV84" s="3929">
        <f t="shared" si="27"/>
        <v>0</v>
      </c>
      <c r="AW84" s="3929">
        <f t="shared" si="27"/>
        <v>-600</v>
      </c>
      <c r="AX84" s="3929">
        <f t="shared" si="27"/>
        <v>600</v>
      </c>
      <c r="AY84" s="3929">
        <f t="shared" si="18"/>
        <v>-1.2000000000261934</v>
      </c>
      <c r="AZ84" s="3915" t="s">
        <v>3967</v>
      </c>
    </row>
    <row r="85" spans="1:52" s="3931" customFormat="1" ht="60" customHeight="1">
      <c r="A85" s="3910" t="s">
        <v>4057</v>
      </c>
      <c r="B85" s="3911">
        <v>5007</v>
      </c>
      <c r="C85" s="3912" t="s">
        <v>3668</v>
      </c>
      <c r="D85" s="3912" t="s">
        <v>3669</v>
      </c>
      <c r="E85" s="3913">
        <v>44287</v>
      </c>
      <c r="F85" s="3912">
        <v>45747</v>
      </c>
      <c r="G85" s="3914">
        <f t="shared" si="19"/>
        <v>4</v>
      </c>
      <c r="H85" s="3915" t="s">
        <v>4062</v>
      </c>
      <c r="I85" s="3916">
        <v>164.21</v>
      </c>
      <c r="J85" s="3917">
        <v>11.7</v>
      </c>
      <c r="K85" s="3918">
        <v>1</v>
      </c>
      <c r="L85" s="3918">
        <v>2.8</v>
      </c>
      <c r="M85" s="3919">
        <f t="shared" si="13"/>
        <v>15.5</v>
      </c>
      <c r="N85" s="3920">
        <v>90</v>
      </c>
      <c r="O85" s="3921">
        <f t="shared" si="20"/>
        <v>172913.13</v>
      </c>
      <c r="P85" s="3921">
        <f t="shared" si="20"/>
        <v>14778.900000000001</v>
      </c>
      <c r="Q85" s="3921">
        <f t="shared" si="20"/>
        <v>41380.92</v>
      </c>
      <c r="R85" s="3922">
        <v>2500</v>
      </c>
      <c r="S85" s="3923">
        <v>3150</v>
      </c>
      <c r="T85" s="3923">
        <v>1800</v>
      </c>
      <c r="U85" s="3923">
        <v>0</v>
      </c>
      <c r="V85" s="3924">
        <f t="shared" si="21"/>
        <v>236522.95</v>
      </c>
      <c r="W85" s="3925">
        <v>11528</v>
      </c>
      <c r="X85" s="3925">
        <v>985</v>
      </c>
      <c r="Y85" s="3925">
        <v>230</v>
      </c>
      <c r="Z85" s="3925"/>
      <c r="AA85" s="3925"/>
      <c r="AB85" s="3926"/>
      <c r="AC85" s="3927">
        <f t="shared" si="22"/>
        <v>12743</v>
      </c>
      <c r="AD85" s="3926">
        <f t="shared" si="26"/>
        <v>161385.13</v>
      </c>
      <c r="AE85" s="3926">
        <f t="shared" si="26"/>
        <v>13793.900000000001</v>
      </c>
      <c r="AF85" s="3926">
        <f t="shared" si="26"/>
        <v>41150.92</v>
      </c>
      <c r="AG85" s="3926">
        <f t="shared" si="26"/>
        <v>2500</v>
      </c>
      <c r="AH85" s="3926">
        <f t="shared" si="26"/>
        <v>3150</v>
      </c>
      <c r="AI85" s="3926">
        <f t="shared" si="26"/>
        <v>1800</v>
      </c>
      <c r="AJ85" s="3926">
        <f t="shared" si="23"/>
        <v>0</v>
      </c>
      <c r="AK85" s="3928">
        <f t="shared" si="24"/>
        <v>223779.95</v>
      </c>
      <c r="AL85" s="3929">
        <f>SUMIF([3]租约表对应的会计账!$C$5:$C$164,B85,[3]租约表对应的会计账!$D$5:$D$164)</f>
        <v>161385</v>
      </c>
      <c r="AM85" s="3930">
        <f>SUMIF([3]租约表对应的会计账!$H$5:$H$164,B85,[3]租约表对应的会计账!$I$5:$I$164)</f>
        <v>13794</v>
      </c>
      <c r="AN85" s="3929">
        <f>SUMIF([3]租约表对应的会计账!$S$5:$S$164,B85,[3]租约表对应的会计账!$T$5:$T$164)</f>
        <v>41151</v>
      </c>
      <c r="AO85" s="3929">
        <f>SUMIF([3]租约表对应的会计账!$X$5:$X$164,B85,[3]租约表对应的会计账!$Y$5:$Y$164)</f>
        <v>2500</v>
      </c>
      <c r="AP85" s="3929">
        <f>SUMIF([3]租约表对应的会计账!$AC$5:$AC$164,[3]租约表!B85,[3]租约表对应的会计账!$AD$5:$AD$164)</f>
        <v>3150</v>
      </c>
      <c r="AQ85" s="3929">
        <f>SUMIF([3]租约表对应的会计账!$AH$5:$AH$164,[3]租约表!B85,[3]租约表对应的会计账!$AI$5:$AI$164)</f>
        <v>1800</v>
      </c>
      <c r="AR85" s="3929">
        <f t="shared" si="25"/>
        <v>223780</v>
      </c>
      <c r="AS85" s="3929">
        <f t="shared" si="27"/>
        <v>0.13000000000465661</v>
      </c>
      <c r="AT85" s="3929">
        <f t="shared" si="27"/>
        <v>-9.9999999998544808E-2</v>
      </c>
      <c r="AU85" s="3929">
        <f t="shared" si="27"/>
        <v>-8.000000000174623E-2</v>
      </c>
      <c r="AV85" s="3929">
        <f t="shared" si="27"/>
        <v>0</v>
      </c>
      <c r="AW85" s="3929">
        <f t="shared" si="27"/>
        <v>0</v>
      </c>
      <c r="AX85" s="3929">
        <f t="shared" si="27"/>
        <v>0</v>
      </c>
      <c r="AY85" s="3929">
        <f t="shared" si="18"/>
        <v>-4.9999999995634425E-2</v>
      </c>
      <c r="AZ85" s="3915" t="s">
        <v>3967</v>
      </c>
    </row>
    <row r="86" spans="1:52" s="3931" customFormat="1" ht="60" customHeight="1">
      <c r="A86" s="3910" t="s">
        <v>4057</v>
      </c>
      <c r="B86" s="3911">
        <v>5009</v>
      </c>
      <c r="C86" s="3912" t="s">
        <v>3670</v>
      </c>
      <c r="D86" s="3912" t="s">
        <v>3671</v>
      </c>
      <c r="E86" s="3913">
        <v>43692</v>
      </c>
      <c r="F86" s="3913">
        <v>45565</v>
      </c>
      <c r="G86" s="3914">
        <f t="shared" si="19"/>
        <v>5.1315068493150688</v>
      </c>
      <c r="H86" s="3915" t="s">
        <v>4063</v>
      </c>
      <c r="I86" s="3916">
        <v>613.5</v>
      </c>
      <c r="J86" s="3917">
        <v>3.22</v>
      </c>
      <c r="K86" s="3918">
        <v>1</v>
      </c>
      <c r="L86" s="3918">
        <v>2.8</v>
      </c>
      <c r="M86" s="3919">
        <f t="shared" si="13"/>
        <v>7.0200000000000005</v>
      </c>
      <c r="N86" s="3920">
        <v>90</v>
      </c>
      <c r="O86" s="3921">
        <f t="shared" si="20"/>
        <v>177792.3</v>
      </c>
      <c r="P86" s="3921">
        <f t="shared" si="20"/>
        <v>55215</v>
      </c>
      <c r="Q86" s="3921">
        <f t="shared" si="20"/>
        <v>154602</v>
      </c>
      <c r="R86" s="3922">
        <v>6250</v>
      </c>
      <c r="S86" s="3923">
        <v>3750</v>
      </c>
      <c r="T86" s="3923">
        <v>1800</v>
      </c>
      <c r="U86" s="3923">
        <v>450</v>
      </c>
      <c r="V86" s="3924">
        <f t="shared" si="21"/>
        <v>399859.3</v>
      </c>
      <c r="W86" s="3925">
        <v>120590</v>
      </c>
      <c r="X86" s="3925">
        <v>3681</v>
      </c>
      <c r="Y86" s="3925">
        <v>0</v>
      </c>
      <c r="Z86" s="3925"/>
      <c r="AA86" s="3925"/>
      <c r="AB86" s="3926"/>
      <c r="AC86" s="3927">
        <f t="shared" si="22"/>
        <v>124271</v>
      </c>
      <c r="AD86" s="3926">
        <f t="shared" si="26"/>
        <v>57202.299999999988</v>
      </c>
      <c r="AE86" s="3926">
        <f t="shared" si="26"/>
        <v>51534</v>
      </c>
      <c r="AF86" s="3926">
        <f t="shared" si="26"/>
        <v>154602</v>
      </c>
      <c r="AG86" s="3926">
        <f t="shared" si="26"/>
        <v>6250</v>
      </c>
      <c r="AH86" s="3926">
        <f t="shared" si="26"/>
        <v>3750</v>
      </c>
      <c r="AI86" s="3926">
        <f t="shared" si="26"/>
        <v>1800</v>
      </c>
      <c r="AJ86" s="3926">
        <f t="shared" si="23"/>
        <v>450</v>
      </c>
      <c r="AK86" s="3928">
        <f t="shared" si="24"/>
        <v>275588.3</v>
      </c>
      <c r="AL86" s="3929">
        <f>SUMIF([3]租约表对应的会计账!$C$5:$C$164,B86,[3]租约表对应的会计账!$D$5:$D$164)</f>
        <v>57202</v>
      </c>
      <c r="AM86" s="3930">
        <f>SUMIF([3]租约表对应的会计账!$H$5:$H$164,B86,[3]租约表对应的会计账!$I$5:$I$164)</f>
        <v>51534</v>
      </c>
      <c r="AN86" s="3929">
        <f>SUMIF([3]租约表对应的会计账!$S$5:$S$164,B86,[3]租约表对应的会计账!$T$5:$T$164)</f>
        <v>154602</v>
      </c>
      <c r="AO86" s="3929">
        <f>SUMIF([3]租约表对应的会计账!$X$5:$X$164,B86,[3]租约表对应的会计账!$Y$5:$Y$164)</f>
        <v>6250</v>
      </c>
      <c r="AP86" s="3929">
        <f>SUMIF([3]租约表对应的会计账!$AC$5:$AC$164,[3]租约表!B86,[3]租约表对应的会计账!$AD$5:$AD$164)</f>
        <v>3750</v>
      </c>
      <c r="AQ86" s="3929">
        <f>SUMIF([3]租约表对应的会计账!$AH$5:$AH$164,[3]租约表!B86,[3]租约表对应的会计账!$AI$5:$AI$164)</f>
        <v>1200</v>
      </c>
      <c r="AR86" s="3929">
        <f t="shared" si="25"/>
        <v>274538</v>
      </c>
      <c r="AS86" s="3929">
        <f t="shared" si="27"/>
        <v>0.29999999998835847</v>
      </c>
      <c r="AT86" s="3929">
        <f t="shared" si="27"/>
        <v>0</v>
      </c>
      <c r="AU86" s="3929">
        <f t="shared" si="27"/>
        <v>0</v>
      </c>
      <c r="AV86" s="3929">
        <f t="shared" si="27"/>
        <v>0</v>
      </c>
      <c r="AW86" s="3929">
        <f t="shared" si="27"/>
        <v>0</v>
      </c>
      <c r="AX86" s="3929">
        <f t="shared" si="27"/>
        <v>600</v>
      </c>
      <c r="AY86" s="3929">
        <f t="shared" si="18"/>
        <v>600.29999999998836</v>
      </c>
      <c r="AZ86" s="3915" t="s">
        <v>3967</v>
      </c>
    </row>
    <row r="87" spans="1:52" s="3931" customFormat="1" ht="60" customHeight="1">
      <c r="A87" s="3910" t="s">
        <v>4057</v>
      </c>
      <c r="B87" s="3911">
        <v>5012</v>
      </c>
      <c r="C87" s="3912" t="s">
        <v>3672</v>
      </c>
      <c r="D87" s="3912" t="s">
        <v>3673</v>
      </c>
      <c r="E87" s="3913">
        <v>43070</v>
      </c>
      <c r="F87" s="3912">
        <v>45747</v>
      </c>
      <c r="G87" s="3914">
        <f t="shared" si="19"/>
        <v>7.3342465753424655</v>
      </c>
      <c r="H87" s="3915" t="s">
        <v>4064</v>
      </c>
      <c r="I87" s="3916">
        <v>233.8</v>
      </c>
      <c r="J87" s="3917">
        <v>10.78</v>
      </c>
      <c r="K87" s="3918">
        <v>1</v>
      </c>
      <c r="L87" s="3918">
        <v>2.8</v>
      </c>
      <c r="M87" s="3919">
        <f t="shared" si="13"/>
        <v>14.579999999999998</v>
      </c>
      <c r="N87" s="3920">
        <v>90</v>
      </c>
      <c r="O87" s="3921">
        <f t="shared" si="20"/>
        <v>226832.76</v>
      </c>
      <c r="P87" s="3921">
        <f t="shared" si="20"/>
        <v>21042</v>
      </c>
      <c r="Q87" s="3921">
        <f t="shared" si="20"/>
        <v>58917.599999999999</v>
      </c>
      <c r="R87" s="3922">
        <v>2500</v>
      </c>
      <c r="S87" s="3923">
        <v>3150</v>
      </c>
      <c r="T87" s="3923">
        <v>1800</v>
      </c>
      <c r="U87" s="3923">
        <v>0</v>
      </c>
      <c r="V87" s="3924">
        <f t="shared" si="21"/>
        <v>314242.36</v>
      </c>
      <c r="W87" s="3925">
        <v>41635</v>
      </c>
      <c r="X87" s="3925">
        <v>1403</v>
      </c>
      <c r="Y87" s="3925">
        <v>3928</v>
      </c>
      <c r="Z87" s="3925"/>
      <c r="AA87" s="3925"/>
      <c r="AB87" s="3926"/>
      <c r="AC87" s="3927">
        <f t="shared" si="22"/>
        <v>46966</v>
      </c>
      <c r="AD87" s="3926">
        <f t="shared" si="26"/>
        <v>185197.76</v>
      </c>
      <c r="AE87" s="3926">
        <f t="shared" si="26"/>
        <v>19639</v>
      </c>
      <c r="AF87" s="3926">
        <f t="shared" si="26"/>
        <v>54989.599999999999</v>
      </c>
      <c r="AG87" s="3926">
        <f t="shared" si="26"/>
        <v>2500</v>
      </c>
      <c r="AH87" s="3926">
        <f t="shared" si="26"/>
        <v>3150</v>
      </c>
      <c r="AI87" s="3926">
        <f t="shared" si="26"/>
        <v>1800</v>
      </c>
      <c r="AJ87" s="3926">
        <f t="shared" si="23"/>
        <v>0</v>
      </c>
      <c r="AK87" s="3928">
        <f t="shared" si="24"/>
        <v>267276.36</v>
      </c>
      <c r="AL87" s="3929">
        <f>SUMIF([3]租约表对应的会计账!$C$5:$C$164,B87,[3]租约表对应的会计账!$D$5:$D$164)</f>
        <v>164781</v>
      </c>
      <c r="AM87" s="3930">
        <f>SUMIF([3]租约表对应的会计账!$H$5:$H$164,B87,[3]租约表对应的会计账!$I$5:$I$164)</f>
        <v>19639</v>
      </c>
      <c r="AN87" s="3929">
        <f>SUMIF([3]租约表对应的会计账!$S$5:$S$164,B87,[3]租约表对应的会计账!$T$5:$T$164)</f>
        <v>52550</v>
      </c>
      <c r="AO87" s="3929">
        <f>SUMIF([3]租约表对应的会计账!$X$5:$X$164,B87,[3]租约表对应的会计账!$Y$5:$Y$164)</f>
        <v>2500</v>
      </c>
      <c r="AP87" s="3929">
        <f>SUMIF([3]租约表对应的会计账!$AC$5:$AC$164,[3]租约表!B87,[3]租约表对应的会计账!$AD$5:$AD$164)</f>
        <v>3150</v>
      </c>
      <c r="AQ87" s="3929">
        <f>SUMIF([3]租约表对应的会计账!$AH$5:$AH$164,[3]租约表!B87,[3]租约表对应的会计账!$AI$5:$AI$164)</f>
        <v>1800</v>
      </c>
      <c r="AR87" s="3929">
        <f t="shared" si="25"/>
        <v>244420</v>
      </c>
      <c r="AS87" s="3929">
        <f t="shared" si="27"/>
        <v>20416.760000000009</v>
      </c>
      <c r="AT87" s="3929">
        <f t="shared" si="27"/>
        <v>0</v>
      </c>
      <c r="AU87" s="3929">
        <f t="shared" si="27"/>
        <v>2439.5999999999985</v>
      </c>
      <c r="AV87" s="3929">
        <f t="shared" si="27"/>
        <v>0</v>
      </c>
      <c r="AW87" s="3929">
        <f t="shared" si="27"/>
        <v>0</v>
      </c>
      <c r="AX87" s="3929">
        <f t="shared" si="27"/>
        <v>0</v>
      </c>
      <c r="AY87" s="3929">
        <f t="shared" si="18"/>
        <v>22856.360000000008</v>
      </c>
      <c r="AZ87" s="3915" t="s">
        <v>3975</v>
      </c>
    </row>
    <row r="88" spans="1:52" s="3931" customFormat="1" ht="60" customHeight="1">
      <c r="A88" s="3910" t="s">
        <v>4057</v>
      </c>
      <c r="B88" s="3911">
        <v>5016</v>
      </c>
      <c r="C88" s="3912" t="s">
        <v>3674</v>
      </c>
      <c r="D88" s="3912" t="s">
        <v>3675</v>
      </c>
      <c r="E88" s="3913">
        <v>44857</v>
      </c>
      <c r="F88" s="3913">
        <v>46691</v>
      </c>
      <c r="G88" s="3914">
        <f t="shared" si="19"/>
        <v>5.0246575342465754</v>
      </c>
      <c r="H88" s="3915" t="s">
        <v>4065</v>
      </c>
      <c r="I88" s="3916">
        <v>201</v>
      </c>
      <c r="J88" s="3917">
        <v>6.2</v>
      </c>
      <c r="K88" s="3918">
        <v>1</v>
      </c>
      <c r="L88" s="3918">
        <v>2.8</v>
      </c>
      <c r="M88" s="3919">
        <f t="shared" si="13"/>
        <v>10</v>
      </c>
      <c r="N88" s="3920">
        <v>90</v>
      </c>
      <c r="O88" s="3921">
        <f t="shared" si="20"/>
        <v>112158</v>
      </c>
      <c r="P88" s="3921">
        <f t="shared" si="20"/>
        <v>18090</v>
      </c>
      <c r="Q88" s="3921">
        <f t="shared" si="20"/>
        <v>50651.999999999993</v>
      </c>
      <c r="R88" s="3922">
        <v>0</v>
      </c>
      <c r="S88" s="3923">
        <v>3750</v>
      </c>
      <c r="T88" s="3923">
        <v>1800</v>
      </c>
      <c r="U88" s="3923">
        <v>0</v>
      </c>
      <c r="V88" s="3924">
        <f t="shared" si="21"/>
        <v>186450</v>
      </c>
      <c r="W88" s="3925">
        <v>7477</v>
      </c>
      <c r="X88" s="3925">
        <v>1206</v>
      </c>
      <c r="Y88" s="3925">
        <v>3377</v>
      </c>
      <c r="Z88" s="3925"/>
      <c r="AA88" s="3925"/>
      <c r="AB88" s="3926"/>
      <c r="AC88" s="3927">
        <f t="shared" si="22"/>
        <v>12060</v>
      </c>
      <c r="AD88" s="3926">
        <f t="shared" si="26"/>
        <v>104681</v>
      </c>
      <c r="AE88" s="3926">
        <f t="shared" si="26"/>
        <v>16884</v>
      </c>
      <c r="AF88" s="3926">
        <f t="shared" si="26"/>
        <v>47274.999999999993</v>
      </c>
      <c r="AG88" s="3926">
        <f t="shared" si="26"/>
        <v>0</v>
      </c>
      <c r="AH88" s="3926">
        <f t="shared" si="26"/>
        <v>3750</v>
      </c>
      <c r="AI88" s="3926">
        <f t="shared" si="26"/>
        <v>1800</v>
      </c>
      <c r="AJ88" s="3926">
        <f t="shared" si="23"/>
        <v>0</v>
      </c>
      <c r="AK88" s="3928">
        <f t="shared" si="24"/>
        <v>174390</v>
      </c>
      <c r="AL88" s="3929">
        <f>SUMIF([3]租约表对应的会计账!$C$5:$C$164,B88,[3]租约表对应的会计账!$D$5:$D$164)</f>
        <v>104681</v>
      </c>
      <c r="AM88" s="3930">
        <f>SUMIF([3]租约表对应的会计账!$H$5:$H$164,B88,[3]租约表对应的会计账!$I$5:$I$164)</f>
        <v>16884</v>
      </c>
      <c r="AN88" s="3929">
        <f>SUMIF([3]租约表对应的会计账!$S$5:$S$164,B88,[3]租约表对应的会计账!$T$5:$T$164)</f>
        <v>46195</v>
      </c>
      <c r="AO88" s="3929">
        <f>SUMIF([3]租约表对应的会计账!$X$5:$X$164,B88,[3]租约表对应的会计账!$Y$5:$Y$164)</f>
        <v>0</v>
      </c>
      <c r="AP88" s="3929">
        <f>SUMIF([3]租约表对应的会计账!$AC$5:$AC$164,[3]租约表!B88,[3]租约表对应的会计账!$AD$5:$AD$164)</f>
        <v>3750</v>
      </c>
      <c r="AQ88" s="3929">
        <f>SUMIF([3]租约表对应的会计账!$AH$5:$AH$164,[3]租约表!B88,[3]租约表对应的会计账!$AI$5:$AI$164)</f>
        <v>1800</v>
      </c>
      <c r="AR88" s="3929">
        <f t="shared" si="25"/>
        <v>173310</v>
      </c>
      <c r="AS88" s="3929">
        <f t="shared" si="27"/>
        <v>0</v>
      </c>
      <c r="AT88" s="3929">
        <f t="shared" si="27"/>
        <v>0</v>
      </c>
      <c r="AU88" s="3929">
        <f t="shared" si="27"/>
        <v>1079.9999999999927</v>
      </c>
      <c r="AV88" s="3929">
        <f t="shared" si="27"/>
        <v>0</v>
      </c>
      <c r="AW88" s="3929">
        <f t="shared" si="27"/>
        <v>0</v>
      </c>
      <c r="AX88" s="3929">
        <f t="shared" si="27"/>
        <v>0</v>
      </c>
      <c r="AY88" s="3929">
        <f t="shared" si="18"/>
        <v>1079.9999999999927</v>
      </c>
      <c r="AZ88" s="3915" t="s">
        <v>4052</v>
      </c>
    </row>
    <row r="89" spans="1:52" s="3931" customFormat="1" ht="60" customHeight="1">
      <c r="A89" s="3910" t="s">
        <v>4057</v>
      </c>
      <c r="B89" s="3911">
        <v>5018</v>
      </c>
      <c r="C89" s="3912" t="s">
        <v>3676</v>
      </c>
      <c r="D89" s="3912" t="s">
        <v>3677</v>
      </c>
      <c r="E89" s="3913">
        <v>44185</v>
      </c>
      <c r="F89" s="3913">
        <v>45291</v>
      </c>
      <c r="G89" s="3914">
        <f t="shared" si="19"/>
        <v>3.0301369863013701</v>
      </c>
      <c r="H89" s="3915" t="s">
        <v>4066</v>
      </c>
      <c r="I89" s="3916">
        <v>149.80000000000001</v>
      </c>
      <c r="J89" s="3917">
        <v>8.1999999999999993</v>
      </c>
      <c r="K89" s="3918">
        <v>1</v>
      </c>
      <c r="L89" s="3918">
        <v>2.8</v>
      </c>
      <c r="M89" s="3919">
        <f t="shared" si="13"/>
        <v>12</v>
      </c>
      <c r="N89" s="3920">
        <v>90</v>
      </c>
      <c r="O89" s="3921">
        <f t="shared" si="20"/>
        <v>110552.4</v>
      </c>
      <c r="P89" s="3921">
        <f t="shared" si="20"/>
        <v>13482.000000000002</v>
      </c>
      <c r="Q89" s="3921">
        <f t="shared" si="20"/>
        <v>37749.599999999999</v>
      </c>
      <c r="R89" s="3922">
        <v>2500</v>
      </c>
      <c r="S89" s="3923">
        <v>3750</v>
      </c>
      <c r="T89" s="3923">
        <v>1800</v>
      </c>
      <c r="U89" s="3923">
        <v>0</v>
      </c>
      <c r="V89" s="3924">
        <f t="shared" si="21"/>
        <v>169834</v>
      </c>
      <c r="W89" s="3925">
        <v>45120</v>
      </c>
      <c r="X89" s="3925">
        <v>899</v>
      </c>
      <c r="Y89" s="3925">
        <v>2517</v>
      </c>
      <c r="Z89" s="3925"/>
      <c r="AA89" s="3925"/>
      <c r="AB89" s="3926"/>
      <c r="AC89" s="3927">
        <f t="shared" si="22"/>
        <v>48536</v>
      </c>
      <c r="AD89" s="3926">
        <f t="shared" si="26"/>
        <v>65432.399999999994</v>
      </c>
      <c r="AE89" s="3926">
        <f t="shared" si="26"/>
        <v>12583.000000000002</v>
      </c>
      <c r="AF89" s="3926">
        <f t="shared" si="26"/>
        <v>35232.6</v>
      </c>
      <c r="AG89" s="3926">
        <f t="shared" si="26"/>
        <v>2500</v>
      </c>
      <c r="AH89" s="3926">
        <f t="shared" si="26"/>
        <v>3750</v>
      </c>
      <c r="AI89" s="3926">
        <f t="shared" si="26"/>
        <v>1800</v>
      </c>
      <c r="AJ89" s="3926">
        <f t="shared" si="23"/>
        <v>0</v>
      </c>
      <c r="AK89" s="3928">
        <f t="shared" si="24"/>
        <v>121298</v>
      </c>
      <c r="AL89" s="3929">
        <f>SUMIF([3]租约表对应的会计账!$C$5:$C$164,B89,[3]租约表对应的会计账!$D$5:$D$164)</f>
        <v>65432</v>
      </c>
      <c r="AM89" s="3930">
        <f>SUMIF([3]租约表对应的会计账!$H$5:$H$164,B89,[3]租约表对应的会计账!$I$5:$I$164)</f>
        <v>12583</v>
      </c>
      <c r="AN89" s="3929">
        <f>SUMIF([3]租约表对应的会计账!$S$5:$S$164,B89,[3]租约表对应的会计账!$T$5:$T$164)</f>
        <v>35233</v>
      </c>
      <c r="AO89" s="3929">
        <f>SUMIF([3]租约表对应的会计账!$X$5:$X$164,B89,[3]租约表对应的会计账!$Y$5:$Y$164)</f>
        <v>2500</v>
      </c>
      <c r="AP89" s="3929">
        <f>SUMIF([3]租约表对应的会计账!$AC$5:$AC$164,[3]租约表!B89,[3]租约表对应的会计账!$AD$5:$AD$164)</f>
        <v>3750</v>
      </c>
      <c r="AQ89" s="3929">
        <f>SUMIF([3]租约表对应的会计账!$AH$5:$AH$164,[3]租约表!B89,[3]租约表对应的会计账!$AI$5:$AI$164)</f>
        <v>1800</v>
      </c>
      <c r="AR89" s="3929">
        <f t="shared" si="25"/>
        <v>121298</v>
      </c>
      <c r="AS89" s="3929">
        <f t="shared" si="27"/>
        <v>0.39999999999417923</v>
      </c>
      <c r="AT89" s="3929">
        <f t="shared" si="27"/>
        <v>0</v>
      </c>
      <c r="AU89" s="3929">
        <f t="shared" si="27"/>
        <v>-0.40000000000145519</v>
      </c>
      <c r="AV89" s="3929">
        <f t="shared" si="27"/>
        <v>0</v>
      </c>
      <c r="AW89" s="3929">
        <f t="shared" si="27"/>
        <v>0</v>
      </c>
      <c r="AX89" s="3929">
        <f t="shared" si="27"/>
        <v>0</v>
      </c>
      <c r="AY89" s="3929">
        <f t="shared" si="18"/>
        <v>-7.2759576141834259E-12</v>
      </c>
      <c r="AZ89" s="3915" t="s">
        <v>3967</v>
      </c>
    </row>
    <row r="90" spans="1:52" s="3931" customFormat="1" ht="60" customHeight="1">
      <c r="A90" s="3910" t="s">
        <v>4057</v>
      </c>
      <c r="B90" s="3911">
        <v>5019</v>
      </c>
      <c r="C90" s="3912" t="s">
        <v>3678</v>
      </c>
      <c r="D90" s="3912" t="s">
        <v>3679</v>
      </c>
      <c r="E90" s="3913">
        <v>44180</v>
      </c>
      <c r="F90" s="3913">
        <v>45291</v>
      </c>
      <c r="G90" s="3914">
        <f t="shared" si="19"/>
        <v>3.043835616438356</v>
      </c>
      <c r="H90" s="3915" t="s">
        <v>4067</v>
      </c>
      <c r="I90" s="3916">
        <v>234.08</v>
      </c>
      <c r="J90" s="3917">
        <v>6.2</v>
      </c>
      <c r="K90" s="3918">
        <v>1</v>
      </c>
      <c r="L90" s="3918">
        <v>2.8</v>
      </c>
      <c r="M90" s="3919">
        <f t="shared" si="13"/>
        <v>10</v>
      </c>
      <c r="N90" s="3920">
        <v>90</v>
      </c>
      <c r="O90" s="3921">
        <f t="shared" si="20"/>
        <v>130616.64</v>
      </c>
      <c r="P90" s="3921">
        <f t="shared" si="20"/>
        <v>21067.200000000001</v>
      </c>
      <c r="Q90" s="3921">
        <f t="shared" si="20"/>
        <v>58988.159999999996</v>
      </c>
      <c r="R90" s="3922">
        <v>2500</v>
      </c>
      <c r="S90" s="3923">
        <v>3750</v>
      </c>
      <c r="T90" s="3923">
        <v>1800</v>
      </c>
      <c r="U90" s="3923">
        <v>0</v>
      </c>
      <c r="V90" s="3924">
        <f t="shared" si="21"/>
        <v>218722</v>
      </c>
      <c r="W90" s="3925">
        <v>28370</v>
      </c>
      <c r="X90" s="3925">
        <v>1404</v>
      </c>
      <c r="Y90" s="3925">
        <v>3933</v>
      </c>
      <c r="Z90" s="3925"/>
      <c r="AA90" s="3925"/>
      <c r="AB90" s="3926"/>
      <c r="AC90" s="3927">
        <f t="shared" si="22"/>
        <v>33707</v>
      </c>
      <c r="AD90" s="3926">
        <f t="shared" si="26"/>
        <v>102246.64</v>
      </c>
      <c r="AE90" s="3926">
        <f t="shared" si="26"/>
        <v>19663.2</v>
      </c>
      <c r="AF90" s="3926">
        <f t="shared" si="26"/>
        <v>55055.159999999996</v>
      </c>
      <c r="AG90" s="3926">
        <f t="shared" si="26"/>
        <v>2500</v>
      </c>
      <c r="AH90" s="3926">
        <f t="shared" si="26"/>
        <v>3750</v>
      </c>
      <c r="AI90" s="3926">
        <f t="shared" si="26"/>
        <v>1800</v>
      </c>
      <c r="AJ90" s="3926">
        <f t="shared" si="23"/>
        <v>0</v>
      </c>
      <c r="AK90" s="3928">
        <f t="shared" si="24"/>
        <v>185015</v>
      </c>
      <c r="AL90" s="3929">
        <f>SUMIF([3]租约表对应的会计账!$C$5:$C$164,B90,[3]租约表对应的会计账!$D$5:$D$164)</f>
        <v>85572</v>
      </c>
      <c r="AM90" s="3930">
        <f>SUMIF([3]租约表对应的会计账!$H$5:$H$164,B90,[3]租约表对应的会计账!$I$5:$I$164)</f>
        <v>12406</v>
      </c>
      <c r="AN90" s="3929">
        <f>SUMIF([3]租约表对应的会计账!$S$5:$S$164,B90,[3]租约表对应的会计账!$T$5:$T$164)</f>
        <v>0</v>
      </c>
      <c r="AO90" s="3929">
        <f>SUMIF([3]租约表对应的会计账!$X$5:$X$164,B90,[3]租约表对应的会计账!$Y$5:$Y$164)</f>
        <v>0</v>
      </c>
      <c r="AP90" s="3929">
        <f>SUMIF([3]租约表对应的会计账!$AC$5:$AC$164,[3]租约表!B90,[3]租约表对应的会计账!$AD$5:$AD$164)</f>
        <v>0</v>
      </c>
      <c r="AQ90" s="3929">
        <f>SUMIF([3]租约表对应的会计账!$AH$5:$AH$164,[3]租约表!B90,[3]租约表对应的会计账!$AI$5:$AI$164)</f>
        <v>0</v>
      </c>
      <c r="AR90" s="3929">
        <f t="shared" si="25"/>
        <v>97978</v>
      </c>
      <c r="AS90" s="3929">
        <f t="shared" si="27"/>
        <v>16674.64</v>
      </c>
      <c r="AT90" s="3929">
        <f t="shared" si="27"/>
        <v>7257.2000000000007</v>
      </c>
      <c r="AU90" s="3929">
        <f t="shared" si="27"/>
        <v>55055.159999999996</v>
      </c>
      <c r="AV90" s="3929">
        <f t="shared" si="27"/>
        <v>2500</v>
      </c>
      <c r="AW90" s="3929">
        <f t="shared" si="27"/>
        <v>3750</v>
      </c>
      <c r="AX90" s="3929">
        <f t="shared" si="27"/>
        <v>1800</v>
      </c>
      <c r="AY90" s="3929">
        <f t="shared" si="18"/>
        <v>87037</v>
      </c>
      <c r="AZ90" s="3915" t="s">
        <v>3975</v>
      </c>
    </row>
    <row r="91" spans="1:52" s="3931" customFormat="1" ht="60" customHeight="1">
      <c r="A91" s="3910" t="s">
        <v>4057</v>
      </c>
      <c r="B91" s="3911">
        <v>5021</v>
      </c>
      <c r="C91" s="3912" t="s">
        <v>3680</v>
      </c>
      <c r="D91" s="3912" t="s">
        <v>3681</v>
      </c>
      <c r="E91" s="3913">
        <v>42826</v>
      </c>
      <c r="F91" s="3912">
        <v>45747</v>
      </c>
      <c r="G91" s="3914">
        <f t="shared" si="19"/>
        <v>8.0027397260273965</v>
      </c>
      <c r="H91" s="3915" t="s">
        <v>4068</v>
      </c>
      <c r="I91" s="3916">
        <v>642.1</v>
      </c>
      <c r="J91" s="3917">
        <v>3.7</v>
      </c>
      <c r="K91" s="3918">
        <v>1</v>
      </c>
      <c r="L91" s="3918">
        <v>2.8</v>
      </c>
      <c r="M91" s="3919">
        <f t="shared" si="13"/>
        <v>7.5</v>
      </c>
      <c r="N91" s="3920">
        <v>90</v>
      </c>
      <c r="O91" s="3921">
        <f t="shared" si="20"/>
        <v>213819.3</v>
      </c>
      <c r="P91" s="3921">
        <f t="shared" si="20"/>
        <v>57789</v>
      </c>
      <c r="Q91" s="3921">
        <f t="shared" si="20"/>
        <v>161809.19999999998</v>
      </c>
      <c r="R91" s="3922">
        <v>2500</v>
      </c>
      <c r="S91" s="3923">
        <v>3150</v>
      </c>
      <c r="T91" s="3923">
        <v>1800</v>
      </c>
      <c r="U91" s="3923"/>
      <c r="V91" s="3924">
        <f t="shared" si="21"/>
        <v>440867.5</v>
      </c>
      <c r="W91" s="3925">
        <v>14255</v>
      </c>
      <c r="X91" s="3925">
        <v>3853</v>
      </c>
      <c r="Y91" s="3925">
        <v>1798</v>
      </c>
      <c r="Z91" s="3925"/>
      <c r="AA91" s="3925"/>
      <c r="AB91" s="3926"/>
      <c r="AC91" s="3927">
        <f t="shared" si="22"/>
        <v>19906</v>
      </c>
      <c r="AD91" s="3926">
        <f t="shared" si="26"/>
        <v>199564.3</v>
      </c>
      <c r="AE91" s="3926">
        <f t="shared" si="26"/>
        <v>53936</v>
      </c>
      <c r="AF91" s="3926">
        <f t="shared" si="26"/>
        <v>160011.19999999998</v>
      </c>
      <c r="AG91" s="3926">
        <f t="shared" si="26"/>
        <v>2500</v>
      </c>
      <c r="AH91" s="3926">
        <f t="shared" si="26"/>
        <v>3150</v>
      </c>
      <c r="AI91" s="3926">
        <f t="shared" si="26"/>
        <v>1800</v>
      </c>
      <c r="AJ91" s="3926">
        <f t="shared" si="23"/>
        <v>0</v>
      </c>
      <c r="AK91" s="3928">
        <f t="shared" si="24"/>
        <v>420961.5</v>
      </c>
      <c r="AL91" s="3929">
        <f>SUMIF([3]租约表对应的会计账!$C$5:$C$164,B91,[3]租约表对应的会计账!$D$5:$D$164)</f>
        <v>199564</v>
      </c>
      <c r="AM91" s="3930">
        <f>SUMIF([3]租约表对应的会计账!$H$5:$H$164,B91,[3]租约表对应的会计账!$I$5:$I$164)</f>
        <v>53936</v>
      </c>
      <c r="AN91" s="3929">
        <f>SUMIF([3]租约表对应的会计账!$S$5:$S$164,B91,[3]租约表对应的会计账!$T$5:$T$164)</f>
        <v>160011</v>
      </c>
      <c r="AO91" s="3929">
        <f>SUMIF([3]租约表对应的会计账!$X$5:$X$164,B91,[3]租约表对应的会计账!$Y$5:$Y$164)</f>
        <v>2500</v>
      </c>
      <c r="AP91" s="3929">
        <f>SUMIF([3]租约表对应的会计账!$AC$5:$AC$164,[3]租约表!B91,[3]租约表对应的会计账!$AD$5:$AD$164)</f>
        <v>3150</v>
      </c>
      <c r="AQ91" s="3929">
        <f>SUMIF([3]租约表对应的会计账!$AH$5:$AH$164,[3]租约表!B91,[3]租约表对应的会计账!$AI$5:$AI$164)</f>
        <v>1800</v>
      </c>
      <c r="AR91" s="3929">
        <f t="shared" si="25"/>
        <v>420961</v>
      </c>
      <c r="AS91" s="3929">
        <f t="shared" si="27"/>
        <v>0.29999999998835847</v>
      </c>
      <c r="AT91" s="3929">
        <f t="shared" si="27"/>
        <v>0</v>
      </c>
      <c r="AU91" s="3929">
        <f t="shared" si="27"/>
        <v>0.1999999999825377</v>
      </c>
      <c r="AV91" s="3929">
        <f t="shared" si="27"/>
        <v>0</v>
      </c>
      <c r="AW91" s="3929">
        <f t="shared" si="27"/>
        <v>0</v>
      </c>
      <c r="AX91" s="3929">
        <f t="shared" si="27"/>
        <v>0</v>
      </c>
      <c r="AY91" s="3929">
        <f t="shared" si="18"/>
        <v>0.49999999997089617</v>
      </c>
      <c r="AZ91" s="3915" t="s">
        <v>3967</v>
      </c>
    </row>
    <row r="92" spans="1:52" s="3931" customFormat="1" ht="60" customHeight="1">
      <c r="A92" s="3910" t="s">
        <v>4057</v>
      </c>
      <c r="B92" s="3911">
        <v>5027</v>
      </c>
      <c r="C92" s="3912" t="s">
        <v>3682</v>
      </c>
      <c r="D92" s="3912" t="s">
        <v>3683</v>
      </c>
      <c r="E92" s="3913">
        <v>42826</v>
      </c>
      <c r="F92" s="3912">
        <v>45747</v>
      </c>
      <c r="G92" s="3914">
        <f t="shared" si="19"/>
        <v>8.0027397260273965</v>
      </c>
      <c r="H92" s="3915" t="s">
        <v>4069</v>
      </c>
      <c r="I92" s="3916">
        <v>193.4</v>
      </c>
      <c r="J92" s="3917">
        <v>3.7</v>
      </c>
      <c r="K92" s="3918">
        <v>1</v>
      </c>
      <c r="L92" s="3918">
        <v>2.8</v>
      </c>
      <c r="M92" s="3919">
        <f t="shared" si="13"/>
        <v>7.5</v>
      </c>
      <c r="N92" s="3920">
        <v>90</v>
      </c>
      <c r="O92" s="3921">
        <f t="shared" si="20"/>
        <v>64402.200000000004</v>
      </c>
      <c r="P92" s="3921">
        <f t="shared" si="20"/>
        <v>17406</v>
      </c>
      <c r="Q92" s="3921">
        <f t="shared" si="20"/>
        <v>48736.799999999996</v>
      </c>
      <c r="R92" s="3922">
        <v>2500</v>
      </c>
      <c r="S92" s="3923">
        <v>3150</v>
      </c>
      <c r="T92" s="3923">
        <v>1800</v>
      </c>
      <c r="U92" s="3923">
        <v>0</v>
      </c>
      <c r="V92" s="3924">
        <f t="shared" si="21"/>
        <v>137995</v>
      </c>
      <c r="W92" s="3925">
        <v>4293</v>
      </c>
      <c r="X92" s="3925">
        <v>1160</v>
      </c>
      <c r="Y92" s="3925">
        <v>1083</v>
      </c>
      <c r="Z92" s="3925"/>
      <c r="AA92" s="3925"/>
      <c r="AB92" s="3926"/>
      <c r="AC92" s="3927">
        <f t="shared" si="22"/>
        <v>6536</v>
      </c>
      <c r="AD92" s="3926">
        <f t="shared" si="26"/>
        <v>60109.200000000004</v>
      </c>
      <c r="AE92" s="3926">
        <f t="shared" si="26"/>
        <v>16246</v>
      </c>
      <c r="AF92" s="3926">
        <f t="shared" si="26"/>
        <v>47653.799999999996</v>
      </c>
      <c r="AG92" s="3926">
        <f t="shared" si="26"/>
        <v>2500</v>
      </c>
      <c r="AH92" s="3926">
        <f t="shared" si="26"/>
        <v>3150</v>
      </c>
      <c r="AI92" s="3926">
        <f t="shared" si="26"/>
        <v>1800</v>
      </c>
      <c r="AJ92" s="3926">
        <f t="shared" si="23"/>
        <v>0</v>
      </c>
      <c r="AK92" s="3928">
        <f t="shared" si="24"/>
        <v>131459</v>
      </c>
      <c r="AL92" s="3929">
        <f>SUMIF([3]租约表对应的会计账!$C$5:$C$164,B92,[3]租约表对应的会计账!$D$5:$D$164)</f>
        <v>60109</v>
      </c>
      <c r="AM92" s="3930">
        <f>SUMIF([3]租约表对应的会计账!$H$5:$H$164,B92,[3]租约表对应的会计账!$I$5:$I$164)</f>
        <v>16246</v>
      </c>
      <c r="AN92" s="3929">
        <f>SUMIF([3]租约表对应的会计账!$S$5:$S$164,B92,[3]租约表对应的会计账!$T$5:$T$164)</f>
        <v>47654</v>
      </c>
      <c r="AO92" s="3929">
        <f>SUMIF([3]租约表对应的会计账!$X$5:$X$164,B92,[3]租约表对应的会计账!$Y$5:$Y$164)</f>
        <v>2500</v>
      </c>
      <c r="AP92" s="3929">
        <f>SUMIF([3]租约表对应的会计账!$AC$5:$AC$164,[3]租约表!B92,[3]租约表对应的会计账!$AD$5:$AD$164)</f>
        <v>3150</v>
      </c>
      <c r="AQ92" s="3929">
        <f>SUMIF([3]租约表对应的会计账!$AH$5:$AH$164,[3]租约表!B92,[3]租约表对应的会计账!$AI$5:$AI$164)</f>
        <v>1800</v>
      </c>
      <c r="AR92" s="3929">
        <f t="shared" si="25"/>
        <v>131459</v>
      </c>
      <c r="AS92" s="3929">
        <f t="shared" si="27"/>
        <v>0.20000000000436557</v>
      </c>
      <c r="AT92" s="3929">
        <f t="shared" si="27"/>
        <v>0</v>
      </c>
      <c r="AU92" s="3929">
        <f t="shared" si="27"/>
        <v>-0.20000000000436557</v>
      </c>
      <c r="AV92" s="3929">
        <f t="shared" si="27"/>
        <v>0</v>
      </c>
      <c r="AW92" s="3929">
        <f t="shared" si="27"/>
        <v>0</v>
      </c>
      <c r="AX92" s="3929">
        <f t="shared" si="27"/>
        <v>0</v>
      </c>
      <c r="AY92" s="3929">
        <f t="shared" si="18"/>
        <v>0</v>
      </c>
      <c r="AZ92" s="3915" t="s">
        <v>3967</v>
      </c>
    </row>
    <row r="93" spans="1:52" s="3931" customFormat="1" ht="60" customHeight="1">
      <c r="A93" s="3910" t="s">
        <v>4057</v>
      </c>
      <c r="B93" s="3911">
        <v>5031</v>
      </c>
      <c r="C93" s="3912" t="s">
        <v>3684</v>
      </c>
      <c r="D93" s="3912" t="s">
        <v>3685</v>
      </c>
      <c r="E93" s="3913">
        <v>44306</v>
      </c>
      <c r="F93" s="3913">
        <v>45382</v>
      </c>
      <c r="G93" s="3914">
        <f t="shared" si="19"/>
        <v>2.9479452054794519</v>
      </c>
      <c r="H93" s="3915" t="s">
        <v>4070</v>
      </c>
      <c r="I93" s="3916">
        <v>259.83999999999997</v>
      </c>
      <c r="J93" s="3917">
        <v>7.2</v>
      </c>
      <c r="K93" s="3918">
        <v>1</v>
      </c>
      <c r="L93" s="3918">
        <v>2.8</v>
      </c>
      <c r="M93" s="3919">
        <f t="shared" si="13"/>
        <v>11</v>
      </c>
      <c r="N93" s="3920">
        <v>90</v>
      </c>
      <c r="O93" s="3921">
        <f t="shared" si="20"/>
        <v>168376.32000000001</v>
      </c>
      <c r="P93" s="3921">
        <f t="shared" si="20"/>
        <v>23385.599999999999</v>
      </c>
      <c r="Q93" s="3921">
        <f t="shared" si="20"/>
        <v>65479.679999999993</v>
      </c>
      <c r="R93" s="3922">
        <v>2500</v>
      </c>
      <c r="S93" s="3923">
        <v>3750</v>
      </c>
      <c r="T93" s="3923">
        <v>1800</v>
      </c>
      <c r="U93" s="3923">
        <v>0</v>
      </c>
      <c r="V93" s="3924">
        <f t="shared" si="21"/>
        <v>265291.59999999998</v>
      </c>
      <c r="W93" s="3925">
        <v>98531</v>
      </c>
      <c r="X93" s="3925">
        <v>1559</v>
      </c>
      <c r="Y93" s="3925">
        <v>0</v>
      </c>
      <c r="Z93" s="3925"/>
      <c r="AA93" s="3925"/>
      <c r="AB93" s="3926"/>
      <c r="AC93" s="3927">
        <f t="shared" si="22"/>
        <v>100090</v>
      </c>
      <c r="AD93" s="3926">
        <f t="shared" si="26"/>
        <v>69845.320000000007</v>
      </c>
      <c r="AE93" s="3926">
        <f t="shared" si="26"/>
        <v>21826.6</v>
      </c>
      <c r="AF93" s="3926">
        <f t="shared" si="26"/>
        <v>65479.679999999993</v>
      </c>
      <c r="AG93" s="3926">
        <f t="shared" si="26"/>
        <v>2500</v>
      </c>
      <c r="AH93" s="3926">
        <f t="shared" si="26"/>
        <v>3750</v>
      </c>
      <c r="AI93" s="3926">
        <f t="shared" si="26"/>
        <v>1800</v>
      </c>
      <c r="AJ93" s="3926">
        <f t="shared" si="23"/>
        <v>0</v>
      </c>
      <c r="AK93" s="3928">
        <f t="shared" si="24"/>
        <v>165201.60000000001</v>
      </c>
      <c r="AL93" s="3929">
        <f>SUMIF([3]租约表对应的会计账!$C$5:$C$164,B93,[3]租约表对应的会计账!$D$5:$D$164)</f>
        <v>69845</v>
      </c>
      <c r="AM93" s="3930">
        <f>SUMIF([3]租约表对应的会计账!$H$5:$H$164,B93,[3]租约表对应的会计账!$I$5:$I$164)</f>
        <v>21827</v>
      </c>
      <c r="AN93" s="3929">
        <f>SUMIF([3]租约表对应的会计账!$S$5:$S$164,B93,[3]租约表对应的会计账!$T$5:$T$164)</f>
        <v>66080</v>
      </c>
      <c r="AO93" s="3929">
        <f>SUMIF([3]租约表对应的会计账!$X$5:$X$164,B93,[3]租约表对应的会计账!$Y$5:$Y$164)</f>
        <v>2500</v>
      </c>
      <c r="AP93" s="3929">
        <f>SUMIF([3]租约表对应的会计账!$AC$5:$AC$164,[3]租约表!B93,[3]租约表对应的会计账!$AD$5:$AD$164)</f>
        <v>3750</v>
      </c>
      <c r="AQ93" s="3929">
        <f>SUMIF([3]租约表对应的会计账!$AH$5:$AH$164,[3]租约表!B93,[3]租约表对应的会计账!$AI$5:$AI$164)</f>
        <v>1800</v>
      </c>
      <c r="AR93" s="3929">
        <f t="shared" si="25"/>
        <v>165802</v>
      </c>
      <c r="AS93" s="3929">
        <f t="shared" si="27"/>
        <v>0.32000000000698492</v>
      </c>
      <c r="AT93" s="3929">
        <f t="shared" si="27"/>
        <v>-0.40000000000145519</v>
      </c>
      <c r="AU93" s="3929">
        <f t="shared" si="27"/>
        <v>-600.32000000000698</v>
      </c>
      <c r="AV93" s="3929">
        <f t="shared" si="27"/>
        <v>0</v>
      </c>
      <c r="AW93" s="3929">
        <f t="shared" si="27"/>
        <v>0</v>
      </c>
      <c r="AX93" s="3929">
        <f t="shared" si="27"/>
        <v>0</v>
      </c>
      <c r="AY93" s="3929">
        <f t="shared" si="18"/>
        <v>-600.40000000000146</v>
      </c>
      <c r="AZ93" s="3915" t="s">
        <v>3967</v>
      </c>
    </row>
    <row r="94" spans="1:52" s="3931" customFormat="1" ht="60" customHeight="1">
      <c r="A94" s="3910" t="s">
        <v>4071</v>
      </c>
      <c r="B94" s="3911">
        <v>6001</v>
      </c>
      <c r="C94" s="3912" t="s">
        <v>3568</v>
      </c>
      <c r="D94" s="3912"/>
      <c r="E94" s="3913"/>
      <c r="F94" s="3913"/>
      <c r="G94" s="3914">
        <f t="shared" si="19"/>
        <v>0</v>
      </c>
      <c r="H94" s="3915"/>
      <c r="I94" s="3916">
        <v>603.20000000000005</v>
      </c>
      <c r="J94" s="3917"/>
      <c r="K94" s="3918"/>
      <c r="L94" s="3918"/>
      <c r="M94" s="3919">
        <f t="shared" si="13"/>
        <v>0</v>
      </c>
      <c r="N94" s="3920"/>
      <c r="O94" s="3921">
        <f t="shared" si="20"/>
        <v>0</v>
      </c>
      <c r="P94" s="3921">
        <f t="shared" si="20"/>
        <v>0</v>
      </c>
      <c r="Q94" s="3921">
        <f t="shared" si="20"/>
        <v>0</v>
      </c>
      <c r="R94" s="3922">
        <v>0</v>
      </c>
      <c r="S94" s="3923">
        <v>0</v>
      </c>
      <c r="T94" s="3923">
        <v>0</v>
      </c>
      <c r="U94" s="3923">
        <v>0</v>
      </c>
      <c r="V94" s="3924">
        <f t="shared" si="21"/>
        <v>0</v>
      </c>
      <c r="W94" s="3925">
        <v>0</v>
      </c>
      <c r="X94" s="3925">
        <v>0</v>
      </c>
      <c r="Y94" s="3925">
        <v>0</v>
      </c>
      <c r="Z94" s="3925"/>
      <c r="AA94" s="3925"/>
      <c r="AB94" s="3926"/>
      <c r="AC94" s="3927">
        <f t="shared" si="22"/>
        <v>0</v>
      </c>
      <c r="AD94" s="3926">
        <f t="shared" si="26"/>
        <v>0</v>
      </c>
      <c r="AE94" s="3926">
        <f t="shared" si="26"/>
        <v>0</v>
      </c>
      <c r="AF94" s="3926">
        <f t="shared" si="26"/>
        <v>0</v>
      </c>
      <c r="AG94" s="3926">
        <f t="shared" si="26"/>
        <v>0</v>
      </c>
      <c r="AH94" s="3926">
        <f t="shared" si="26"/>
        <v>0</v>
      </c>
      <c r="AI94" s="3926">
        <f t="shared" si="26"/>
        <v>0</v>
      </c>
      <c r="AJ94" s="3926">
        <f t="shared" si="23"/>
        <v>0</v>
      </c>
      <c r="AK94" s="3928">
        <f t="shared" si="24"/>
        <v>0</v>
      </c>
      <c r="AL94" s="3929">
        <f>SUMIF([3]租约表对应的会计账!$C$5:$C$164,B94,[3]租约表对应的会计账!$D$5:$D$164)</f>
        <v>0</v>
      </c>
      <c r="AM94" s="3930">
        <f>SUMIF([3]租约表对应的会计账!$H$5:$H$164,B94,[3]租约表对应的会计账!$I$5:$I$164)</f>
        <v>0</v>
      </c>
      <c r="AN94" s="3929">
        <f>SUMIF([3]租约表对应的会计账!$S$5:$S$164,B94,[3]租约表对应的会计账!$T$5:$T$164)</f>
        <v>0</v>
      </c>
      <c r="AO94" s="3929">
        <f>SUMIF([3]租约表对应的会计账!$X$5:$X$164,B94,[3]租约表对应的会计账!$Y$5:$Y$164)</f>
        <v>0</v>
      </c>
      <c r="AP94" s="3929">
        <f>SUMIF([3]租约表对应的会计账!$AC$5:$AC$164,[3]租约表!B94,[3]租约表对应的会计账!$AD$5:$AD$164)</f>
        <v>0</v>
      </c>
      <c r="AQ94" s="3929">
        <f>SUMIF([3]租约表对应的会计账!$AH$5:$AH$164,[3]租约表!B94,[3]租约表对应的会计账!$AI$5:$AI$164)</f>
        <v>0</v>
      </c>
      <c r="AR94" s="3929">
        <f t="shared" si="25"/>
        <v>0</v>
      </c>
      <c r="AS94" s="3929">
        <f t="shared" si="27"/>
        <v>0</v>
      </c>
      <c r="AT94" s="3929">
        <f t="shared" si="27"/>
        <v>0</v>
      </c>
      <c r="AU94" s="3929">
        <f t="shared" si="27"/>
        <v>0</v>
      </c>
      <c r="AV94" s="3929">
        <f t="shared" si="27"/>
        <v>0</v>
      </c>
      <c r="AW94" s="3929">
        <f t="shared" si="27"/>
        <v>0</v>
      </c>
      <c r="AX94" s="3929">
        <f t="shared" si="27"/>
        <v>0</v>
      </c>
      <c r="AY94" s="3929">
        <f t="shared" si="18"/>
        <v>0</v>
      </c>
      <c r="AZ94" s="3915" t="s">
        <v>3568</v>
      </c>
    </row>
    <row r="95" spans="1:52" s="3931" customFormat="1" ht="60" customHeight="1">
      <c r="A95" s="3910" t="s">
        <v>4071</v>
      </c>
      <c r="B95" s="3934">
        <v>6003</v>
      </c>
      <c r="C95" s="3912" t="s">
        <v>4072</v>
      </c>
      <c r="D95" s="3912" t="s">
        <v>3686</v>
      </c>
      <c r="E95" s="3912">
        <v>43922</v>
      </c>
      <c r="F95" s="3912">
        <v>45747</v>
      </c>
      <c r="G95" s="3914">
        <f t="shared" si="19"/>
        <v>5</v>
      </c>
      <c r="H95" s="3945" t="s">
        <v>4073</v>
      </c>
      <c r="I95" s="3916">
        <v>222.24</v>
      </c>
      <c r="J95" s="3917"/>
      <c r="K95" s="3918"/>
      <c r="L95" s="3918"/>
      <c r="M95" s="3919">
        <f t="shared" si="13"/>
        <v>0</v>
      </c>
      <c r="N95" s="3920">
        <v>90</v>
      </c>
      <c r="O95" s="3921">
        <f t="shared" si="20"/>
        <v>0</v>
      </c>
      <c r="P95" s="3921">
        <f t="shared" si="20"/>
        <v>0</v>
      </c>
      <c r="Q95" s="3921">
        <f t="shared" si="20"/>
        <v>0</v>
      </c>
      <c r="R95" s="3922">
        <v>0</v>
      </c>
      <c r="S95" s="3923">
        <v>0</v>
      </c>
      <c r="T95" s="3923">
        <v>0</v>
      </c>
      <c r="U95" s="3923">
        <v>0</v>
      </c>
      <c r="V95" s="3924">
        <f t="shared" si="21"/>
        <v>0</v>
      </c>
      <c r="W95" s="3925">
        <v>0</v>
      </c>
      <c r="X95" s="3925">
        <v>0</v>
      </c>
      <c r="Y95" s="3925">
        <v>0</v>
      </c>
      <c r="Z95" s="3925"/>
      <c r="AA95" s="3925"/>
      <c r="AB95" s="3926"/>
      <c r="AC95" s="3927">
        <f t="shared" si="22"/>
        <v>0</v>
      </c>
      <c r="AD95" s="3926">
        <f t="shared" si="26"/>
        <v>0</v>
      </c>
      <c r="AE95" s="3926">
        <f t="shared" si="26"/>
        <v>0</v>
      </c>
      <c r="AF95" s="3926">
        <f t="shared" si="26"/>
        <v>0</v>
      </c>
      <c r="AG95" s="3926">
        <f t="shared" si="26"/>
        <v>0</v>
      </c>
      <c r="AH95" s="3926">
        <f t="shared" si="26"/>
        <v>0</v>
      </c>
      <c r="AI95" s="3926">
        <f t="shared" si="26"/>
        <v>0</v>
      </c>
      <c r="AJ95" s="3926">
        <f t="shared" si="23"/>
        <v>0</v>
      </c>
      <c r="AK95" s="3928">
        <f t="shared" si="24"/>
        <v>0</v>
      </c>
      <c r="AL95" s="3929">
        <f>SUMIF([3]租约表对应的会计账!$C$5:$C$164,B95,[3]租约表对应的会计账!$D$5:$D$164)</f>
        <v>0</v>
      </c>
      <c r="AM95" s="3930">
        <f>SUMIF([3]租约表对应的会计账!$H$5:$H$164,B95,[3]租约表对应的会计账!$I$5:$I$164)</f>
        <v>0</v>
      </c>
      <c r="AN95" s="3929">
        <f>SUMIF([3]租约表对应的会计账!$S$5:$S$164,B95,[3]租约表对应的会计账!$T$5:$T$164)</f>
        <v>0</v>
      </c>
      <c r="AO95" s="3929">
        <f>SUMIF([3]租约表对应的会计账!$X$5:$X$164,B95,[3]租约表对应的会计账!$Y$5:$Y$164)</f>
        <v>0</v>
      </c>
      <c r="AP95" s="3929">
        <f>SUMIF([3]租约表对应的会计账!$AC$5:$AC$164,[3]租约表!B95,[3]租约表对应的会计账!$AD$5:$AD$164)</f>
        <v>0</v>
      </c>
      <c r="AQ95" s="3929">
        <f>SUMIF([3]租约表对应的会计账!$AH$5:$AH$164,[3]租约表!B95,[3]租约表对应的会计账!$AI$5:$AI$164)</f>
        <v>0</v>
      </c>
      <c r="AR95" s="3929">
        <f t="shared" si="25"/>
        <v>0</v>
      </c>
      <c r="AS95" s="3929">
        <f t="shared" si="27"/>
        <v>0</v>
      </c>
      <c r="AT95" s="3929">
        <f t="shared" si="27"/>
        <v>0</v>
      </c>
      <c r="AU95" s="3929">
        <f t="shared" si="27"/>
        <v>0</v>
      </c>
      <c r="AV95" s="3929">
        <f t="shared" si="27"/>
        <v>0</v>
      </c>
      <c r="AW95" s="3929">
        <f t="shared" si="27"/>
        <v>0</v>
      </c>
      <c r="AX95" s="3929">
        <f t="shared" si="27"/>
        <v>0</v>
      </c>
      <c r="AY95" s="3929">
        <f t="shared" si="18"/>
        <v>0</v>
      </c>
      <c r="AZ95" s="3915"/>
    </row>
    <row r="96" spans="1:52" s="3931" customFormat="1" ht="60" customHeight="1">
      <c r="A96" s="3910" t="s">
        <v>4071</v>
      </c>
      <c r="B96" s="3911">
        <v>6005</v>
      </c>
      <c r="C96" s="3912" t="s">
        <v>3568</v>
      </c>
      <c r="D96" s="3912"/>
      <c r="E96" s="3913"/>
      <c r="F96" s="3913"/>
      <c r="G96" s="3914">
        <f t="shared" si="19"/>
        <v>0</v>
      </c>
      <c r="H96" s="3915"/>
      <c r="I96" s="3916">
        <v>280.95999999999998</v>
      </c>
      <c r="J96" s="3917"/>
      <c r="K96" s="3918"/>
      <c r="L96" s="3918"/>
      <c r="M96" s="3919">
        <f t="shared" si="13"/>
        <v>0</v>
      </c>
      <c r="N96" s="3920"/>
      <c r="O96" s="3921">
        <f t="shared" si="20"/>
        <v>0</v>
      </c>
      <c r="P96" s="3921">
        <f t="shared" si="20"/>
        <v>0</v>
      </c>
      <c r="Q96" s="3921">
        <f t="shared" si="20"/>
        <v>0</v>
      </c>
      <c r="R96" s="3922"/>
      <c r="S96" s="3923"/>
      <c r="T96" s="3923"/>
      <c r="U96" s="3923"/>
      <c r="V96" s="3924">
        <f t="shared" si="21"/>
        <v>0</v>
      </c>
      <c r="W96" s="3925">
        <v>0</v>
      </c>
      <c r="X96" s="3925">
        <v>0</v>
      </c>
      <c r="Y96" s="3925">
        <v>0</v>
      </c>
      <c r="Z96" s="3925"/>
      <c r="AA96" s="3925"/>
      <c r="AB96" s="3926"/>
      <c r="AC96" s="3927">
        <f t="shared" si="22"/>
        <v>0</v>
      </c>
      <c r="AD96" s="3926">
        <f t="shared" si="26"/>
        <v>0</v>
      </c>
      <c r="AE96" s="3926">
        <f t="shared" si="26"/>
        <v>0</v>
      </c>
      <c r="AF96" s="3926">
        <f t="shared" si="26"/>
        <v>0</v>
      </c>
      <c r="AG96" s="3926">
        <f t="shared" si="26"/>
        <v>0</v>
      </c>
      <c r="AH96" s="3926">
        <f t="shared" si="26"/>
        <v>0</v>
      </c>
      <c r="AI96" s="3926">
        <f t="shared" si="26"/>
        <v>0</v>
      </c>
      <c r="AJ96" s="3926">
        <f t="shared" si="23"/>
        <v>0</v>
      </c>
      <c r="AK96" s="3928">
        <f t="shared" si="24"/>
        <v>0</v>
      </c>
      <c r="AL96" s="3929">
        <f>SUMIF([3]租约表对应的会计账!$C$5:$C$164,B96,[3]租约表对应的会计账!$D$5:$D$164)</f>
        <v>0</v>
      </c>
      <c r="AM96" s="3930">
        <f>SUMIF([3]租约表对应的会计账!$H$5:$H$164,B96,[3]租约表对应的会计账!$I$5:$I$164)</f>
        <v>0</v>
      </c>
      <c r="AN96" s="3929">
        <f>SUMIF([3]租约表对应的会计账!$S$5:$S$164,B96,[3]租约表对应的会计账!$T$5:$T$164)</f>
        <v>0</v>
      </c>
      <c r="AO96" s="3929">
        <f>SUMIF([3]租约表对应的会计账!$X$5:$X$164,B96,[3]租约表对应的会计账!$Y$5:$Y$164)</f>
        <v>0</v>
      </c>
      <c r="AP96" s="3929">
        <f>SUMIF([3]租约表对应的会计账!$AC$5:$AC$164,[3]租约表!B96,[3]租约表对应的会计账!$AD$5:$AD$164)</f>
        <v>0</v>
      </c>
      <c r="AQ96" s="3929">
        <f>SUMIF([3]租约表对应的会计账!$AH$5:$AH$164,[3]租约表!B96,[3]租约表对应的会计账!$AI$5:$AI$164)</f>
        <v>0</v>
      </c>
      <c r="AR96" s="3929">
        <f t="shared" si="25"/>
        <v>0</v>
      </c>
      <c r="AS96" s="3929">
        <f t="shared" si="27"/>
        <v>0</v>
      </c>
      <c r="AT96" s="3929">
        <f t="shared" si="27"/>
        <v>0</v>
      </c>
      <c r="AU96" s="3929">
        <f t="shared" si="27"/>
        <v>0</v>
      </c>
      <c r="AV96" s="3929">
        <f t="shared" si="27"/>
        <v>0</v>
      </c>
      <c r="AW96" s="3929">
        <f t="shared" si="27"/>
        <v>0</v>
      </c>
      <c r="AX96" s="3929">
        <f t="shared" si="27"/>
        <v>0</v>
      </c>
      <c r="AY96" s="3929">
        <f t="shared" si="18"/>
        <v>0</v>
      </c>
      <c r="AZ96" s="3915" t="s">
        <v>3568</v>
      </c>
    </row>
    <row r="97" spans="1:52" s="3931" customFormat="1" ht="60" customHeight="1">
      <c r="A97" s="3910" t="s">
        <v>4071</v>
      </c>
      <c r="B97" s="3911">
        <v>6006</v>
      </c>
      <c r="C97" s="3912" t="s">
        <v>3687</v>
      </c>
      <c r="D97" s="3912" t="s">
        <v>3688</v>
      </c>
      <c r="E97" s="3913">
        <v>44793</v>
      </c>
      <c r="F97" s="3913">
        <v>45504</v>
      </c>
      <c r="G97" s="3914">
        <f t="shared" si="19"/>
        <v>1.9479452054794522</v>
      </c>
      <c r="H97" s="3915" t="s">
        <v>4074</v>
      </c>
      <c r="I97" s="3916">
        <v>572.96</v>
      </c>
      <c r="J97" s="3917">
        <v>2.94</v>
      </c>
      <c r="K97" s="3918"/>
      <c r="L97" s="3918">
        <v>2.8</v>
      </c>
      <c r="M97" s="3919">
        <f t="shared" si="13"/>
        <v>5.74</v>
      </c>
      <c r="N97" s="3920">
        <v>90</v>
      </c>
      <c r="O97" s="3921">
        <f t="shared" si="20"/>
        <v>151605.21600000001</v>
      </c>
      <c r="P97" s="3921">
        <f t="shared" si="20"/>
        <v>0</v>
      </c>
      <c r="Q97" s="3921">
        <f t="shared" si="20"/>
        <v>144385.92000000001</v>
      </c>
      <c r="R97" s="3922">
        <v>0</v>
      </c>
      <c r="S97" s="3923">
        <v>150</v>
      </c>
      <c r="T97" s="3923">
        <v>0</v>
      </c>
      <c r="U97" s="3923">
        <v>0</v>
      </c>
      <c r="V97" s="3924">
        <f t="shared" si="21"/>
        <v>296141.13600000006</v>
      </c>
      <c r="W97" s="3925">
        <v>9534</v>
      </c>
      <c r="X97" s="3925">
        <v>0</v>
      </c>
      <c r="Y97" s="3925">
        <v>41712</v>
      </c>
      <c r="Z97" s="3925"/>
      <c r="AA97" s="3925"/>
      <c r="AB97" s="3926"/>
      <c r="AC97" s="3927">
        <f t="shared" si="22"/>
        <v>51246</v>
      </c>
      <c r="AD97" s="3926">
        <f t="shared" si="26"/>
        <v>142071.21600000001</v>
      </c>
      <c r="AE97" s="3926">
        <f t="shared" si="26"/>
        <v>0</v>
      </c>
      <c r="AF97" s="3926">
        <f t="shared" si="26"/>
        <v>102673.92000000001</v>
      </c>
      <c r="AG97" s="3926">
        <f t="shared" si="26"/>
        <v>0</v>
      </c>
      <c r="AH97" s="3926">
        <f t="shared" si="26"/>
        <v>150</v>
      </c>
      <c r="AI97" s="3926">
        <f t="shared" si="26"/>
        <v>0</v>
      </c>
      <c r="AJ97" s="3926">
        <f t="shared" si="23"/>
        <v>0</v>
      </c>
      <c r="AK97" s="3928">
        <f t="shared" si="24"/>
        <v>244895.13600000003</v>
      </c>
      <c r="AL97" s="3929">
        <f>SUMIF([3]租约表对应的会计账!$C$5:$C$164,B97,[3]租约表对应的会计账!$D$5:$D$164)</f>
        <v>0</v>
      </c>
      <c r="AM97" s="3930">
        <f>SUMIF([3]租约表对应的会计账!$H$5:$H$164,B97,[3]租约表对应的会计账!$I$5:$I$164)</f>
        <v>0</v>
      </c>
      <c r="AN97" s="3929">
        <f>SUMIF([3]租约表对应的会计账!$S$5:$S$164,B97,[3]租约表对应的会计账!$T$5:$T$164)</f>
        <v>0</v>
      </c>
      <c r="AO97" s="3929">
        <f>SUMIF([3]租约表对应的会计账!$X$5:$X$164,B97,[3]租约表对应的会计账!$Y$5:$Y$164)</f>
        <v>0</v>
      </c>
      <c r="AP97" s="3929">
        <f>SUMIF([3]租约表对应的会计账!$AC$5:$AC$164,[3]租约表!B97,[3]租约表对应的会计账!$AD$5:$AD$164)</f>
        <v>0</v>
      </c>
      <c r="AQ97" s="3929">
        <f>SUMIF([3]租约表对应的会计账!$AH$5:$AH$164,[3]租约表!B97,[3]租约表对应的会计账!$AI$5:$AI$164)</f>
        <v>0</v>
      </c>
      <c r="AR97" s="3929">
        <f t="shared" si="25"/>
        <v>0</v>
      </c>
      <c r="AS97" s="3929">
        <f t="shared" si="27"/>
        <v>142071.21600000001</v>
      </c>
      <c r="AT97" s="3929">
        <f t="shared" si="27"/>
        <v>0</v>
      </c>
      <c r="AU97" s="3929">
        <f t="shared" si="27"/>
        <v>102673.92000000001</v>
      </c>
      <c r="AV97" s="3929">
        <f t="shared" si="27"/>
        <v>0</v>
      </c>
      <c r="AW97" s="3929">
        <f t="shared" si="27"/>
        <v>150</v>
      </c>
      <c r="AX97" s="3929">
        <f t="shared" si="27"/>
        <v>0</v>
      </c>
      <c r="AY97" s="3929">
        <f t="shared" si="18"/>
        <v>244895.13600000003</v>
      </c>
      <c r="AZ97" s="3915" t="s">
        <v>3975</v>
      </c>
    </row>
    <row r="98" spans="1:52" s="3931" customFormat="1" ht="60" customHeight="1">
      <c r="A98" s="3910" t="s">
        <v>4071</v>
      </c>
      <c r="B98" s="3911">
        <v>6007</v>
      </c>
      <c r="C98" s="3912" t="s">
        <v>3568</v>
      </c>
      <c r="D98" s="3912"/>
      <c r="E98" s="3913"/>
      <c r="F98" s="3913"/>
      <c r="G98" s="3914">
        <f t="shared" si="19"/>
        <v>0</v>
      </c>
      <c r="H98" s="3915"/>
      <c r="I98" s="3916">
        <v>424.64</v>
      </c>
      <c r="J98" s="3917"/>
      <c r="K98" s="3918"/>
      <c r="L98" s="3918"/>
      <c r="M98" s="3919">
        <f t="shared" si="13"/>
        <v>0</v>
      </c>
      <c r="N98" s="3920"/>
      <c r="O98" s="3921">
        <f t="shared" si="20"/>
        <v>0</v>
      </c>
      <c r="P98" s="3921">
        <f t="shared" si="20"/>
        <v>0</v>
      </c>
      <c r="Q98" s="3921">
        <f t="shared" si="20"/>
        <v>0</v>
      </c>
      <c r="R98" s="3922">
        <v>0</v>
      </c>
      <c r="S98" s="3923">
        <v>0</v>
      </c>
      <c r="T98" s="3923">
        <v>0</v>
      </c>
      <c r="U98" s="3923">
        <v>0</v>
      </c>
      <c r="V98" s="3924">
        <f t="shared" si="21"/>
        <v>0</v>
      </c>
      <c r="W98" s="3925">
        <v>0</v>
      </c>
      <c r="X98" s="3925">
        <v>0</v>
      </c>
      <c r="Y98" s="3925">
        <v>0</v>
      </c>
      <c r="Z98" s="3925"/>
      <c r="AA98" s="3925"/>
      <c r="AB98" s="3926"/>
      <c r="AC98" s="3927">
        <f t="shared" si="22"/>
        <v>0</v>
      </c>
      <c r="AD98" s="3926">
        <f t="shared" si="26"/>
        <v>0</v>
      </c>
      <c r="AE98" s="3926">
        <f t="shared" si="26"/>
        <v>0</v>
      </c>
      <c r="AF98" s="3926">
        <f t="shared" si="26"/>
        <v>0</v>
      </c>
      <c r="AG98" s="3926">
        <f t="shared" si="26"/>
        <v>0</v>
      </c>
      <c r="AH98" s="3926">
        <f t="shared" si="26"/>
        <v>0</v>
      </c>
      <c r="AI98" s="3926">
        <f t="shared" si="26"/>
        <v>0</v>
      </c>
      <c r="AJ98" s="3926">
        <f t="shared" si="23"/>
        <v>0</v>
      </c>
      <c r="AK98" s="3928">
        <f t="shared" si="24"/>
        <v>0</v>
      </c>
      <c r="AL98" s="3929">
        <f>SUMIF([3]租约表对应的会计账!$C$5:$C$164,B98,[3]租约表对应的会计账!$D$5:$D$164)</f>
        <v>0</v>
      </c>
      <c r="AM98" s="3930">
        <f>SUMIF([3]租约表对应的会计账!$H$5:$H$164,B98,[3]租约表对应的会计账!$I$5:$I$164)</f>
        <v>0</v>
      </c>
      <c r="AN98" s="3929">
        <f>SUMIF([3]租约表对应的会计账!$S$5:$S$164,B98,[3]租约表对应的会计账!$T$5:$T$164)</f>
        <v>0</v>
      </c>
      <c r="AO98" s="3929">
        <f>SUMIF([3]租约表对应的会计账!$X$5:$X$164,B98,[3]租约表对应的会计账!$Y$5:$Y$164)</f>
        <v>0</v>
      </c>
      <c r="AP98" s="3929">
        <f>SUMIF([3]租约表对应的会计账!$AC$5:$AC$164,[3]租约表!B98,[3]租约表对应的会计账!$AD$5:$AD$164)</f>
        <v>0</v>
      </c>
      <c r="AQ98" s="3929">
        <f>SUMIF([3]租约表对应的会计账!$AH$5:$AH$164,[3]租约表!B98,[3]租约表对应的会计账!$AI$5:$AI$164)</f>
        <v>0</v>
      </c>
      <c r="AR98" s="3929">
        <f t="shared" si="25"/>
        <v>0</v>
      </c>
      <c r="AS98" s="3929">
        <f t="shared" si="27"/>
        <v>0</v>
      </c>
      <c r="AT98" s="3929">
        <f t="shared" si="27"/>
        <v>0</v>
      </c>
      <c r="AU98" s="3929">
        <f t="shared" si="27"/>
        <v>0</v>
      </c>
      <c r="AV98" s="3929">
        <f t="shared" si="27"/>
        <v>0</v>
      </c>
      <c r="AW98" s="3929">
        <f t="shared" si="27"/>
        <v>0</v>
      </c>
      <c r="AX98" s="3929">
        <f t="shared" si="27"/>
        <v>0</v>
      </c>
      <c r="AY98" s="3929">
        <f t="shared" si="18"/>
        <v>0</v>
      </c>
      <c r="AZ98" s="3915" t="s">
        <v>3568</v>
      </c>
    </row>
    <row r="99" spans="1:52" s="3931" customFormat="1" ht="114.95" customHeight="1">
      <c r="A99" s="3910" t="s">
        <v>4071</v>
      </c>
      <c r="B99" s="3911">
        <v>6008</v>
      </c>
      <c r="C99" s="3912" t="s">
        <v>3689</v>
      </c>
      <c r="D99" s="3912" t="s">
        <v>3690</v>
      </c>
      <c r="E99" s="3913">
        <v>42213</v>
      </c>
      <c r="F99" s="3912">
        <v>45865</v>
      </c>
      <c r="G99" s="3914">
        <f t="shared" si="19"/>
        <v>10.005479452054795</v>
      </c>
      <c r="H99" s="3915" t="s">
        <v>4075</v>
      </c>
      <c r="I99" s="3916">
        <v>1265.2</v>
      </c>
      <c r="J99" s="3917">
        <v>5.2</v>
      </c>
      <c r="K99" s="3918">
        <v>0</v>
      </c>
      <c r="L99" s="3918">
        <v>2.8</v>
      </c>
      <c r="M99" s="3919">
        <f t="shared" si="13"/>
        <v>8</v>
      </c>
      <c r="N99" s="3920">
        <v>90</v>
      </c>
      <c r="O99" s="3921">
        <f t="shared" si="20"/>
        <v>592113.60000000009</v>
      </c>
      <c r="P99" s="3921">
        <f t="shared" si="20"/>
        <v>0</v>
      </c>
      <c r="Q99" s="3921">
        <f t="shared" si="20"/>
        <v>318830.40000000002</v>
      </c>
      <c r="R99" s="3922">
        <v>2500</v>
      </c>
      <c r="S99" s="3923">
        <v>150</v>
      </c>
      <c r="T99" s="3923">
        <v>0</v>
      </c>
      <c r="U99" s="3923">
        <v>0</v>
      </c>
      <c r="V99" s="3924">
        <f t="shared" si="21"/>
        <v>913594.00000000012</v>
      </c>
      <c r="W99" s="3925">
        <v>39474</v>
      </c>
      <c r="X99" s="3925">
        <v>0</v>
      </c>
      <c r="Y99" s="3925">
        <v>21255</v>
      </c>
      <c r="Z99" s="3925"/>
      <c r="AA99" s="3925"/>
      <c r="AB99" s="3926"/>
      <c r="AC99" s="3927">
        <f t="shared" si="22"/>
        <v>60729</v>
      </c>
      <c r="AD99" s="3926">
        <f t="shared" si="26"/>
        <v>552639.60000000009</v>
      </c>
      <c r="AE99" s="3926">
        <f t="shared" si="26"/>
        <v>0</v>
      </c>
      <c r="AF99" s="3926">
        <f t="shared" si="26"/>
        <v>297575.40000000002</v>
      </c>
      <c r="AG99" s="3926">
        <f t="shared" si="26"/>
        <v>2500</v>
      </c>
      <c r="AH99" s="3926">
        <f t="shared" si="26"/>
        <v>150</v>
      </c>
      <c r="AI99" s="3926">
        <f t="shared" si="26"/>
        <v>0</v>
      </c>
      <c r="AJ99" s="3926">
        <f t="shared" si="23"/>
        <v>0</v>
      </c>
      <c r="AK99" s="3928">
        <f t="shared" si="24"/>
        <v>852865.00000000012</v>
      </c>
      <c r="AL99" s="3929">
        <f>SUMIF([3]租约表对应的会计账!$C$5:$C$164,B99,[3]租约表对应的会计账!$D$5:$D$164)</f>
        <v>210000</v>
      </c>
      <c r="AM99" s="3930">
        <f>SUMIF([3]租约表对应的会计账!$H$5:$H$164,B99,[3]租约表对应的会计账!$I$5:$I$164)</f>
        <v>0</v>
      </c>
      <c r="AN99" s="3929">
        <f>SUMIF([3]租约表对应的会计账!$S$5:$S$164,B99,[3]租约表对应的会计账!$T$5:$T$164)</f>
        <v>69116</v>
      </c>
      <c r="AO99" s="3929">
        <f>SUMIF([3]租约表对应的会计账!$X$5:$X$164,B99,[3]租约表对应的会计账!$Y$5:$Y$164)</f>
        <v>834</v>
      </c>
      <c r="AP99" s="3929">
        <f>SUMIF([3]租约表对应的会计账!$AC$5:$AC$164,[3]租约表!B99,[3]租约表对应的会计账!$AD$5:$AD$164)</f>
        <v>50</v>
      </c>
      <c r="AQ99" s="3929">
        <f>SUMIF([3]租约表对应的会计账!$AH$5:$AH$164,[3]租约表!B99,[3]租约表对应的会计账!$AI$5:$AI$164)</f>
        <v>0</v>
      </c>
      <c r="AR99" s="3929">
        <f t="shared" si="25"/>
        <v>280000</v>
      </c>
      <c r="AS99" s="3929">
        <f t="shared" si="27"/>
        <v>342639.60000000009</v>
      </c>
      <c r="AT99" s="3929">
        <f t="shared" si="27"/>
        <v>0</v>
      </c>
      <c r="AU99" s="3929">
        <f t="shared" si="27"/>
        <v>228459.40000000002</v>
      </c>
      <c r="AV99" s="3929">
        <f t="shared" si="27"/>
        <v>1666</v>
      </c>
      <c r="AW99" s="3929">
        <f t="shared" si="27"/>
        <v>100</v>
      </c>
      <c r="AX99" s="3929">
        <f t="shared" si="27"/>
        <v>0</v>
      </c>
      <c r="AY99" s="3929">
        <f t="shared" si="18"/>
        <v>572865.00000000012</v>
      </c>
      <c r="AZ99" s="3915" t="s">
        <v>3975</v>
      </c>
    </row>
    <row r="100" spans="1:52" s="3931" customFormat="1" ht="60" customHeight="1">
      <c r="A100" s="3910" t="s">
        <v>4071</v>
      </c>
      <c r="B100" s="3911">
        <v>6009</v>
      </c>
      <c r="C100" s="3912" t="s">
        <v>3691</v>
      </c>
      <c r="D100" s="3912" t="s">
        <v>3692</v>
      </c>
      <c r="E100" s="3913">
        <v>44652</v>
      </c>
      <c r="F100" s="3913">
        <v>45382</v>
      </c>
      <c r="G100" s="3914">
        <f t="shared" si="19"/>
        <v>2</v>
      </c>
      <c r="H100" s="3915" t="s">
        <v>4076</v>
      </c>
      <c r="I100" s="3916">
        <v>340.8</v>
      </c>
      <c r="J100" s="3917">
        <v>4.7</v>
      </c>
      <c r="K100" s="3918">
        <v>1</v>
      </c>
      <c r="L100" s="3918">
        <v>2.8</v>
      </c>
      <c r="M100" s="3919">
        <f t="shared" ref="M100:M125" si="28">SUM(J100:L100)</f>
        <v>8.5</v>
      </c>
      <c r="N100" s="3920">
        <v>90</v>
      </c>
      <c r="O100" s="3921">
        <f t="shared" ref="O100:Q125" si="29">$I100*J100*$N100</f>
        <v>144158.40000000002</v>
      </c>
      <c r="P100" s="3921">
        <f t="shared" si="29"/>
        <v>30672</v>
      </c>
      <c r="Q100" s="3921">
        <f t="shared" si="29"/>
        <v>85881.600000000006</v>
      </c>
      <c r="R100" s="3922">
        <v>2500</v>
      </c>
      <c r="S100" s="3923">
        <v>300</v>
      </c>
      <c r="T100" s="3923">
        <v>0</v>
      </c>
      <c r="U100" s="3923">
        <v>0</v>
      </c>
      <c r="V100" s="3924">
        <f t="shared" si="21"/>
        <v>263512</v>
      </c>
      <c r="W100" s="3925">
        <v>20823</v>
      </c>
      <c r="X100" s="3925">
        <v>4430</v>
      </c>
      <c r="Y100" s="3925">
        <v>12405</v>
      </c>
      <c r="Z100" s="3925"/>
      <c r="AA100" s="3925"/>
      <c r="AB100" s="3926"/>
      <c r="AC100" s="3927">
        <f t="shared" si="22"/>
        <v>37658</v>
      </c>
      <c r="AD100" s="3926">
        <f t="shared" si="26"/>
        <v>123335.40000000002</v>
      </c>
      <c r="AE100" s="3926">
        <f t="shared" si="26"/>
        <v>26242</v>
      </c>
      <c r="AF100" s="3926">
        <f t="shared" si="26"/>
        <v>73476.600000000006</v>
      </c>
      <c r="AG100" s="3926">
        <f t="shared" si="26"/>
        <v>2500</v>
      </c>
      <c r="AH100" s="3926">
        <f t="shared" si="26"/>
        <v>300</v>
      </c>
      <c r="AI100" s="3926">
        <f t="shared" si="26"/>
        <v>0</v>
      </c>
      <c r="AJ100" s="3926">
        <f t="shared" si="23"/>
        <v>0</v>
      </c>
      <c r="AK100" s="3928">
        <f t="shared" si="24"/>
        <v>225854.00000000003</v>
      </c>
      <c r="AL100" s="3929">
        <f>SUMIF([3]租约表对应的会计账!$C$5:$C$164,B100,[3]租约表对应的会计账!$D$5:$D$164)</f>
        <v>123335</v>
      </c>
      <c r="AM100" s="3930">
        <f>SUMIF([3]租约表对应的会计账!$H$5:$H$164,B100,[3]租约表对应的会计账!$I$5:$I$164)</f>
        <v>26242</v>
      </c>
      <c r="AN100" s="3929">
        <f>SUMIF([3]租约表对应的会计账!$S$5:$S$164,B100,[3]租约表对应的会计账!$T$5:$T$164)</f>
        <v>73477</v>
      </c>
      <c r="AO100" s="3929">
        <f>SUMIF([3]租约表对应的会计账!$X$5:$X$164,B100,[3]租约表对应的会计账!$Y$5:$Y$164)</f>
        <v>2500</v>
      </c>
      <c r="AP100" s="3929">
        <f>SUMIF([3]租约表对应的会计账!$AC$5:$AC$164,[3]租约表!B100,[3]租约表对应的会计账!$AD$5:$AD$164)</f>
        <v>300</v>
      </c>
      <c r="AQ100" s="3929">
        <f>SUMIF([3]租约表对应的会计账!$AH$5:$AH$164,[3]租约表!B100,[3]租约表对应的会计账!$AI$5:$AI$164)</f>
        <v>0</v>
      </c>
      <c r="AR100" s="3929">
        <f t="shared" si="25"/>
        <v>225854</v>
      </c>
      <c r="AS100" s="3929">
        <f t="shared" si="27"/>
        <v>0.40000000002328306</v>
      </c>
      <c r="AT100" s="3929">
        <f t="shared" si="27"/>
        <v>0</v>
      </c>
      <c r="AU100" s="3929">
        <f t="shared" si="27"/>
        <v>-0.39999999999417923</v>
      </c>
      <c r="AV100" s="3929">
        <f t="shared" si="27"/>
        <v>0</v>
      </c>
      <c r="AW100" s="3929">
        <f t="shared" si="27"/>
        <v>0</v>
      </c>
      <c r="AX100" s="3929">
        <f t="shared" si="27"/>
        <v>0</v>
      </c>
      <c r="AY100" s="3929">
        <f t="shared" si="18"/>
        <v>2.9103830456733704E-11</v>
      </c>
      <c r="AZ100" s="3915" t="s">
        <v>3967</v>
      </c>
    </row>
    <row r="101" spans="1:52" s="3931" customFormat="1" ht="60" customHeight="1">
      <c r="A101" s="3910" t="s">
        <v>3693</v>
      </c>
      <c r="B101" s="3934" t="s">
        <v>3694</v>
      </c>
      <c r="C101" s="3912" t="s">
        <v>3695</v>
      </c>
      <c r="D101" s="3912"/>
      <c r="E101" s="3910">
        <v>43322</v>
      </c>
      <c r="F101" s="3910">
        <v>45747</v>
      </c>
      <c r="G101" s="3914">
        <f t="shared" si="19"/>
        <v>6.6438356164383565</v>
      </c>
      <c r="H101" s="3915"/>
      <c r="I101" s="3916">
        <v>700</v>
      </c>
      <c r="J101" s="3941">
        <v>6.57</v>
      </c>
      <c r="K101" s="3942">
        <v>2</v>
      </c>
      <c r="L101" s="3942">
        <v>2.8</v>
      </c>
      <c r="M101" s="3919">
        <f t="shared" si="28"/>
        <v>11.370000000000001</v>
      </c>
      <c r="N101" s="3920">
        <v>90</v>
      </c>
      <c r="O101" s="3921">
        <f t="shared" si="29"/>
        <v>413910</v>
      </c>
      <c r="P101" s="3921">
        <f t="shared" si="29"/>
        <v>126000</v>
      </c>
      <c r="Q101" s="3921">
        <f t="shared" si="29"/>
        <v>176399.99999999997</v>
      </c>
      <c r="R101" s="3922">
        <v>0</v>
      </c>
      <c r="S101" s="3923">
        <v>0</v>
      </c>
      <c r="T101" s="3923">
        <v>0</v>
      </c>
      <c r="U101" s="3923">
        <v>0</v>
      </c>
      <c r="V101" s="3924">
        <f t="shared" si="21"/>
        <v>716310</v>
      </c>
      <c r="W101" s="3925">
        <v>0</v>
      </c>
      <c r="X101" s="3925">
        <v>0</v>
      </c>
      <c r="Y101" s="3925">
        <v>0</v>
      </c>
      <c r="Z101" s="3925"/>
      <c r="AA101" s="3925"/>
      <c r="AB101" s="3926"/>
      <c r="AC101" s="3927">
        <f t="shared" si="22"/>
        <v>0</v>
      </c>
      <c r="AD101" s="3926">
        <f t="shared" si="26"/>
        <v>413910</v>
      </c>
      <c r="AE101" s="3926">
        <f t="shared" si="26"/>
        <v>126000</v>
      </c>
      <c r="AF101" s="3926">
        <f t="shared" si="26"/>
        <v>176399.99999999997</v>
      </c>
      <c r="AG101" s="3926">
        <f t="shared" si="26"/>
        <v>0</v>
      </c>
      <c r="AH101" s="3926">
        <f t="shared" si="26"/>
        <v>0</v>
      </c>
      <c r="AI101" s="3926">
        <f t="shared" si="26"/>
        <v>0</v>
      </c>
      <c r="AJ101" s="3926">
        <f t="shared" si="23"/>
        <v>0</v>
      </c>
      <c r="AK101" s="3928">
        <f t="shared" si="24"/>
        <v>716310</v>
      </c>
      <c r="AL101" s="3929">
        <f>SUMIF([3]租约表对应的会计账!$C$5:$C$164,B101,[3]租约表对应的会计账!$D$5:$D$164)</f>
        <v>0</v>
      </c>
      <c r="AM101" s="3930">
        <f>SUMIF([3]租约表对应的会计账!$H$5:$H$164,B101,[3]租约表对应的会计账!$I$5:$I$164)</f>
        <v>0</v>
      </c>
      <c r="AN101" s="3929">
        <f>SUMIF([3]租约表对应的会计账!$S$5:$S$164,B101,[3]租约表对应的会计账!$T$5:$T$164)</f>
        <v>0</v>
      </c>
      <c r="AO101" s="3929">
        <f>SUMIF([3]租约表对应的会计账!$X$5:$X$164,B101,[3]租约表对应的会计账!$Y$5:$Y$164)</f>
        <v>0</v>
      </c>
      <c r="AP101" s="3929">
        <f>SUMIF([3]租约表对应的会计账!$AC$5:$AC$164,[3]租约表!B101,[3]租约表对应的会计账!$AD$5:$AD$164)</f>
        <v>0</v>
      </c>
      <c r="AQ101" s="3929">
        <f>SUMIF([3]租约表对应的会计账!$AH$5:$AH$164,[3]租约表!B101,[3]租约表对应的会计账!$AI$5:$AI$164)</f>
        <v>0</v>
      </c>
      <c r="AR101" s="3929">
        <f t="shared" si="25"/>
        <v>0</v>
      </c>
      <c r="AS101" s="3929">
        <f t="shared" si="27"/>
        <v>413910</v>
      </c>
      <c r="AT101" s="3929">
        <f t="shared" si="27"/>
        <v>126000</v>
      </c>
      <c r="AU101" s="3929">
        <f t="shared" si="27"/>
        <v>176399.99999999997</v>
      </c>
      <c r="AV101" s="3929">
        <f t="shared" si="27"/>
        <v>0</v>
      </c>
      <c r="AW101" s="3929">
        <f t="shared" si="27"/>
        <v>0</v>
      </c>
      <c r="AX101" s="3929">
        <f t="shared" si="27"/>
        <v>0</v>
      </c>
      <c r="AY101" s="3929">
        <f t="shared" si="18"/>
        <v>716310</v>
      </c>
      <c r="AZ101" s="3915" t="s">
        <v>3975</v>
      </c>
    </row>
    <row r="102" spans="1:52" s="3931" customFormat="1" ht="60" customHeight="1">
      <c r="A102" s="3910" t="s">
        <v>3693</v>
      </c>
      <c r="B102" s="3911" t="s">
        <v>3696</v>
      </c>
      <c r="C102" s="3912" t="s">
        <v>3697</v>
      </c>
      <c r="D102" s="3912" t="s">
        <v>3698</v>
      </c>
      <c r="E102" s="3913">
        <v>43497</v>
      </c>
      <c r="F102" s="3933">
        <v>45747</v>
      </c>
      <c r="G102" s="3914">
        <f t="shared" si="19"/>
        <v>6.1643835616438354</v>
      </c>
      <c r="H102" s="3915" t="s">
        <v>4077</v>
      </c>
      <c r="I102" s="3916">
        <v>360</v>
      </c>
      <c r="J102" s="3917">
        <v>3.2</v>
      </c>
      <c r="K102" s="3918">
        <v>2</v>
      </c>
      <c r="L102" s="3918">
        <v>2.8</v>
      </c>
      <c r="M102" s="3919">
        <f t="shared" si="28"/>
        <v>8</v>
      </c>
      <c r="N102" s="3920">
        <v>90</v>
      </c>
      <c r="O102" s="3921">
        <f t="shared" si="29"/>
        <v>103680</v>
      </c>
      <c r="P102" s="3921">
        <f t="shared" si="29"/>
        <v>64800</v>
      </c>
      <c r="Q102" s="3921">
        <f t="shared" si="29"/>
        <v>90719.999999999985</v>
      </c>
      <c r="R102" s="3922">
        <v>0</v>
      </c>
      <c r="S102" s="3923">
        <v>150</v>
      </c>
      <c r="T102" s="3923">
        <v>0</v>
      </c>
      <c r="U102" s="3923">
        <v>0</v>
      </c>
      <c r="V102" s="3924">
        <f t="shared" si="21"/>
        <v>259350</v>
      </c>
      <c r="W102" s="3925">
        <v>6912</v>
      </c>
      <c r="X102" s="3925">
        <v>4320</v>
      </c>
      <c r="Y102" s="3925">
        <v>6048</v>
      </c>
      <c r="Z102" s="3925"/>
      <c r="AA102" s="3925"/>
      <c r="AB102" s="3926"/>
      <c r="AC102" s="3927">
        <f t="shared" si="22"/>
        <v>17280</v>
      </c>
      <c r="AD102" s="3926">
        <f t="shared" si="26"/>
        <v>96768</v>
      </c>
      <c r="AE102" s="3926">
        <f t="shared" si="26"/>
        <v>60480</v>
      </c>
      <c r="AF102" s="3926">
        <f t="shared" si="26"/>
        <v>84671.999999999985</v>
      </c>
      <c r="AG102" s="3926">
        <f t="shared" si="26"/>
        <v>0</v>
      </c>
      <c r="AH102" s="3926">
        <f t="shared" si="26"/>
        <v>150</v>
      </c>
      <c r="AI102" s="3926">
        <f t="shared" si="26"/>
        <v>0</v>
      </c>
      <c r="AJ102" s="3926">
        <f t="shared" si="23"/>
        <v>0</v>
      </c>
      <c r="AK102" s="3928">
        <f t="shared" si="24"/>
        <v>242070</v>
      </c>
      <c r="AL102" s="3929">
        <f>SUMIF([3]租约表对应的会计账!$C$5:$C$164,B102,[3]租约表对应的会计账!$D$5:$D$164)</f>
        <v>190080</v>
      </c>
      <c r="AM102" s="3930">
        <f>SUMIF([3]租约表对应的会计账!$H$5:$H$164,B102,[3]租约表对应的会计账!$I$5:$I$164)</f>
        <v>107568</v>
      </c>
      <c r="AN102" s="3929">
        <f>SUMIF([3]租约表对应的会计账!$S$5:$S$164,B102,[3]租约表对应的会计账!$T$5:$T$164)</f>
        <v>84672</v>
      </c>
      <c r="AO102" s="3929">
        <f>SUMIF([3]租约表对应的会计账!$X$5:$X$164,B102,[3]租约表对应的会计账!$Y$5:$Y$164)</f>
        <v>0</v>
      </c>
      <c r="AP102" s="3929">
        <f>SUMIF([3]租约表对应的会计账!$AC$5:$AC$164,[3]租约表!B102,[3]租约表对应的会计账!$AD$5:$AD$164)</f>
        <v>150</v>
      </c>
      <c r="AQ102" s="3929">
        <f>SUMIF([3]租约表对应的会计账!$AH$5:$AH$164,[3]租约表!B102,[3]租约表对应的会计账!$AI$5:$AI$164)</f>
        <v>0</v>
      </c>
      <c r="AR102" s="3929">
        <f t="shared" si="25"/>
        <v>382470</v>
      </c>
      <c r="AS102" s="3929">
        <f t="shared" si="27"/>
        <v>-93312</v>
      </c>
      <c r="AT102" s="3929">
        <f t="shared" si="27"/>
        <v>-47088</v>
      </c>
      <c r="AU102" s="3929">
        <f t="shared" si="27"/>
        <v>0</v>
      </c>
      <c r="AV102" s="3929">
        <f t="shared" si="27"/>
        <v>0</v>
      </c>
      <c r="AW102" s="3929">
        <f t="shared" si="27"/>
        <v>0</v>
      </c>
      <c r="AX102" s="3929">
        <f t="shared" si="27"/>
        <v>0</v>
      </c>
      <c r="AY102" s="3929">
        <f t="shared" si="18"/>
        <v>-140400</v>
      </c>
      <c r="AZ102" s="3915" t="s">
        <v>4042</v>
      </c>
    </row>
    <row r="103" spans="1:52" s="3931" customFormat="1" ht="60" customHeight="1">
      <c r="A103" s="3910" t="s">
        <v>3693</v>
      </c>
      <c r="B103" s="3911" t="s">
        <v>3699</v>
      </c>
      <c r="C103" s="3912" t="s">
        <v>3700</v>
      </c>
      <c r="D103" s="3912" t="s">
        <v>3701</v>
      </c>
      <c r="E103" s="3913">
        <v>44652</v>
      </c>
      <c r="F103" s="3913">
        <v>45382</v>
      </c>
      <c r="G103" s="3914">
        <f t="shared" si="19"/>
        <v>2</v>
      </c>
      <c r="H103" s="3915" t="s">
        <v>4078</v>
      </c>
      <c r="I103" s="3916">
        <v>105.4</v>
      </c>
      <c r="J103" s="3917">
        <v>4.26</v>
      </c>
      <c r="K103" s="3918">
        <v>2</v>
      </c>
      <c r="L103" s="3918">
        <v>2.8</v>
      </c>
      <c r="M103" s="3919">
        <f t="shared" si="28"/>
        <v>9.0599999999999987</v>
      </c>
      <c r="N103" s="3920">
        <v>90</v>
      </c>
      <c r="O103" s="3921">
        <f t="shared" si="29"/>
        <v>40410.36</v>
      </c>
      <c r="P103" s="3921">
        <f t="shared" si="29"/>
        <v>18972</v>
      </c>
      <c r="Q103" s="3921">
        <f t="shared" si="29"/>
        <v>26560.799999999999</v>
      </c>
      <c r="R103" s="3922">
        <v>2500</v>
      </c>
      <c r="S103" s="3923">
        <v>1950</v>
      </c>
      <c r="T103" s="3923">
        <v>0</v>
      </c>
      <c r="U103" s="3923">
        <v>0</v>
      </c>
      <c r="V103" s="3924">
        <f t="shared" si="21"/>
        <v>90393.16</v>
      </c>
      <c r="W103" s="3925">
        <v>50941</v>
      </c>
      <c r="X103" s="3925">
        <v>25085</v>
      </c>
      <c r="Y103" s="3925">
        <v>35119</v>
      </c>
      <c r="Z103" s="3925"/>
      <c r="AA103" s="3925"/>
      <c r="AB103" s="3926"/>
      <c r="AC103" s="3927">
        <f t="shared" si="22"/>
        <v>111145</v>
      </c>
      <c r="AD103" s="3926">
        <f t="shared" si="26"/>
        <v>-10530.64</v>
      </c>
      <c r="AE103" s="3926">
        <f t="shared" si="26"/>
        <v>-6113</v>
      </c>
      <c r="AF103" s="3926">
        <f t="shared" si="26"/>
        <v>-8558.2000000000007</v>
      </c>
      <c r="AG103" s="3926">
        <f t="shared" si="26"/>
        <v>2500</v>
      </c>
      <c r="AH103" s="3926">
        <f t="shared" si="26"/>
        <v>1950</v>
      </c>
      <c r="AI103" s="3926">
        <f t="shared" si="26"/>
        <v>0</v>
      </c>
      <c r="AJ103" s="3926">
        <f t="shared" si="23"/>
        <v>0</v>
      </c>
      <c r="AK103" s="3928">
        <f t="shared" si="24"/>
        <v>-20751.84</v>
      </c>
      <c r="AL103" s="3929">
        <f>SUMIF([3]租约表对应的会计账!$C$5:$C$164,B103,[3]租约表对应的会计账!$D$5:$D$164)</f>
        <v>0</v>
      </c>
      <c r="AM103" s="3930">
        <f>SUMIF([3]租约表对应的会计账!$H$5:$H$164,B103,[3]租约表对应的会计账!$I$5:$I$164)</f>
        <v>0</v>
      </c>
      <c r="AN103" s="3929">
        <f>SUMIF([3]租约表对应的会计账!$S$5:$S$164,B103,[3]租约表对应的会计账!$T$5:$T$164)</f>
        <v>0</v>
      </c>
      <c r="AO103" s="3929">
        <f>SUMIF([3]租约表对应的会计账!$X$5:$X$164,B103,[3]租约表对应的会计账!$Y$5:$Y$164)</f>
        <v>0</v>
      </c>
      <c r="AP103" s="3929">
        <f>SUMIF([3]租约表对应的会计账!$AC$5:$AC$164,[3]租约表!B103,[3]租约表对应的会计账!$AD$5:$AD$164)</f>
        <v>0</v>
      </c>
      <c r="AQ103" s="3929">
        <f>SUMIF([3]租约表对应的会计账!$AH$5:$AH$164,[3]租约表!B103,[3]租约表对应的会计账!$AI$5:$AI$164)</f>
        <v>0</v>
      </c>
      <c r="AR103" s="3929">
        <f t="shared" si="25"/>
        <v>0</v>
      </c>
      <c r="AS103" s="3929">
        <f t="shared" si="27"/>
        <v>-10530.64</v>
      </c>
      <c r="AT103" s="3929">
        <f t="shared" si="27"/>
        <v>-6113</v>
      </c>
      <c r="AU103" s="3929">
        <f t="shared" si="27"/>
        <v>-8558.2000000000007</v>
      </c>
      <c r="AV103" s="3929">
        <f t="shared" si="27"/>
        <v>2500</v>
      </c>
      <c r="AW103" s="3929">
        <f t="shared" si="27"/>
        <v>1950</v>
      </c>
      <c r="AX103" s="3929">
        <f t="shared" si="27"/>
        <v>0</v>
      </c>
      <c r="AY103" s="3929">
        <f t="shared" si="18"/>
        <v>-20751.84</v>
      </c>
      <c r="AZ103" s="3915" t="s">
        <v>4079</v>
      </c>
    </row>
    <row r="104" spans="1:52" s="3931" customFormat="1" ht="60" customHeight="1">
      <c r="A104" s="3910" t="s">
        <v>3693</v>
      </c>
      <c r="B104" s="3911" t="s">
        <v>3702</v>
      </c>
      <c r="C104" s="3912" t="s">
        <v>3703</v>
      </c>
      <c r="D104" s="3912" t="s">
        <v>3704</v>
      </c>
      <c r="E104" s="3913">
        <v>43393</v>
      </c>
      <c r="F104" s="3913">
        <v>45199</v>
      </c>
      <c r="G104" s="3914">
        <f t="shared" si="19"/>
        <v>4.9479452054794519</v>
      </c>
      <c r="H104" s="3915" t="s">
        <v>4080</v>
      </c>
      <c r="I104" s="3916">
        <v>54</v>
      </c>
      <c r="J104" s="3917">
        <v>7.3</v>
      </c>
      <c r="K104" s="3918">
        <v>2</v>
      </c>
      <c r="L104" s="3918">
        <v>2.8</v>
      </c>
      <c r="M104" s="3919">
        <f t="shared" si="28"/>
        <v>12.100000000000001</v>
      </c>
      <c r="N104" s="3920">
        <v>90</v>
      </c>
      <c r="O104" s="3921">
        <f t="shared" si="29"/>
        <v>35478</v>
      </c>
      <c r="P104" s="3921">
        <f t="shared" si="29"/>
        <v>9720</v>
      </c>
      <c r="Q104" s="3921">
        <f t="shared" si="29"/>
        <v>13607.999999999998</v>
      </c>
      <c r="R104" s="3922">
        <v>2500</v>
      </c>
      <c r="S104" s="3923">
        <v>1950</v>
      </c>
      <c r="T104" s="3923">
        <v>0</v>
      </c>
      <c r="U104" s="3923">
        <v>0</v>
      </c>
      <c r="V104" s="3924">
        <f t="shared" si="21"/>
        <v>63256</v>
      </c>
      <c r="W104" s="3925">
        <v>2365</v>
      </c>
      <c r="X104" s="3925">
        <v>648</v>
      </c>
      <c r="Y104" s="3925">
        <v>907</v>
      </c>
      <c r="Z104" s="3925"/>
      <c r="AA104" s="3925"/>
      <c r="AB104" s="3926"/>
      <c r="AC104" s="3927">
        <f t="shared" si="22"/>
        <v>3920</v>
      </c>
      <c r="AD104" s="3926">
        <f t="shared" si="26"/>
        <v>33113</v>
      </c>
      <c r="AE104" s="3926">
        <f t="shared" si="26"/>
        <v>9072</v>
      </c>
      <c r="AF104" s="3926">
        <f t="shared" si="26"/>
        <v>12700.999999999998</v>
      </c>
      <c r="AG104" s="3926">
        <f t="shared" si="26"/>
        <v>2500</v>
      </c>
      <c r="AH104" s="3926">
        <f t="shared" si="26"/>
        <v>1950</v>
      </c>
      <c r="AI104" s="3926">
        <f t="shared" si="26"/>
        <v>0</v>
      </c>
      <c r="AJ104" s="3926">
        <f t="shared" si="23"/>
        <v>0</v>
      </c>
      <c r="AK104" s="3928">
        <f t="shared" si="24"/>
        <v>59336</v>
      </c>
      <c r="AL104" s="3929">
        <f>SUMIF([3]租约表对应的会计账!$C$5:$C$164,B104,[3]租约表对应的会计账!$D$5:$D$164)</f>
        <v>33113</v>
      </c>
      <c r="AM104" s="3930">
        <f>SUMIF([3]租约表对应的会计账!$H$5:$H$164,B104,[3]租约表对应的会计账!$I$5:$I$164)</f>
        <v>9072</v>
      </c>
      <c r="AN104" s="3929">
        <f>SUMIF([3]租约表对应的会计账!$S$5:$S$164,B104,[3]租约表对应的会计账!$T$5:$T$164)</f>
        <v>12701</v>
      </c>
      <c r="AO104" s="3929">
        <f>SUMIF([3]租约表对应的会计账!$X$5:$X$164,B104,[3]租约表对应的会计账!$Y$5:$Y$164)</f>
        <v>2500</v>
      </c>
      <c r="AP104" s="3929">
        <f>SUMIF([3]租约表对应的会计账!$AC$5:$AC$164,[3]租约表!B104,[3]租约表对应的会计账!$AD$5:$AD$164)</f>
        <v>1950</v>
      </c>
      <c r="AQ104" s="3929">
        <f>SUMIF([3]租约表对应的会计账!$AH$5:$AH$164,[3]租约表!B104,[3]租约表对应的会计账!$AI$5:$AI$164)</f>
        <v>0</v>
      </c>
      <c r="AR104" s="3929">
        <f t="shared" si="25"/>
        <v>59336</v>
      </c>
      <c r="AS104" s="3929">
        <f t="shared" si="27"/>
        <v>0</v>
      </c>
      <c r="AT104" s="3929">
        <f t="shared" si="27"/>
        <v>0</v>
      </c>
      <c r="AU104" s="3929">
        <f t="shared" si="27"/>
        <v>0</v>
      </c>
      <c r="AV104" s="3929">
        <f t="shared" si="27"/>
        <v>0</v>
      </c>
      <c r="AW104" s="3929">
        <f t="shared" si="27"/>
        <v>0</v>
      </c>
      <c r="AX104" s="3929">
        <f t="shared" si="27"/>
        <v>0</v>
      </c>
      <c r="AY104" s="3929">
        <f t="shared" si="18"/>
        <v>0</v>
      </c>
      <c r="AZ104" s="3915" t="s">
        <v>3967</v>
      </c>
    </row>
    <row r="105" spans="1:52" s="3931" customFormat="1" ht="60" customHeight="1">
      <c r="A105" s="3910" t="s">
        <v>3693</v>
      </c>
      <c r="B105" s="3911" t="s">
        <v>3705</v>
      </c>
      <c r="C105" s="3912" t="s">
        <v>3706</v>
      </c>
      <c r="D105" s="3912" t="s">
        <v>3707</v>
      </c>
      <c r="E105" s="3913">
        <v>44835</v>
      </c>
      <c r="F105" s="3913">
        <v>45565</v>
      </c>
      <c r="G105" s="3914">
        <f t="shared" si="19"/>
        <v>2</v>
      </c>
      <c r="H105" s="3915" t="s">
        <v>4081</v>
      </c>
      <c r="I105" s="3916">
        <v>225.28</v>
      </c>
      <c r="J105" s="3917">
        <v>4.2</v>
      </c>
      <c r="K105" s="3918">
        <v>2</v>
      </c>
      <c r="L105" s="3918">
        <v>2.8</v>
      </c>
      <c r="M105" s="3919">
        <f t="shared" si="28"/>
        <v>9</v>
      </c>
      <c r="N105" s="3920">
        <v>90</v>
      </c>
      <c r="O105" s="3921">
        <f t="shared" si="29"/>
        <v>85155.840000000011</v>
      </c>
      <c r="P105" s="3921">
        <f t="shared" si="29"/>
        <v>40550.400000000001</v>
      </c>
      <c r="Q105" s="3921">
        <f t="shared" si="29"/>
        <v>56770.559999999998</v>
      </c>
      <c r="R105" s="3922">
        <v>1250</v>
      </c>
      <c r="S105" s="3923">
        <v>150</v>
      </c>
      <c r="T105" s="3923">
        <v>0</v>
      </c>
      <c r="U105" s="3923">
        <v>0</v>
      </c>
      <c r="V105" s="3924">
        <f t="shared" si="21"/>
        <v>183876.80000000002</v>
      </c>
      <c r="W105" s="3925">
        <v>5677</v>
      </c>
      <c r="X105" s="3925">
        <v>2703</v>
      </c>
      <c r="Y105" s="3925">
        <v>3785</v>
      </c>
      <c r="Z105" s="3925"/>
      <c r="AA105" s="3925"/>
      <c r="AB105" s="3926"/>
      <c r="AC105" s="3927">
        <f t="shared" si="22"/>
        <v>12165</v>
      </c>
      <c r="AD105" s="3926">
        <f t="shared" si="26"/>
        <v>79478.840000000011</v>
      </c>
      <c r="AE105" s="3926">
        <f t="shared" si="26"/>
        <v>37847.4</v>
      </c>
      <c r="AF105" s="3926">
        <f t="shared" si="26"/>
        <v>52985.56</v>
      </c>
      <c r="AG105" s="3926">
        <f t="shared" si="26"/>
        <v>1250</v>
      </c>
      <c r="AH105" s="3926">
        <f t="shared" si="26"/>
        <v>150</v>
      </c>
      <c r="AI105" s="3926">
        <f t="shared" si="26"/>
        <v>0</v>
      </c>
      <c r="AJ105" s="3926">
        <f t="shared" si="23"/>
        <v>0</v>
      </c>
      <c r="AK105" s="3928">
        <f t="shared" si="24"/>
        <v>171711.80000000002</v>
      </c>
      <c r="AL105" s="3929">
        <f>SUMIF([3]租约表对应的会计账!$C$5:$C$164,B105,[3]租约表对应的会计账!$D$5:$D$164)</f>
        <v>85156</v>
      </c>
      <c r="AM105" s="3930">
        <f>SUMIF([3]租约表对应的会计账!$H$5:$H$164,B105,[3]租约表对应的会计账!$I$5:$I$164)</f>
        <v>40550</v>
      </c>
      <c r="AN105" s="3929">
        <f>SUMIF([3]租约表对应的会计账!$S$5:$S$164,B105,[3]租约表对应的会计账!$T$5:$T$164)</f>
        <v>56771</v>
      </c>
      <c r="AO105" s="3929">
        <f>SUMIF([3]租约表对应的会计账!$X$5:$X$164,B105,[3]租约表对应的会计账!$Y$5:$Y$164)</f>
        <v>1250</v>
      </c>
      <c r="AP105" s="3929">
        <f>SUMIF([3]租约表对应的会计账!$AC$5:$AC$164,[3]租约表!B105,[3]租约表对应的会计账!$AD$5:$AD$164)</f>
        <v>150</v>
      </c>
      <c r="AQ105" s="3929">
        <f>SUMIF([3]租约表对应的会计账!$AH$5:$AH$164,[3]租约表!B105,[3]租约表对应的会计账!$AI$5:$AI$164)</f>
        <v>0</v>
      </c>
      <c r="AR105" s="3929">
        <f t="shared" si="25"/>
        <v>183877</v>
      </c>
      <c r="AS105" s="3929">
        <f t="shared" si="27"/>
        <v>-5677.1599999999889</v>
      </c>
      <c r="AT105" s="3929">
        <f t="shared" si="27"/>
        <v>-2702.5999999999985</v>
      </c>
      <c r="AU105" s="3929">
        <f t="shared" si="27"/>
        <v>-3785.4400000000023</v>
      </c>
      <c r="AV105" s="3929">
        <f t="shared" si="27"/>
        <v>0</v>
      </c>
      <c r="AW105" s="3929">
        <f t="shared" si="27"/>
        <v>0</v>
      </c>
      <c r="AX105" s="3929">
        <f t="shared" si="27"/>
        <v>0</v>
      </c>
      <c r="AY105" s="3929">
        <f t="shared" si="18"/>
        <v>-12165.19999999999</v>
      </c>
      <c r="AZ105" s="3915" t="s">
        <v>4021</v>
      </c>
    </row>
    <row r="106" spans="1:52" s="3931" customFormat="1" ht="60" customHeight="1">
      <c r="A106" s="3910" t="s">
        <v>3693</v>
      </c>
      <c r="B106" s="3911" t="s">
        <v>3708</v>
      </c>
      <c r="C106" s="3912" t="s">
        <v>3709</v>
      </c>
      <c r="D106" s="3912" t="s">
        <v>3710</v>
      </c>
      <c r="E106" s="3913">
        <v>44835</v>
      </c>
      <c r="F106" s="3913">
        <v>45565</v>
      </c>
      <c r="G106" s="3914">
        <f t="shared" si="19"/>
        <v>2</v>
      </c>
      <c r="H106" s="3915" t="s">
        <v>4082</v>
      </c>
      <c r="I106" s="3916">
        <v>146.9</v>
      </c>
      <c r="J106" s="3917">
        <v>3.82</v>
      </c>
      <c r="K106" s="3918">
        <v>2</v>
      </c>
      <c r="L106" s="3918">
        <v>2.8</v>
      </c>
      <c r="M106" s="3919">
        <f t="shared" si="28"/>
        <v>8.620000000000001</v>
      </c>
      <c r="N106" s="3920">
        <v>90</v>
      </c>
      <c r="O106" s="3921">
        <f t="shared" si="29"/>
        <v>50504.22</v>
      </c>
      <c r="P106" s="3921">
        <f t="shared" si="29"/>
        <v>26442</v>
      </c>
      <c r="Q106" s="3921">
        <f t="shared" si="29"/>
        <v>37018.800000000003</v>
      </c>
      <c r="R106" s="3922">
        <v>2500</v>
      </c>
      <c r="S106" s="3923">
        <v>150</v>
      </c>
      <c r="T106" s="3923">
        <v>0</v>
      </c>
      <c r="U106" s="3923">
        <v>0</v>
      </c>
      <c r="V106" s="3924">
        <f t="shared" si="21"/>
        <v>116615.02</v>
      </c>
      <c r="W106" s="3925">
        <v>3376</v>
      </c>
      <c r="X106" s="3925">
        <v>1763</v>
      </c>
      <c r="Y106" s="3925">
        <v>2468</v>
      </c>
      <c r="Z106" s="3925"/>
      <c r="AA106" s="3925"/>
      <c r="AB106" s="3926"/>
      <c r="AC106" s="3927">
        <f t="shared" si="22"/>
        <v>7607</v>
      </c>
      <c r="AD106" s="3926">
        <f t="shared" si="26"/>
        <v>47128.22</v>
      </c>
      <c r="AE106" s="3926">
        <f t="shared" si="26"/>
        <v>24679</v>
      </c>
      <c r="AF106" s="3926">
        <f t="shared" si="26"/>
        <v>34550.800000000003</v>
      </c>
      <c r="AG106" s="3926">
        <f t="shared" si="26"/>
        <v>2500</v>
      </c>
      <c r="AH106" s="3926">
        <f t="shared" si="26"/>
        <v>150</v>
      </c>
      <c r="AI106" s="3926">
        <f t="shared" si="26"/>
        <v>0</v>
      </c>
      <c r="AJ106" s="3926">
        <f t="shared" si="23"/>
        <v>0</v>
      </c>
      <c r="AK106" s="3928">
        <f t="shared" si="24"/>
        <v>109008.02</v>
      </c>
      <c r="AL106" s="3929">
        <f>SUMIF([3]租约表对应的会计账!$C$5:$C$164,B106,[3]租约表对应的会计账!$D$5:$D$164)</f>
        <v>47253</v>
      </c>
      <c r="AM106" s="3930">
        <f>SUMIF([3]租约表对应的会计账!$H$5:$H$164,B106,[3]租约表对应的会计账!$I$5:$I$164)</f>
        <v>25267</v>
      </c>
      <c r="AN106" s="3929">
        <f>SUMIF([3]租约表对应的会计账!$S$5:$S$164,B106,[3]租约表对应的会计账!$T$5:$T$164)</f>
        <v>35373</v>
      </c>
      <c r="AO106" s="3929">
        <f>SUMIF([3]租约表对应的会计账!$X$5:$X$164,B106,[3]租约表对应的会计账!$Y$5:$Y$164)</f>
        <v>2500</v>
      </c>
      <c r="AP106" s="3929">
        <f>SUMIF([3]租约表对应的会计账!$AC$5:$AC$164,[3]租约表!B106,[3]租约表对应的会计账!$AD$5:$AD$164)</f>
        <v>150</v>
      </c>
      <c r="AQ106" s="3929">
        <f>SUMIF([3]租约表对应的会计账!$AH$5:$AH$164,[3]租约表!B106,[3]租约表对应的会计账!$AI$5:$AI$164)</f>
        <v>0</v>
      </c>
      <c r="AR106" s="3929">
        <f t="shared" si="25"/>
        <v>110543</v>
      </c>
      <c r="AS106" s="3929">
        <f t="shared" si="27"/>
        <v>-124.77999999999884</v>
      </c>
      <c r="AT106" s="3929">
        <f t="shared" si="27"/>
        <v>-588</v>
      </c>
      <c r="AU106" s="3929">
        <f t="shared" si="27"/>
        <v>-822.19999999999709</v>
      </c>
      <c r="AV106" s="3929">
        <f t="shared" si="27"/>
        <v>0</v>
      </c>
      <c r="AW106" s="3929">
        <f t="shared" si="27"/>
        <v>0</v>
      </c>
      <c r="AX106" s="3929">
        <f t="shared" si="27"/>
        <v>0</v>
      </c>
      <c r="AY106" s="3929">
        <f t="shared" si="18"/>
        <v>-1534.9799999999959</v>
      </c>
      <c r="AZ106" s="3915" t="s">
        <v>3967</v>
      </c>
    </row>
    <row r="107" spans="1:52" s="3931" customFormat="1" ht="60" customHeight="1">
      <c r="A107" s="3910" t="s">
        <v>3693</v>
      </c>
      <c r="B107" s="3911" t="s">
        <v>3711</v>
      </c>
      <c r="C107" s="3912" t="s">
        <v>3712</v>
      </c>
      <c r="D107" s="3912" t="s">
        <v>3713</v>
      </c>
      <c r="E107" s="3913">
        <v>44105</v>
      </c>
      <c r="F107" s="3912">
        <v>45565</v>
      </c>
      <c r="G107" s="3914">
        <f t="shared" si="19"/>
        <v>4</v>
      </c>
      <c r="H107" s="3915" t="s">
        <v>4083</v>
      </c>
      <c r="I107" s="3916">
        <v>160.1</v>
      </c>
      <c r="J107" s="3917">
        <v>6.23</v>
      </c>
      <c r="K107" s="3918">
        <v>2</v>
      </c>
      <c r="L107" s="3918">
        <v>2.8</v>
      </c>
      <c r="M107" s="3919">
        <f t="shared" si="28"/>
        <v>11.030000000000001</v>
      </c>
      <c r="N107" s="3920">
        <v>90</v>
      </c>
      <c r="O107" s="3921">
        <f t="shared" si="29"/>
        <v>89768.07</v>
      </c>
      <c r="P107" s="3921">
        <f t="shared" si="29"/>
        <v>28818</v>
      </c>
      <c r="Q107" s="3921">
        <f t="shared" si="29"/>
        <v>40345.199999999997</v>
      </c>
      <c r="R107" s="3922">
        <v>2500</v>
      </c>
      <c r="S107" s="3923">
        <v>150</v>
      </c>
      <c r="T107" s="3923">
        <v>0</v>
      </c>
      <c r="U107" s="3923">
        <v>0</v>
      </c>
      <c r="V107" s="3924">
        <f t="shared" si="21"/>
        <v>161581.27000000002</v>
      </c>
      <c r="W107" s="3925">
        <v>5985</v>
      </c>
      <c r="X107" s="3925">
        <v>1921</v>
      </c>
      <c r="Y107" s="3925">
        <v>2690</v>
      </c>
      <c r="Z107" s="3925"/>
      <c r="AA107" s="3925"/>
      <c r="AB107" s="3926"/>
      <c r="AC107" s="3927">
        <f t="shared" si="22"/>
        <v>10596</v>
      </c>
      <c r="AD107" s="3926">
        <f t="shared" si="26"/>
        <v>83783.070000000007</v>
      </c>
      <c r="AE107" s="3926">
        <f t="shared" si="26"/>
        <v>26897</v>
      </c>
      <c r="AF107" s="3926">
        <f t="shared" si="26"/>
        <v>37655.199999999997</v>
      </c>
      <c r="AG107" s="3926">
        <f t="shared" si="26"/>
        <v>2500</v>
      </c>
      <c r="AH107" s="3926">
        <f t="shared" si="26"/>
        <v>150</v>
      </c>
      <c r="AI107" s="3926">
        <f t="shared" si="26"/>
        <v>0</v>
      </c>
      <c r="AJ107" s="3926">
        <f t="shared" si="23"/>
        <v>0</v>
      </c>
      <c r="AK107" s="3928">
        <f t="shared" si="24"/>
        <v>150985.27000000002</v>
      </c>
      <c r="AL107" s="3929">
        <f>SUMIF([3]租约表对应的会计账!$C$5:$C$164,B107,[3]租约表对应的会计账!$D$5:$D$164)</f>
        <v>29645</v>
      </c>
      <c r="AM107" s="3930">
        <f>SUMIF([3]租约表对应的会计账!$H$5:$H$164,B107,[3]租约表对应的会计账!$I$5:$I$164)</f>
        <v>0</v>
      </c>
      <c r="AN107" s="3929">
        <f>SUMIF([3]租约表对应的会计账!$S$5:$S$164,B107,[3]租约表对应的会计账!$T$5:$T$164)</f>
        <v>18690</v>
      </c>
      <c r="AO107" s="3929">
        <f>SUMIF([3]租约表对应的会计账!$X$5:$X$164,B107,[3]租约表对应的会计账!$Y$5:$Y$164)</f>
        <v>2500</v>
      </c>
      <c r="AP107" s="3929">
        <f>SUMIF([3]租约表对应的会计账!$AC$5:$AC$164,[3]租约表!B107,[3]租约表对应的会计账!$AD$5:$AD$164)</f>
        <v>150</v>
      </c>
      <c r="AQ107" s="3929">
        <f>SUMIF([3]租约表对应的会计账!$AH$5:$AH$164,[3]租约表!B107,[3]租约表对应的会计账!$AI$5:$AI$164)</f>
        <v>0</v>
      </c>
      <c r="AR107" s="3929">
        <f t="shared" si="25"/>
        <v>50985</v>
      </c>
      <c r="AS107" s="3929">
        <f t="shared" si="27"/>
        <v>54138.070000000007</v>
      </c>
      <c r="AT107" s="3929">
        <f t="shared" si="27"/>
        <v>26897</v>
      </c>
      <c r="AU107" s="3929">
        <f t="shared" si="27"/>
        <v>18965.199999999997</v>
      </c>
      <c r="AV107" s="3929">
        <f t="shared" si="27"/>
        <v>0</v>
      </c>
      <c r="AW107" s="3929">
        <f t="shared" si="27"/>
        <v>0</v>
      </c>
      <c r="AX107" s="3929">
        <f t="shared" si="27"/>
        <v>0</v>
      </c>
      <c r="AY107" s="3929">
        <f t="shared" si="18"/>
        <v>100000.27</v>
      </c>
      <c r="AZ107" s="3915" t="s">
        <v>3975</v>
      </c>
    </row>
    <row r="108" spans="1:52" s="3931" customFormat="1" ht="60" customHeight="1">
      <c r="A108" s="3910" t="s">
        <v>3693</v>
      </c>
      <c r="B108" s="3911" t="s">
        <v>3714</v>
      </c>
      <c r="C108" s="3912" t="s">
        <v>3715</v>
      </c>
      <c r="D108" s="3912" t="s">
        <v>3716</v>
      </c>
      <c r="E108" s="3913">
        <v>44105</v>
      </c>
      <c r="F108" s="3912">
        <v>45565</v>
      </c>
      <c r="G108" s="3914">
        <f t="shared" si="19"/>
        <v>4</v>
      </c>
      <c r="H108" s="3915" t="s">
        <v>4083</v>
      </c>
      <c r="I108" s="3916">
        <v>74.2</v>
      </c>
      <c r="J108" s="3917">
        <v>6.23</v>
      </c>
      <c r="K108" s="3918">
        <v>2</v>
      </c>
      <c r="L108" s="3918">
        <v>2.8</v>
      </c>
      <c r="M108" s="3919">
        <f t="shared" si="28"/>
        <v>11.030000000000001</v>
      </c>
      <c r="N108" s="3920">
        <v>90</v>
      </c>
      <c r="O108" s="3921">
        <f t="shared" si="29"/>
        <v>41603.94000000001</v>
      </c>
      <c r="P108" s="3921">
        <f t="shared" si="29"/>
        <v>13356</v>
      </c>
      <c r="Q108" s="3921">
        <f t="shared" si="29"/>
        <v>18698.399999999998</v>
      </c>
      <c r="R108" s="3922">
        <v>2500</v>
      </c>
      <c r="S108" s="3923">
        <v>150</v>
      </c>
      <c r="T108" s="3923">
        <v>0</v>
      </c>
      <c r="U108" s="3923">
        <v>0</v>
      </c>
      <c r="V108" s="3924">
        <f t="shared" si="21"/>
        <v>76308.340000000011</v>
      </c>
      <c r="W108" s="3925">
        <v>2774</v>
      </c>
      <c r="X108" s="3925">
        <v>890</v>
      </c>
      <c r="Y108" s="3925">
        <v>1247</v>
      </c>
      <c r="Z108" s="3925"/>
      <c r="AA108" s="3925"/>
      <c r="AB108" s="3926"/>
      <c r="AC108" s="3927">
        <f t="shared" si="22"/>
        <v>4911</v>
      </c>
      <c r="AD108" s="3926">
        <f t="shared" si="26"/>
        <v>38829.94000000001</v>
      </c>
      <c r="AE108" s="3926">
        <f t="shared" si="26"/>
        <v>12466</v>
      </c>
      <c r="AF108" s="3926">
        <f t="shared" si="26"/>
        <v>17451.399999999998</v>
      </c>
      <c r="AG108" s="3926">
        <f t="shared" si="26"/>
        <v>2500</v>
      </c>
      <c r="AH108" s="3926">
        <f t="shared" si="26"/>
        <v>150</v>
      </c>
      <c r="AI108" s="3926">
        <f t="shared" si="26"/>
        <v>0</v>
      </c>
      <c r="AJ108" s="3926">
        <f t="shared" si="23"/>
        <v>0</v>
      </c>
      <c r="AK108" s="3928">
        <f t="shared" si="24"/>
        <v>71397.340000000011</v>
      </c>
      <c r="AL108" s="3929">
        <f>SUMIF([3]租约表对应的会计账!$C$5:$C$164,B108,[3]租约表对应的会计账!$D$5:$D$164)</f>
        <v>38830</v>
      </c>
      <c r="AM108" s="3930">
        <f>SUMIF([3]租约表对应的会计账!$H$5:$H$164,B108,[3]租约表对应的会计账!$I$5:$I$164)</f>
        <v>12466</v>
      </c>
      <c r="AN108" s="3929">
        <f>SUMIF([3]租约表对应的会计账!$S$5:$S$164,B108,[3]租约表对应的会计账!$T$5:$T$164)</f>
        <v>17451</v>
      </c>
      <c r="AO108" s="3929">
        <f>SUMIF([3]租约表对应的会计账!$X$5:$X$164,B108,[3]租约表对应的会计账!$Y$5:$Y$164)</f>
        <v>2500</v>
      </c>
      <c r="AP108" s="3929">
        <f>SUMIF([3]租约表对应的会计账!$AC$5:$AC$164,[3]租约表!B108,[3]租约表对应的会计账!$AD$5:$AD$164)</f>
        <v>150</v>
      </c>
      <c r="AQ108" s="3929">
        <f>SUMIF([3]租约表对应的会计账!$AH$5:$AH$164,[3]租约表!B108,[3]租约表对应的会计账!$AI$5:$AI$164)</f>
        <v>0</v>
      </c>
      <c r="AR108" s="3929">
        <f t="shared" si="25"/>
        <v>71397</v>
      </c>
      <c r="AS108" s="3929">
        <f t="shared" si="27"/>
        <v>-5.9999999990395736E-2</v>
      </c>
      <c r="AT108" s="3929">
        <f t="shared" si="27"/>
        <v>0</v>
      </c>
      <c r="AU108" s="3929">
        <f t="shared" si="27"/>
        <v>0.39999999999781721</v>
      </c>
      <c r="AV108" s="3929">
        <f t="shared" si="27"/>
        <v>0</v>
      </c>
      <c r="AW108" s="3929">
        <f t="shared" si="27"/>
        <v>0</v>
      </c>
      <c r="AX108" s="3929">
        <f t="shared" si="27"/>
        <v>0</v>
      </c>
      <c r="AY108" s="3929">
        <f t="shared" si="18"/>
        <v>0.34000000000742148</v>
      </c>
      <c r="AZ108" s="3915" t="s">
        <v>3967</v>
      </c>
    </row>
    <row r="109" spans="1:52" s="3931" customFormat="1" ht="60" customHeight="1">
      <c r="A109" s="3910" t="s">
        <v>3693</v>
      </c>
      <c r="B109" s="3911" t="s">
        <v>3717</v>
      </c>
      <c r="C109" s="3912" t="s">
        <v>3718</v>
      </c>
      <c r="D109" s="3912" t="s">
        <v>3719</v>
      </c>
      <c r="E109" s="3913">
        <v>44105</v>
      </c>
      <c r="F109" s="3912">
        <v>45565</v>
      </c>
      <c r="G109" s="3914">
        <f t="shared" si="19"/>
        <v>4</v>
      </c>
      <c r="H109" s="3915" t="s">
        <v>4084</v>
      </c>
      <c r="I109" s="3916">
        <v>100.9</v>
      </c>
      <c r="J109" s="3917">
        <v>5.7</v>
      </c>
      <c r="K109" s="3918">
        <v>2</v>
      </c>
      <c r="L109" s="3918">
        <v>2.8</v>
      </c>
      <c r="M109" s="3919">
        <f t="shared" si="28"/>
        <v>10.5</v>
      </c>
      <c r="N109" s="3920">
        <v>90</v>
      </c>
      <c r="O109" s="3921">
        <f t="shared" si="29"/>
        <v>51761.7</v>
      </c>
      <c r="P109" s="3921">
        <f t="shared" si="29"/>
        <v>18162</v>
      </c>
      <c r="Q109" s="3921">
        <f t="shared" si="29"/>
        <v>25426.799999999999</v>
      </c>
      <c r="R109" s="3922">
        <v>2500</v>
      </c>
      <c r="S109" s="3923">
        <v>1950</v>
      </c>
      <c r="T109" s="3923">
        <v>0</v>
      </c>
      <c r="U109" s="3923">
        <v>0</v>
      </c>
      <c r="V109" s="3924">
        <f t="shared" si="21"/>
        <v>99800.5</v>
      </c>
      <c r="W109" s="3925">
        <v>3451</v>
      </c>
      <c r="X109" s="3925">
        <v>1211</v>
      </c>
      <c r="Y109" s="3925">
        <v>1413</v>
      </c>
      <c r="Z109" s="3925"/>
      <c r="AA109" s="3925"/>
      <c r="AB109" s="3926"/>
      <c r="AC109" s="3927">
        <f t="shared" si="22"/>
        <v>6075</v>
      </c>
      <c r="AD109" s="3926">
        <f t="shared" si="26"/>
        <v>48310.7</v>
      </c>
      <c r="AE109" s="3926">
        <f t="shared" si="26"/>
        <v>16951</v>
      </c>
      <c r="AF109" s="3926">
        <f t="shared" si="26"/>
        <v>24013.8</v>
      </c>
      <c r="AG109" s="3926">
        <f t="shared" si="26"/>
        <v>2500</v>
      </c>
      <c r="AH109" s="3926">
        <f t="shared" si="26"/>
        <v>1950</v>
      </c>
      <c r="AI109" s="3926">
        <f t="shared" si="26"/>
        <v>0</v>
      </c>
      <c r="AJ109" s="3926">
        <f t="shared" si="23"/>
        <v>0</v>
      </c>
      <c r="AK109" s="3928">
        <f t="shared" si="24"/>
        <v>93725.5</v>
      </c>
      <c r="AL109" s="3929">
        <f>SUMIF([3]租约表对应的会计账!$C$5:$C$164,B109,[3]租约表对应的会计账!$D$5:$D$164)</f>
        <v>48311</v>
      </c>
      <c r="AM109" s="3930">
        <f>SUMIF([3]租约表对应的会计账!$H$5:$H$164,B109,[3]租约表对应的会计账!$I$5:$I$164)</f>
        <v>16951</v>
      </c>
      <c r="AN109" s="3929">
        <f>SUMIF([3]租约表对应的会计账!$S$5:$S$164,B109,[3]租约表对应的会计账!$T$5:$T$164)</f>
        <v>24014</v>
      </c>
      <c r="AO109" s="3929">
        <f>SUMIF([3]租约表对应的会计账!$X$5:$X$164,B109,[3]租约表对应的会计账!$Y$5:$Y$164)</f>
        <v>2500</v>
      </c>
      <c r="AP109" s="3929">
        <f>SUMIF([3]租约表对应的会计账!$AC$5:$AC$164,[3]租约表!B109,[3]租约表对应的会计账!$AD$5:$AD$164)</f>
        <v>1950</v>
      </c>
      <c r="AQ109" s="3929">
        <f>SUMIF([3]租约表对应的会计账!$AH$5:$AH$164,[3]租约表!B109,[3]租约表对应的会计账!$AI$5:$AI$164)</f>
        <v>0</v>
      </c>
      <c r="AR109" s="3929">
        <f t="shared" si="25"/>
        <v>93726</v>
      </c>
      <c r="AS109" s="3929">
        <f t="shared" si="27"/>
        <v>-0.30000000000291038</v>
      </c>
      <c r="AT109" s="3929">
        <f t="shared" si="27"/>
        <v>0</v>
      </c>
      <c r="AU109" s="3929">
        <f t="shared" si="27"/>
        <v>-0.2000000000007276</v>
      </c>
      <c r="AV109" s="3929">
        <f t="shared" si="27"/>
        <v>0</v>
      </c>
      <c r="AW109" s="3929">
        <f t="shared" si="27"/>
        <v>0</v>
      </c>
      <c r="AX109" s="3929">
        <f t="shared" si="27"/>
        <v>0</v>
      </c>
      <c r="AY109" s="3929">
        <f t="shared" si="18"/>
        <v>-0.50000000000363798</v>
      </c>
      <c r="AZ109" s="3915" t="s">
        <v>3967</v>
      </c>
    </row>
    <row r="110" spans="1:52" s="3931" customFormat="1" ht="60" customHeight="1">
      <c r="A110" s="3910" t="s">
        <v>3693</v>
      </c>
      <c r="B110" s="3911" t="s">
        <v>3720</v>
      </c>
      <c r="C110" s="3912" t="s">
        <v>3721</v>
      </c>
      <c r="D110" s="3912" t="s">
        <v>3722</v>
      </c>
      <c r="E110" s="3913">
        <v>43393</v>
      </c>
      <c r="F110" s="3912">
        <v>45199</v>
      </c>
      <c r="G110" s="3914">
        <f t="shared" si="19"/>
        <v>4.9479452054794519</v>
      </c>
      <c r="H110" s="3915" t="s">
        <v>4085</v>
      </c>
      <c r="I110" s="3916">
        <v>229.9</v>
      </c>
      <c r="J110" s="3917">
        <v>4.2</v>
      </c>
      <c r="K110" s="3918">
        <v>2</v>
      </c>
      <c r="L110" s="3918">
        <v>2.8</v>
      </c>
      <c r="M110" s="3919">
        <f t="shared" si="28"/>
        <v>9</v>
      </c>
      <c r="N110" s="3920">
        <v>90</v>
      </c>
      <c r="O110" s="3921">
        <f t="shared" si="29"/>
        <v>86902.2</v>
      </c>
      <c r="P110" s="3921">
        <f t="shared" si="29"/>
        <v>41382</v>
      </c>
      <c r="Q110" s="3921">
        <f t="shared" si="29"/>
        <v>57934.8</v>
      </c>
      <c r="R110" s="3922">
        <v>2500</v>
      </c>
      <c r="S110" s="3923">
        <v>300</v>
      </c>
      <c r="T110" s="3923">
        <v>0</v>
      </c>
      <c r="U110" s="3923">
        <v>0</v>
      </c>
      <c r="V110" s="3924">
        <f t="shared" si="21"/>
        <v>189019</v>
      </c>
      <c r="W110" s="3925">
        <v>5835</v>
      </c>
      <c r="X110" s="3925">
        <v>2759</v>
      </c>
      <c r="Y110" s="3925">
        <v>3862</v>
      </c>
      <c r="Z110" s="3925"/>
      <c r="AA110" s="3925"/>
      <c r="AB110" s="3926"/>
      <c r="AC110" s="3927">
        <f t="shared" si="22"/>
        <v>12456</v>
      </c>
      <c r="AD110" s="3926">
        <f t="shared" si="26"/>
        <v>81067.199999999997</v>
      </c>
      <c r="AE110" s="3926">
        <f t="shared" si="26"/>
        <v>38623</v>
      </c>
      <c r="AF110" s="3926">
        <f t="shared" si="26"/>
        <v>54072.800000000003</v>
      </c>
      <c r="AG110" s="3926">
        <f t="shared" si="26"/>
        <v>2500</v>
      </c>
      <c r="AH110" s="3926">
        <f t="shared" si="26"/>
        <v>300</v>
      </c>
      <c r="AI110" s="3926">
        <f t="shared" si="26"/>
        <v>0</v>
      </c>
      <c r="AJ110" s="3926">
        <f t="shared" si="23"/>
        <v>0</v>
      </c>
      <c r="AK110" s="3928">
        <f t="shared" si="24"/>
        <v>176563</v>
      </c>
      <c r="AL110" s="3929">
        <f>SUMIF([3]租约表对应的会计账!$C$5:$C$164,B110,[3]租约表对应的会计账!$D$5:$D$164)</f>
        <v>81641</v>
      </c>
      <c r="AM110" s="3930">
        <f>SUMIF([3]租约表对应的会计账!$H$5:$H$164,B110,[3]租约表对应的会计账!$I$5:$I$164)</f>
        <v>39543</v>
      </c>
      <c r="AN110" s="3929">
        <f>SUMIF([3]租约表对应的会计账!$S$5:$S$164,B110,[3]租约表对应的会计账!$T$5:$T$164)</f>
        <v>55360</v>
      </c>
      <c r="AO110" s="3929">
        <f>SUMIF([3]租约表对应的会计账!$X$5:$X$164,B110,[3]租约表对应的会计账!$Y$5:$Y$164)</f>
        <v>2500</v>
      </c>
      <c r="AP110" s="3929">
        <f>SUMIF([3]租约表对应的会计账!$AC$5:$AC$164,[3]租约表!B110,[3]租约表对应的会计账!$AD$5:$AD$164)</f>
        <v>300</v>
      </c>
      <c r="AQ110" s="3929">
        <f>SUMIF([3]租约表对应的会计账!$AH$5:$AH$164,[3]租约表!B110,[3]租约表对应的会计账!$AI$5:$AI$164)</f>
        <v>0</v>
      </c>
      <c r="AR110" s="3929">
        <f t="shared" si="25"/>
        <v>179344</v>
      </c>
      <c r="AS110" s="3929">
        <f t="shared" si="27"/>
        <v>-573.80000000000291</v>
      </c>
      <c r="AT110" s="3929">
        <f t="shared" si="27"/>
        <v>-920</v>
      </c>
      <c r="AU110" s="3929">
        <f t="shared" si="27"/>
        <v>-1287.1999999999971</v>
      </c>
      <c r="AV110" s="3929">
        <f t="shared" si="27"/>
        <v>0</v>
      </c>
      <c r="AW110" s="3929">
        <f t="shared" si="27"/>
        <v>0</v>
      </c>
      <c r="AX110" s="3929">
        <f t="shared" si="27"/>
        <v>0</v>
      </c>
      <c r="AY110" s="3929">
        <f t="shared" si="18"/>
        <v>-2781</v>
      </c>
      <c r="AZ110" s="3915" t="s">
        <v>3967</v>
      </c>
    </row>
    <row r="111" spans="1:52" s="3931" customFormat="1" ht="60" customHeight="1">
      <c r="A111" s="3910" t="s">
        <v>3693</v>
      </c>
      <c r="B111" s="3911" t="s">
        <v>3723</v>
      </c>
      <c r="C111" s="3912" t="s">
        <v>3724</v>
      </c>
      <c r="D111" s="3912" t="s">
        <v>3725</v>
      </c>
      <c r="E111" s="3913">
        <v>44835</v>
      </c>
      <c r="F111" s="3913">
        <v>45565</v>
      </c>
      <c r="G111" s="3914">
        <f t="shared" si="19"/>
        <v>2</v>
      </c>
      <c r="H111" s="3915" t="s">
        <v>4086</v>
      </c>
      <c r="I111" s="3916">
        <v>91.8</v>
      </c>
      <c r="J111" s="3917">
        <v>6.23</v>
      </c>
      <c r="K111" s="3918">
        <v>2</v>
      </c>
      <c r="L111" s="3918">
        <v>2.8</v>
      </c>
      <c r="M111" s="3919">
        <f t="shared" si="28"/>
        <v>11.030000000000001</v>
      </c>
      <c r="N111" s="3920">
        <v>90</v>
      </c>
      <c r="O111" s="3921">
        <f t="shared" si="29"/>
        <v>51472.26</v>
      </c>
      <c r="P111" s="3921">
        <f t="shared" si="29"/>
        <v>16524</v>
      </c>
      <c r="Q111" s="3921">
        <f t="shared" si="29"/>
        <v>23133.599999999999</v>
      </c>
      <c r="R111" s="3922">
        <v>0</v>
      </c>
      <c r="S111" s="3923">
        <v>150</v>
      </c>
      <c r="T111" s="3923">
        <v>0</v>
      </c>
      <c r="U111" s="3923">
        <v>0</v>
      </c>
      <c r="V111" s="3924">
        <f t="shared" si="21"/>
        <v>91279.860000000015</v>
      </c>
      <c r="W111" s="3925">
        <v>3431</v>
      </c>
      <c r="X111" s="3925">
        <v>1102</v>
      </c>
      <c r="Y111" s="3925">
        <v>1542</v>
      </c>
      <c r="Z111" s="3925"/>
      <c r="AA111" s="3925"/>
      <c r="AB111" s="3926"/>
      <c r="AC111" s="3927">
        <f t="shared" si="22"/>
        <v>6075</v>
      </c>
      <c r="AD111" s="3926">
        <f t="shared" si="26"/>
        <v>48041.26</v>
      </c>
      <c r="AE111" s="3926">
        <f t="shared" si="26"/>
        <v>15422</v>
      </c>
      <c r="AF111" s="3926">
        <f t="shared" si="26"/>
        <v>21591.599999999999</v>
      </c>
      <c r="AG111" s="3926">
        <f t="shared" si="26"/>
        <v>0</v>
      </c>
      <c r="AH111" s="3926">
        <f t="shared" si="26"/>
        <v>150</v>
      </c>
      <c r="AI111" s="3926">
        <f t="shared" si="26"/>
        <v>0</v>
      </c>
      <c r="AJ111" s="3926">
        <f t="shared" si="23"/>
        <v>0</v>
      </c>
      <c r="AK111" s="3928">
        <f t="shared" si="24"/>
        <v>85204.86</v>
      </c>
      <c r="AL111" s="3929">
        <f>SUMIF([3]租约表对应的会计账!$C$5:$C$164,B111,[3]租约表对应的会计账!$D$5:$D$164)</f>
        <v>48041</v>
      </c>
      <c r="AM111" s="3930">
        <f>SUMIF([3]租约表对应的会计账!$H$5:$H$164,B111,[3]租约表对应的会计账!$I$5:$I$164)</f>
        <v>15422</v>
      </c>
      <c r="AN111" s="3929">
        <f>SUMIF([3]租约表对应的会计账!$S$5:$S$164,B111,[3]租约表对应的会计账!$T$5:$T$164)</f>
        <v>21592</v>
      </c>
      <c r="AO111" s="3929">
        <f>SUMIF([3]租约表对应的会计账!$X$5:$X$164,B111,[3]租约表对应的会计账!$Y$5:$Y$164)</f>
        <v>0</v>
      </c>
      <c r="AP111" s="3929">
        <f>SUMIF([3]租约表对应的会计账!$AC$5:$AC$164,[3]租约表!B111,[3]租约表对应的会计账!$AD$5:$AD$164)</f>
        <v>150</v>
      </c>
      <c r="AQ111" s="3929">
        <f>SUMIF([3]租约表对应的会计账!$AH$5:$AH$164,[3]租约表!B111,[3]租约表对应的会计账!$AI$5:$AI$164)</f>
        <v>0</v>
      </c>
      <c r="AR111" s="3929">
        <f t="shared" si="25"/>
        <v>85205</v>
      </c>
      <c r="AS111" s="3929">
        <f t="shared" si="27"/>
        <v>0.26000000000203727</v>
      </c>
      <c r="AT111" s="3929">
        <f t="shared" si="27"/>
        <v>0</v>
      </c>
      <c r="AU111" s="3929">
        <f t="shared" si="27"/>
        <v>-0.40000000000145519</v>
      </c>
      <c r="AV111" s="3929">
        <f t="shared" si="27"/>
        <v>0</v>
      </c>
      <c r="AW111" s="3929">
        <f t="shared" si="27"/>
        <v>0</v>
      </c>
      <c r="AX111" s="3929">
        <f t="shared" si="27"/>
        <v>0</v>
      </c>
      <c r="AY111" s="3929">
        <f t="shared" si="18"/>
        <v>-0.13999999999941792</v>
      </c>
      <c r="AZ111" s="3915" t="s">
        <v>3967</v>
      </c>
    </row>
    <row r="112" spans="1:52" s="3931" customFormat="1" ht="60" customHeight="1">
      <c r="A112" s="3910" t="s">
        <v>3693</v>
      </c>
      <c r="B112" s="3911" t="s">
        <v>3726</v>
      </c>
      <c r="C112" s="3912" t="s">
        <v>3727</v>
      </c>
      <c r="D112" s="3912" t="s">
        <v>3728</v>
      </c>
      <c r="E112" s="3913">
        <v>44105</v>
      </c>
      <c r="F112" s="3912">
        <v>45565</v>
      </c>
      <c r="G112" s="3914">
        <f t="shared" si="19"/>
        <v>4</v>
      </c>
      <c r="H112" s="3915" t="s">
        <v>4087</v>
      </c>
      <c r="I112" s="3916">
        <v>54.5</v>
      </c>
      <c r="J112" s="3917">
        <v>5.2</v>
      </c>
      <c r="K112" s="3918">
        <v>2</v>
      </c>
      <c r="L112" s="3918">
        <v>2.8</v>
      </c>
      <c r="M112" s="3919">
        <f t="shared" si="28"/>
        <v>10</v>
      </c>
      <c r="N112" s="3920">
        <v>90</v>
      </c>
      <c r="O112" s="3921">
        <f t="shared" si="29"/>
        <v>25506.000000000004</v>
      </c>
      <c r="P112" s="3921">
        <f t="shared" si="29"/>
        <v>9810</v>
      </c>
      <c r="Q112" s="3921">
        <f t="shared" si="29"/>
        <v>13734</v>
      </c>
      <c r="R112" s="3922">
        <v>2500</v>
      </c>
      <c r="S112" s="3923">
        <v>150</v>
      </c>
      <c r="T112" s="3923">
        <v>0</v>
      </c>
      <c r="U112" s="3923">
        <v>0</v>
      </c>
      <c r="V112" s="3924">
        <f t="shared" si="21"/>
        <v>51700</v>
      </c>
      <c r="W112" s="3925">
        <v>1700</v>
      </c>
      <c r="X112" s="3925">
        <v>654</v>
      </c>
      <c r="Y112" s="3925">
        <v>916</v>
      </c>
      <c r="Z112" s="3925"/>
      <c r="AA112" s="3925"/>
      <c r="AB112" s="3926"/>
      <c r="AC112" s="3927">
        <f t="shared" si="22"/>
        <v>3270</v>
      </c>
      <c r="AD112" s="3926">
        <f t="shared" ref="AD112:AI139" si="30">O112-W112</f>
        <v>23806.000000000004</v>
      </c>
      <c r="AE112" s="3926">
        <f t="shared" si="30"/>
        <v>9156</v>
      </c>
      <c r="AF112" s="3926">
        <f t="shared" si="30"/>
        <v>12818</v>
      </c>
      <c r="AG112" s="3926">
        <f t="shared" si="30"/>
        <v>2500</v>
      </c>
      <c r="AH112" s="3926">
        <f t="shared" si="30"/>
        <v>150</v>
      </c>
      <c r="AI112" s="3926">
        <f t="shared" si="30"/>
        <v>0</v>
      </c>
      <c r="AJ112" s="3926">
        <f t="shared" si="23"/>
        <v>0</v>
      </c>
      <c r="AK112" s="3928">
        <f t="shared" si="24"/>
        <v>48430</v>
      </c>
      <c r="AL112" s="3929">
        <f>SUMIF([3]租约表对应的会计账!$C$5:$C$164,B112,[3]租约表对应的会计账!$D$5:$D$164)</f>
        <v>0</v>
      </c>
      <c r="AM112" s="3930">
        <f>SUMIF([3]租约表对应的会计账!$H$5:$H$164,B112,[3]租约表对应的会计账!$I$5:$I$164)</f>
        <v>0</v>
      </c>
      <c r="AN112" s="3929">
        <f>SUMIF([3]租约表对应的会计账!$S$5:$S$164,B112,[3]租约表对应的会计账!$T$5:$T$164)</f>
        <v>0</v>
      </c>
      <c r="AO112" s="3929">
        <f>SUMIF([3]租约表对应的会计账!$X$5:$X$164,B112,[3]租约表对应的会计账!$Y$5:$Y$164)</f>
        <v>0</v>
      </c>
      <c r="AP112" s="3929">
        <f>SUMIF([3]租约表对应的会计账!$AC$5:$AC$164,[3]租约表!B112,[3]租约表对应的会计账!$AD$5:$AD$164)</f>
        <v>0</v>
      </c>
      <c r="AQ112" s="3929">
        <f>SUMIF([3]租约表对应的会计账!$AH$5:$AH$164,[3]租约表!B112,[3]租约表对应的会计账!$AI$5:$AI$164)</f>
        <v>0</v>
      </c>
      <c r="AR112" s="3929">
        <f t="shared" si="25"/>
        <v>0</v>
      </c>
      <c r="AS112" s="3929">
        <f t="shared" si="27"/>
        <v>23806.000000000004</v>
      </c>
      <c r="AT112" s="3929">
        <f t="shared" si="27"/>
        <v>9156</v>
      </c>
      <c r="AU112" s="3929">
        <f t="shared" si="27"/>
        <v>12818</v>
      </c>
      <c r="AV112" s="3929">
        <f t="shared" si="27"/>
        <v>2500</v>
      </c>
      <c r="AW112" s="3929">
        <f t="shared" si="27"/>
        <v>150</v>
      </c>
      <c r="AX112" s="3929">
        <f t="shared" si="27"/>
        <v>0</v>
      </c>
      <c r="AY112" s="3929">
        <f t="shared" si="18"/>
        <v>48430</v>
      </c>
      <c r="AZ112" s="3915" t="s">
        <v>3975</v>
      </c>
    </row>
    <row r="113" spans="1:52" s="3931" customFormat="1" ht="60" customHeight="1">
      <c r="A113" s="3910" t="s">
        <v>3693</v>
      </c>
      <c r="B113" s="3911" t="s">
        <v>3729</v>
      </c>
      <c r="C113" s="3912" t="s">
        <v>3730</v>
      </c>
      <c r="D113" s="3912" t="s">
        <v>3731</v>
      </c>
      <c r="E113" s="3913">
        <v>44105</v>
      </c>
      <c r="F113" s="3912">
        <v>45565</v>
      </c>
      <c r="G113" s="3914">
        <f t="shared" si="19"/>
        <v>4</v>
      </c>
      <c r="H113" s="3915" t="s">
        <v>4088</v>
      </c>
      <c r="I113" s="3916">
        <v>170.8</v>
      </c>
      <c r="J113" s="3917">
        <v>5.7</v>
      </c>
      <c r="K113" s="3918">
        <v>2</v>
      </c>
      <c r="L113" s="3918">
        <v>2.8</v>
      </c>
      <c r="M113" s="3919">
        <f t="shared" si="28"/>
        <v>10.5</v>
      </c>
      <c r="N113" s="3920">
        <v>90</v>
      </c>
      <c r="O113" s="3921">
        <f t="shared" si="29"/>
        <v>87620.400000000009</v>
      </c>
      <c r="P113" s="3921">
        <f t="shared" si="29"/>
        <v>30744.000000000004</v>
      </c>
      <c r="Q113" s="3921">
        <f t="shared" si="29"/>
        <v>43041.599999999999</v>
      </c>
      <c r="R113" s="3922">
        <v>2500</v>
      </c>
      <c r="S113" s="3923">
        <v>150</v>
      </c>
      <c r="T113" s="3923">
        <v>0</v>
      </c>
      <c r="U113" s="3923">
        <v>0</v>
      </c>
      <c r="V113" s="3924">
        <f t="shared" si="21"/>
        <v>164056</v>
      </c>
      <c r="W113" s="3925">
        <v>5841</v>
      </c>
      <c r="X113" s="3925">
        <v>2050</v>
      </c>
      <c r="Y113" s="3925">
        <v>2869</v>
      </c>
      <c r="Z113" s="3925"/>
      <c r="AA113" s="3925"/>
      <c r="AB113" s="3926"/>
      <c r="AC113" s="3927">
        <f t="shared" si="22"/>
        <v>10760</v>
      </c>
      <c r="AD113" s="3926">
        <f t="shared" si="30"/>
        <v>81779.400000000009</v>
      </c>
      <c r="AE113" s="3926">
        <f t="shared" si="30"/>
        <v>28694.000000000004</v>
      </c>
      <c r="AF113" s="3926">
        <f t="shared" si="30"/>
        <v>40172.6</v>
      </c>
      <c r="AG113" s="3926">
        <f t="shared" si="30"/>
        <v>2500</v>
      </c>
      <c r="AH113" s="3926">
        <f t="shared" si="30"/>
        <v>150</v>
      </c>
      <c r="AI113" s="3926">
        <f t="shared" si="30"/>
        <v>0</v>
      </c>
      <c r="AJ113" s="3926">
        <f t="shared" si="23"/>
        <v>0</v>
      </c>
      <c r="AK113" s="3928">
        <f t="shared" si="24"/>
        <v>153296</v>
      </c>
      <c r="AL113" s="3929">
        <f>SUMIF([3]租约表对应的会计账!$C$5:$C$164,B113,[3]租约表对应的会计账!$D$5:$D$164)</f>
        <v>81779</v>
      </c>
      <c r="AM113" s="3930">
        <f>SUMIF([3]租约表对应的会计账!$H$5:$H$164,B113,[3]租约表对应的会计账!$I$5:$I$164)</f>
        <v>28694</v>
      </c>
      <c r="AN113" s="3929">
        <f>SUMIF([3]租约表对应的会计账!$S$5:$S$164,B113,[3]租约表对应的会计账!$T$5:$T$164)</f>
        <v>40173</v>
      </c>
      <c r="AO113" s="3929">
        <f>SUMIF([3]租约表对应的会计账!$X$5:$X$164,B113,[3]租约表对应的会计账!$Y$5:$Y$164)</f>
        <v>2500</v>
      </c>
      <c r="AP113" s="3929">
        <f>SUMIF([3]租约表对应的会计账!$AC$5:$AC$164,[3]租约表!B113,[3]租约表对应的会计账!$AD$5:$AD$164)</f>
        <v>150</v>
      </c>
      <c r="AQ113" s="3929">
        <f>SUMIF([3]租约表对应的会计账!$AH$5:$AH$164,[3]租约表!B113,[3]租约表对应的会计账!$AI$5:$AI$164)</f>
        <v>0</v>
      </c>
      <c r="AR113" s="3929">
        <f t="shared" si="25"/>
        <v>153296</v>
      </c>
      <c r="AS113" s="3929">
        <f t="shared" si="27"/>
        <v>0.40000000000873115</v>
      </c>
      <c r="AT113" s="3929">
        <f t="shared" si="27"/>
        <v>0</v>
      </c>
      <c r="AU113" s="3929">
        <f t="shared" si="27"/>
        <v>-0.40000000000145519</v>
      </c>
      <c r="AV113" s="3929">
        <f t="shared" si="27"/>
        <v>0</v>
      </c>
      <c r="AW113" s="3929">
        <f t="shared" si="27"/>
        <v>0</v>
      </c>
      <c r="AX113" s="3929">
        <f t="shared" si="27"/>
        <v>0</v>
      </c>
      <c r="AY113" s="3929">
        <f t="shared" si="18"/>
        <v>7.2759576141834259E-12</v>
      </c>
      <c r="AZ113" s="3915" t="s">
        <v>3967</v>
      </c>
    </row>
    <row r="114" spans="1:52" s="3931" customFormat="1" ht="60" customHeight="1">
      <c r="A114" s="3910" t="s">
        <v>3693</v>
      </c>
      <c r="B114" s="3911" t="s">
        <v>3732</v>
      </c>
      <c r="C114" s="3912" t="s">
        <v>3730</v>
      </c>
      <c r="D114" s="3912" t="s">
        <v>3731</v>
      </c>
      <c r="E114" s="3913">
        <v>44835</v>
      </c>
      <c r="F114" s="3913">
        <v>45565</v>
      </c>
      <c r="G114" s="3914">
        <f t="shared" si="19"/>
        <v>2</v>
      </c>
      <c r="H114" s="3915" t="s">
        <v>4089</v>
      </c>
      <c r="I114" s="3916">
        <v>82.2</v>
      </c>
      <c r="J114" s="3917">
        <v>3.7</v>
      </c>
      <c r="K114" s="3918">
        <v>2</v>
      </c>
      <c r="L114" s="3918">
        <v>2.8</v>
      </c>
      <c r="M114" s="3919">
        <f t="shared" si="28"/>
        <v>8.5</v>
      </c>
      <c r="N114" s="3920">
        <v>90</v>
      </c>
      <c r="O114" s="3921">
        <f t="shared" si="29"/>
        <v>27372.600000000002</v>
      </c>
      <c r="P114" s="3921">
        <f t="shared" si="29"/>
        <v>14796</v>
      </c>
      <c r="Q114" s="3921">
        <f t="shared" si="29"/>
        <v>20714.400000000001</v>
      </c>
      <c r="R114" s="3922">
        <v>0</v>
      </c>
      <c r="S114" s="3923">
        <v>150</v>
      </c>
      <c r="T114" s="3923">
        <v>0</v>
      </c>
      <c r="U114" s="3923">
        <v>0</v>
      </c>
      <c r="V114" s="3924">
        <f t="shared" si="21"/>
        <v>63033.000000000007</v>
      </c>
      <c r="W114" s="3925">
        <v>1825</v>
      </c>
      <c r="X114" s="3925">
        <v>986</v>
      </c>
      <c r="Y114" s="3925">
        <v>1381</v>
      </c>
      <c r="Z114" s="3925"/>
      <c r="AA114" s="3925"/>
      <c r="AB114" s="3926"/>
      <c r="AC114" s="3927">
        <f t="shared" si="22"/>
        <v>4192</v>
      </c>
      <c r="AD114" s="3926">
        <f t="shared" si="30"/>
        <v>25547.600000000002</v>
      </c>
      <c r="AE114" s="3926">
        <f t="shared" si="30"/>
        <v>13810</v>
      </c>
      <c r="AF114" s="3926">
        <f t="shared" si="30"/>
        <v>19333.400000000001</v>
      </c>
      <c r="AG114" s="3926">
        <f t="shared" si="30"/>
        <v>0</v>
      </c>
      <c r="AH114" s="3926">
        <f t="shared" si="30"/>
        <v>150</v>
      </c>
      <c r="AI114" s="3926">
        <f t="shared" si="30"/>
        <v>0</v>
      </c>
      <c r="AJ114" s="3926">
        <f t="shared" si="23"/>
        <v>0</v>
      </c>
      <c r="AK114" s="3928">
        <f t="shared" si="24"/>
        <v>58841.000000000007</v>
      </c>
      <c r="AL114" s="3929">
        <f>SUMIF([3]租约表对应的会计账!$C$5:$C$164,B114,[3]租约表对应的会计账!$D$5:$D$164)</f>
        <v>25548</v>
      </c>
      <c r="AM114" s="3930">
        <f>SUMIF([3]租约表对应的会计账!$H$5:$H$164,B114,[3]租约表对应的会计账!$I$5:$I$164)</f>
        <v>13810</v>
      </c>
      <c r="AN114" s="3929">
        <f>SUMIF([3]租约表对应的会计账!$S$5:$S$164,B114,[3]租约表对应的会计账!$T$5:$T$164)</f>
        <v>19333</v>
      </c>
      <c r="AO114" s="3929">
        <f>SUMIF([3]租约表对应的会计账!$X$5:$X$164,B114,[3]租约表对应的会计账!$Y$5:$Y$164)</f>
        <v>0</v>
      </c>
      <c r="AP114" s="3929">
        <f>SUMIF([3]租约表对应的会计账!$AC$5:$AC$164,[3]租约表!B114,[3]租约表对应的会计账!$AD$5:$AD$164)</f>
        <v>150</v>
      </c>
      <c r="AQ114" s="3929">
        <f>SUMIF([3]租约表对应的会计账!$AH$5:$AH$164,[3]租约表!B114,[3]租约表对应的会计账!$AI$5:$AI$164)</f>
        <v>0</v>
      </c>
      <c r="AR114" s="3929">
        <f t="shared" si="25"/>
        <v>58841</v>
      </c>
      <c r="AS114" s="3929">
        <f t="shared" si="27"/>
        <v>-0.39999999999781721</v>
      </c>
      <c r="AT114" s="3929">
        <f t="shared" si="27"/>
        <v>0</v>
      </c>
      <c r="AU114" s="3929">
        <f t="shared" si="27"/>
        <v>0.40000000000145519</v>
      </c>
      <c r="AV114" s="3929">
        <f t="shared" si="27"/>
        <v>0</v>
      </c>
      <c r="AW114" s="3929">
        <f t="shared" si="27"/>
        <v>0</v>
      </c>
      <c r="AX114" s="3929">
        <f t="shared" si="27"/>
        <v>0</v>
      </c>
      <c r="AY114" s="3929">
        <f t="shared" si="18"/>
        <v>3.637978807091713E-12</v>
      </c>
      <c r="AZ114" s="3915" t="s">
        <v>3967</v>
      </c>
    </row>
    <row r="115" spans="1:52" s="3931" customFormat="1" ht="60" customHeight="1">
      <c r="A115" s="3910" t="s">
        <v>3693</v>
      </c>
      <c r="B115" s="3911" t="s">
        <v>3733</v>
      </c>
      <c r="C115" s="3912" t="s">
        <v>3734</v>
      </c>
      <c r="D115" s="3912" t="s">
        <v>3735</v>
      </c>
      <c r="E115" s="3913">
        <v>44652</v>
      </c>
      <c r="F115" s="3913">
        <v>45382</v>
      </c>
      <c r="G115" s="3914">
        <f t="shared" si="19"/>
        <v>2</v>
      </c>
      <c r="H115" s="3915" t="s">
        <v>4090</v>
      </c>
      <c r="I115" s="3916">
        <v>114.4</v>
      </c>
      <c r="J115" s="3917">
        <v>7.2</v>
      </c>
      <c r="K115" s="3918">
        <v>2</v>
      </c>
      <c r="L115" s="3918">
        <v>2.8</v>
      </c>
      <c r="M115" s="3919">
        <f t="shared" si="28"/>
        <v>12</v>
      </c>
      <c r="N115" s="3920">
        <v>90</v>
      </c>
      <c r="O115" s="3921">
        <f t="shared" si="29"/>
        <v>74131.200000000012</v>
      </c>
      <c r="P115" s="3921">
        <f t="shared" si="29"/>
        <v>20592</v>
      </c>
      <c r="Q115" s="3921">
        <f t="shared" si="29"/>
        <v>28828.799999999999</v>
      </c>
      <c r="R115" s="3922">
        <v>2500</v>
      </c>
      <c r="S115" s="3923">
        <v>150</v>
      </c>
      <c r="T115" s="3923">
        <v>0</v>
      </c>
      <c r="U115" s="3923">
        <v>0</v>
      </c>
      <c r="V115" s="3924">
        <f t="shared" si="21"/>
        <v>126202.00000000001</v>
      </c>
      <c r="W115" s="3925">
        <v>4942</v>
      </c>
      <c r="X115" s="3925">
        <v>1373</v>
      </c>
      <c r="Y115" s="3925">
        <v>1922</v>
      </c>
      <c r="Z115" s="3925"/>
      <c r="AA115" s="3925"/>
      <c r="AB115" s="3926"/>
      <c r="AC115" s="3927">
        <f t="shared" si="22"/>
        <v>8237</v>
      </c>
      <c r="AD115" s="3926">
        <f t="shared" si="30"/>
        <v>69189.200000000012</v>
      </c>
      <c r="AE115" s="3926">
        <f t="shared" si="30"/>
        <v>19219</v>
      </c>
      <c r="AF115" s="3926">
        <f t="shared" si="30"/>
        <v>26906.799999999999</v>
      </c>
      <c r="AG115" s="3926">
        <f t="shared" si="30"/>
        <v>2500</v>
      </c>
      <c r="AH115" s="3926">
        <f t="shared" si="30"/>
        <v>150</v>
      </c>
      <c r="AI115" s="3926">
        <f t="shared" si="30"/>
        <v>0</v>
      </c>
      <c r="AJ115" s="3926">
        <f t="shared" si="23"/>
        <v>0</v>
      </c>
      <c r="AK115" s="3928">
        <f t="shared" si="24"/>
        <v>117965.00000000001</v>
      </c>
      <c r="AL115" s="3929">
        <f>SUMIF([3]租约表对应的会计账!$C$5:$C$164,B115,[3]租约表对应的会计账!$D$5:$D$164)</f>
        <v>69189</v>
      </c>
      <c r="AM115" s="3930">
        <f>SUMIF([3]租约表对应的会计账!$H$5:$H$164,B115,[3]租约表对应的会计账!$I$5:$I$164)</f>
        <v>19219</v>
      </c>
      <c r="AN115" s="3929">
        <f>SUMIF([3]租约表对应的会计账!$S$5:$S$164,B115,[3]租约表对应的会计账!$T$5:$T$164)</f>
        <v>26907</v>
      </c>
      <c r="AO115" s="3929">
        <f>SUMIF([3]租约表对应的会计账!$X$5:$X$164,B115,[3]租约表对应的会计账!$Y$5:$Y$164)</f>
        <v>2500</v>
      </c>
      <c r="AP115" s="3929">
        <f>SUMIF([3]租约表对应的会计账!$AC$5:$AC$164,[3]租约表!B115,[3]租约表对应的会计账!$AD$5:$AD$164)</f>
        <v>150</v>
      </c>
      <c r="AQ115" s="3929">
        <f>SUMIF([3]租约表对应的会计账!$AH$5:$AH$164,[3]租约表!B115,[3]租约表对应的会计账!$AI$5:$AI$164)</f>
        <v>0</v>
      </c>
      <c r="AR115" s="3929">
        <f t="shared" si="25"/>
        <v>117965</v>
      </c>
      <c r="AS115" s="3929">
        <f t="shared" ref="AS115:AX140" si="31">AD115-AL115</f>
        <v>0.20000000001164153</v>
      </c>
      <c r="AT115" s="3929">
        <f t="shared" si="31"/>
        <v>0</v>
      </c>
      <c r="AU115" s="3929">
        <f t="shared" si="31"/>
        <v>-0.2000000000007276</v>
      </c>
      <c r="AV115" s="3929">
        <f t="shared" si="31"/>
        <v>0</v>
      </c>
      <c r="AW115" s="3929">
        <f t="shared" si="31"/>
        <v>0</v>
      </c>
      <c r="AX115" s="3929">
        <f t="shared" si="31"/>
        <v>0</v>
      </c>
      <c r="AY115" s="3929">
        <f t="shared" si="18"/>
        <v>1.0913936421275139E-11</v>
      </c>
      <c r="AZ115" s="3915" t="s">
        <v>3967</v>
      </c>
    </row>
    <row r="116" spans="1:52" s="3931" customFormat="1" ht="60" customHeight="1">
      <c r="A116" s="3910" t="s">
        <v>3693</v>
      </c>
      <c r="B116" s="3934" t="s">
        <v>3736</v>
      </c>
      <c r="C116" s="3912" t="s">
        <v>3737</v>
      </c>
      <c r="D116" s="3912" t="s">
        <v>3738</v>
      </c>
      <c r="E116" s="3913">
        <v>44835</v>
      </c>
      <c r="F116" s="3913">
        <v>45565</v>
      </c>
      <c r="G116" s="3914">
        <f t="shared" si="19"/>
        <v>2</v>
      </c>
      <c r="H116" s="3915" t="s">
        <v>4091</v>
      </c>
      <c r="I116" s="3916">
        <v>37.9</v>
      </c>
      <c r="J116" s="3917">
        <v>6.23</v>
      </c>
      <c r="K116" s="3918">
        <v>2</v>
      </c>
      <c r="L116" s="3918">
        <v>2.8</v>
      </c>
      <c r="M116" s="3919">
        <f t="shared" si="28"/>
        <v>11.030000000000001</v>
      </c>
      <c r="N116" s="3920">
        <v>90</v>
      </c>
      <c r="O116" s="3921">
        <f t="shared" si="29"/>
        <v>21250.530000000002</v>
      </c>
      <c r="P116" s="3921">
        <f t="shared" si="29"/>
        <v>6822</v>
      </c>
      <c r="Q116" s="3921">
        <f t="shared" si="29"/>
        <v>9550.7999999999993</v>
      </c>
      <c r="R116" s="3922">
        <v>1250</v>
      </c>
      <c r="S116" s="3923">
        <v>150</v>
      </c>
      <c r="T116" s="3923">
        <v>0</v>
      </c>
      <c r="U116" s="3923">
        <v>0</v>
      </c>
      <c r="V116" s="3924">
        <f t="shared" si="21"/>
        <v>39023.33</v>
      </c>
      <c r="W116" s="3925">
        <v>1417</v>
      </c>
      <c r="X116" s="3925">
        <v>455</v>
      </c>
      <c r="Y116" s="3925">
        <v>637</v>
      </c>
      <c r="Z116" s="3925"/>
      <c r="AA116" s="3925"/>
      <c r="AB116" s="3926"/>
      <c r="AC116" s="3927">
        <f t="shared" si="22"/>
        <v>2509</v>
      </c>
      <c r="AD116" s="3926">
        <f t="shared" si="30"/>
        <v>19833.530000000002</v>
      </c>
      <c r="AE116" s="3926">
        <f t="shared" si="30"/>
        <v>6367</v>
      </c>
      <c r="AF116" s="3926">
        <f t="shared" si="30"/>
        <v>8913.7999999999993</v>
      </c>
      <c r="AG116" s="3926">
        <f t="shared" si="30"/>
        <v>1250</v>
      </c>
      <c r="AH116" s="3926">
        <f t="shared" si="30"/>
        <v>150</v>
      </c>
      <c r="AI116" s="3926">
        <f t="shared" si="30"/>
        <v>0</v>
      </c>
      <c r="AJ116" s="3926">
        <f t="shared" si="23"/>
        <v>0</v>
      </c>
      <c r="AK116" s="3928">
        <f t="shared" si="24"/>
        <v>36514.33</v>
      </c>
      <c r="AL116" s="3929">
        <f>SUMIF([3]租约表对应的会计账!$C$5:$C$164,B116,[3]租约表对应的会计账!$D$5:$D$164)</f>
        <v>19834</v>
      </c>
      <c r="AM116" s="3930">
        <f>SUMIF([3]租约表对应的会计账!$H$5:$H$164,B116,[3]租约表对应的会计账!$I$5:$I$164)</f>
        <v>6367</v>
      </c>
      <c r="AN116" s="3929">
        <f>SUMIF([3]租约表对应的会计账!$S$5:$S$164,B116,[3]租约表对应的会计账!$T$5:$T$164)</f>
        <v>8914</v>
      </c>
      <c r="AO116" s="3929">
        <f>SUMIF([3]租约表对应的会计账!$X$5:$X$164,B116,[3]租约表对应的会计账!$Y$5:$Y$164)</f>
        <v>1250</v>
      </c>
      <c r="AP116" s="3929">
        <f>SUMIF([3]租约表对应的会计账!$AC$5:$AC$164,[3]租约表!B116,[3]租约表对应的会计账!$AD$5:$AD$164)</f>
        <v>150</v>
      </c>
      <c r="AQ116" s="3929">
        <f>SUMIF([3]租约表对应的会计账!$AH$5:$AH$164,[3]租约表!B116,[3]租约表对应的会计账!$AI$5:$AI$164)</f>
        <v>0</v>
      </c>
      <c r="AR116" s="3929">
        <f t="shared" si="25"/>
        <v>36515</v>
      </c>
      <c r="AS116" s="3929">
        <f t="shared" si="31"/>
        <v>-0.46999999999752617</v>
      </c>
      <c r="AT116" s="3929">
        <f t="shared" si="31"/>
        <v>0</v>
      </c>
      <c r="AU116" s="3929">
        <f t="shared" si="31"/>
        <v>-0.2000000000007276</v>
      </c>
      <c r="AV116" s="3929">
        <f t="shared" si="31"/>
        <v>0</v>
      </c>
      <c r="AW116" s="3929">
        <f t="shared" si="31"/>
        <v>0</v>
      </c>
      <c r="AX116" s="3929">
        <f t="shared" si="31"/>
        <v>0</v>
      </c>
      <c r="AY116" s="3929">
        <f t="shared" si="18"/>
        <v>-0.66999999999825377</v>
      </c>
      <c r="AZ116" s="3915" t="s">
        <v>3967</v>
      </c>
    </row>
    <row r="117" spans="1:52" s="3931" customFormat="1" ht="60" customHeight="1">
      <c r="A117" s="3910" t="s">
        <v>3693</v>
      </c>
      <c r="B117" s="3911" t="s">
        <v>3739</v>
      </c>
      <c r="C117" s="3912" t="s">
        <v>3740</v>
      </c>
      <c r="D117" s="3912" t="s">
        <v>3741</v>
      </c>
      <c r="E117" s="3913">
        <v>44835</v>
      </c>
      <c r="F117" s="3913">
        <v>45565</v>
      </c>
      <c r="G117" s="3914">
        <f t="shared" si="19"/>
        <v>2</v>
      </c>
      <c r="H117" s="3915" t="s">
        <v>4092</v>
      </c>
      <c r="I117" s="3916">
        <v>37.9</v>
      </c>
      <c r="J117" s="3917">
        <v>6.23</v>
      </c>
      <c r="K117" s="3918">
        <v>2</v>
      </c>
      <c r="L117" s="3918">
        <v>2.8</v>
      </c>
      <c r="M117" s="3919">
        <f t="shared" si="28"/>
        <v>11.030000000000001</v>
      </c>
      <c r="N117" s="3920">
        <v>90</v>
      </c>
      <c r="O117" s="3921">
        <f t="shared" si="29"/>
        <v>21250.530000000002</v>
      </c>
      <c r="P117" s="3921">
        <f t="shared" si="29"/>
        <v>6822</v>
      </c>
      <c r="Q117" s="3921">
        <f t="shared" si="29"/>
        <v>9550.7999999999993</v>
      </c>
      <c r="R117" s="3922">
        <v>1250</v>
      </c>
      <c r="S117" s="3923">
        <v>150</v>
      </c>
      <c r="T117" s="3923">
        <v>0</v>
      </c>
      <c r="U117" s="3923">
        <v>0</v>
      </c>
      <c r="V117" s="3924">
        <f t="shared" si="21"/>
        <v>39023.33</v>
      </c>
      <c r="W117" s="3925">
        <v>1417</v>
      </c>
      <c r="X117" s="3925">
        <v>455</v>
      </c>
      <c r="Y117" s="3925">
        <v>637</v>
      </c>
      <c r="Z117" s="3925"/>
      <c r="AA117" s="3925"/>
      <c r="AB117" s="3926"/>
      <c r="AC117" s="3927">
        <f t="shared" si="22"/>
        <v>2509</v>
      </c>
      <c r="AD117" s="3926">
        <f t="shared" si="30"/>
        <v>19833.530000000002</v>
      </c>
      <c r="AE117" s="3926">
        <f t="shared" si="30"/>
        <v>6367</v>
      </c>
      <c r="AF117" s="3926">
        <f t="shared" si="30"/>
        <v>8913.7999999999993</v>
      </c>
      <c r="AG117" s="3926">
        <f t="shared" si="30"/>
        <v>1250</v>
      </c>
      <c r="AH117" s="3926">
        <f t="shared" si="30"/>
        <v>150</v>
      </c>
      <c r="AI117" s="3926">
        <f t="shared" si="30"/>
        <v>0</v>
      </c>
      <c r="AJ117" s="3926">
        <f t="shared" si="23"/>
        <v>0</v>
      </c>
      <c r="AK117" s="3928">
        <f t="shared" si="24"/>
        <v>36514.33</v>
      </c>
      <c r="AL117" s="3929">
        <f>SUMIF([3]租约表对应的会计账!$C$5:$C$164,B117,[3]租约表对应的会计账!$D$5:$D$164)</f>
        <v>21251</v>
      </c>
      <c r="AM117" s="3930">
        <f>SUMIF([3]租约表对应的会计账!$H$5:$H$164,B117,[3]租约表对应的会计账!$I$5:$I$164)</f>
        <v>6822</v>
      </c>
      <c r="AN117" s="3929">
        <f>SUMIF([3]租约表对应的会计账!$S$5:$S$164,B117,[3]租约表对应的会计账!$T$5:$T$164)</f>
        <v>9551</v>
      </c>
      <c r="AO117" s="3929">
        <f>SUMIF([3]租约表对应的会计账!$X$5:$X$164,B117,[3]租约表对应的会计账!$Y$5:$Y$164)</f>
        <v>1250</v>
      </c>
      <c r="AP117" s="3929">
        <f>SUMIF([3]租约表对应的会计账!$AC$5:$AC$164,[3]租约表!B117,[3]租约表对应的会计账!$AD$5:$AD$164)</f>
        <v>150</v>
      </c>
      <c r="AQ117" s="3929">
        <f>SUMIF([3]租约表对应的会计账!$AH$5:$AH$164,[3]租约表!B117,[3]租约表对应的会计账!$AI$5:$AI$164)</f>
        <v>0</v>
      </c>
      <c r="AR117" s="3929">
        <f t="shared" si="25"/>
        <v>39024</v>
      </c>
      <c r="AS117" s="3929">
        <f t="shared" si="31"/>
        <v>-1417.4699999999975</v>
      </c>
      <c r="AT117" s="3929">
        <f t="shared" si="31"/>
        <v>-455</v>
      </c>
      <c r="AU117" s="3929">
        <f t="shared" si="31"/>
        <v>-637.20000000000073</v>
      </c>
      <c r="AV117" s="3929">
        <f t="shared" si="31"/>
        <v>0</v>
      </c>
      <c r="AW117" s="3929">
        <f t="shared" si="31"/>
        <v>0</v>
      </c>
      <c r="AX117" s="3929">
        <f t="shared" si="31"/>
        <v>0</v>
      </c>
      <c r="AY117" s="3929">
        <f t="shared" si="18"/>
        <v>-2509.6699999999983</v>
      </c>
      <c r="AZ117" s="3915" t="s">
        <v>4021</v>
      </c>
    </row>
    <row r="118" spans="1:52" s="3931" customFormat="1" ht="60" customHeight="1">
      <c r="A118" s="3910" t="s">
        <v>3693</v>
      </c>
      <c r="B118" s="3911" t="s">
        <v>3742</v>
      </c>
      <c r="C118" s="3912" t="s">
        <v>3743</v>
      </c>
      <c r="D118" s="3912" t="s">
        <v>3744</v>
      </c>
      <c r="E118" s="3913">
        <v>44835</v>
      </c>
      <c r="F118" s="3913">
        <v>45565</v>
      </c>
      <c r="G118" s="3914">
        <f t="shared" si="19"/>
        <v>2</v>
      </c>
      <c r="H118" s="3915" t="s">
        <v>4093</v>
      </c>
      <c r="I118" s="3916">
        <v>22.6</v>
      </c>
      <c r="J118" s="3917">
        <v>8.6999999999999993</v>
      </c>
      <c r="K118" s="3918">
        <v>2</v>
      </c>
      <c r="L118" s="3918">
        <v>2.8</v>
      </c>
      <c r="M118" s="3919">
        <f t="shared" si="28"/>
        <v>13.5</v>
      </c>
      <c r="N118" s="3920">
        <v>90</v>
      </c>
      <c r="O118" s="3921">
        <f t="shared" si="29"/>
        <v>17695.8</v>
      </c>
      <c r="P118" s="3921">
        <f t="shared" si="29"/>
        <v>4068.0000000000005</v>
      </c>
      <c r="Q118" s="3921">
        <f t="shared" si="29"/>
        <v>5695.2</v>
      </c>
      <c r="R118" s="3922">
        <v>0</v>
      </c>
      <c r="S118" s="3923">
        <v>150</v>
      </c>
      <c r="T118" s="3923">
        <v>0</v>
      </c>
      <c r="U118" s="3923">
        <v>0</v>
      </c>
      <c r="V118" s="3924">
        <f t="shared" si="21"/>
        <v>27609</v>
      </c>
      <c r="W118" s="3925">
        <v>1180</v>
      </c>
      <c r="X118" s="3925">
        <v>271</v>
      </c>
      <c r="Y118" s="3925">
        <v>380</v>
      </c>
      <c r="Z118" s="3925"/>
      <c r="AA118" s="3925"/>
      <c r="AB118" s="3926"/>
      <c r="AC118" s="3927">
        <f t="shared" si="22"/>
        <v>1831</v>
      </c>
      <c r="AD118" s="3926">
        <f t="shared" si="30"/>
        <v>16515.8</v>
      </c>
      <c r="AE118" s="3926">
        <f t="shared" si="30"/>
        <v>3797.0000000000005</v>
      </c>
      <c r="AF118" s="3926">
        <f t="shared" si="30"/>
        <v>5315.2</v>
      </c>
      <c r="AG118" s="3926">
        <f t="shared" si="30"/>
        <v>0</v>
      </c>
      <c r="AH118" s="3926">
        <f t="shared" si="30"/>
        <v>150</v>
      </c>
      <c r="AI118" s="3926">
        <f t="shared" si="30"/>
        <v>0</v>
      </c>
      <c r="AJ118" s="3926">
        <f t="shared" si="23"/>
        <v>0</v>
      </c>
      <c r="AK118" s="3928">
        <f t="shared" si="24"/>
        <v>25778</v>
      </c>
      <c r="AL118" s="3929">
        <f>SUMIF([3]租约表对应的会计账!$C$5:$C$164,B118,[3]租约表对应的会计账!$D$5:$D$164)</f>
        <v>16516</v>
      </c>
      <c r="AM118" s="3930">
        <f>SUMIF([3]租约表对应的会计账!$H$5:$H$164,B118,[3]租约表对应的会计账!$I$5:$I$164)</f>
        <v>3797</v>
      </c>
      <c r="AN118" s="3929">
        <f>SUMIF([3]租约表对应的会计账!$S$5:$S$164,B118,[3]租约表对应的会计账!$T$5:$T$164)</f>
        <v>5315</v>
      </c>
      <c r="AO118" s="3929">
        <f>SUMIF([3]租约表对应的会计账!$X$5:$X$164,B118,[3]租约表对应的会计账!$Y$5:$Y$164)</f>
        <v>0</v>
      </c>
      <c r="AP118" s="3929">
        <f>SUMIF([3]租约表对应的会计账!$AC$5:$AC$164,[3]租约表!B118,[3]租约表对应的会计账!$AD$5:$AD$164)</f>
        <v>150</v>
      </c>
      <c r="AQ118" s="3929">
        <f>SUMIF([3]租约表对应的会计账!$AH$5:$AH$164,[3]租约表!B118,[3]租约表对应的会计账!$AI$5:$AI$164)</f>
        <v>0</v>
      </c>
      <c r="AR118" s="3929">
        <f t="shared" si="25"/>
        <v>25778</v>
      </c>
      <c r="AS118" s="3929">
        <f t="shared" si="31"/>
        <v>-0.2000000000007276</v>
      </c>
      <c r="AT118" s="3929">
        <f t="shared" si="31"/>
        <v>0</v>
      </c>
      <c r="AU118" s="3929">
        <f t="shared" si="31"/>
        <v>0.1999999999998181</v>
      </c>
      <c r="AV118" s="3929">
        <f t="shared" si="31"/>
        <v>0</v>
      </c>
      <c r="AW118" s="3929">
        <f t="shared" si="31"/>
        <v>0</v>
      </c>
      <c r="AX118" s="3929">
        <f t="shared" si="31"/>
        <v>0</v>
      </c>
      <c r="AY118" s="3929">
        <f t="shared" si="18"/>
        <v>-9.0949470177292824E-13</v>
      </c>
      <c r="AZ118" s="3915" t="s">
        <v>3967</v>
      </c>
    </row>
    <row r="119" spans="1:52" s="3931" customFormat="1" ht="60" customHeight="1">
      <c r="A119" s="3910" t="s">
        <v>3693</v>
      </c>
      <c r="B119" s="3911" t="s">
        <v>3745</v>
      </c>
      <c r="C119" s="3912" t="s">
        <v>3746</v>
      </c>
      <c r="D119" s="3912" t="s">
        <v>3747</v>
      </c>
      <c r="E119" s="3913">
        <v>44287</v>
      </c>
      <c r="F119" s="3912">
        <v>45747</v>
      </c>
      <c r="G119" s="3914">
        <f t="shared" si="19"/>
        <v>4</v>
      </c>
      <c r="H119" s="3915" t="s">
        <v>4094</v>
      </c>
      <c r="I119" s="3916">
        <v>28.7</v>
      </c>
      <c r="J119" s="3917">
        <v>8.4</v>
      </c>
      <c r="K119" s="3918">
        <v>2</v>
      </c>
      <c r="L119" s="3918">
        <v>2.8</v>
      </c>
      <c r="M119" s="3919">
        <f t="shared" si="28"/>
        <v>13.2</v>
      </c>
      <c r="N119" s="3920">
        <v>90</v>
      </c>
      <c r="O119" s="3921">
        <f t="shared" si="29"/>
        <v>21697.200000000001</v>
      </c>
      <c r="P119" s="3921">
        <f t="shared" si="29"/>
        <v>5166</v>
      </c>
      <c r="Q119" s="3921">
        <f t="shared" si="29"/>
        <v>7232.4</v>
      </c>
      <c r="R119" s="3922">
        <v>2500</v>
      </c>
      <c r="S119" s="3923">
        <v>3150</v>
      </c>
      <c r="T119" s="3923">
        <v>1800</v>
      </c>
      <c r="U119" s="3923">
        <v>0</v>
      </c>
      <c r="V119" s="3924">
        <f t="shared" si="21"/>
        <v>41545.599999999999</v>
      </c>
      <c r="W119" s="3925">
        <v>1446</v>
      </c>
      <c r="X119" s="3925">
        <v>344</v>
      </c>
      <c r="Y119" s="3925">
        <v>643</v>
      </c>
      <c r="Z119" s="3925"/>
      <c r="AA119" s="3925"/>
      <c r="AB119" s="3926"/>
      <c r="AC119" s="3927">
        <f t="shared" si="22"/>
        <v>2433</v>
      </c>
      <c r="AD119" s="3926">
        <f t="shared" si="30"/>
        <v>20251.2</v>
      </c>
      <c r="AE119" s="3926">
        <f t="shared" si="30"/>
        <v>4822</v>
      </c>
      <c r="AF119" s="3926">
        <f t="shared" si="30"/>
        <v>6589.4</v>
      </c>
      <c r="AG119" s="3926">
        <f t="shared" si="30"/>
        <v>2500</v>
      </c>
      <c r="AH119" s="3926">
        <f t="shared" si="30"/>
        <v>3150</v>
      </c>
      <c r="AI119" s="3926">
        <f t="shared" si="30"/>
        <v>1800</v>
      </c>
      <c r="AJ119" s="3926">
        <f t="shared" si="23"/>
        <v>0</v>
      </c>
      <c r="AK119" s="3928">
        <f t="shared" si="24"/>
        <v>39112.6</v>
      </c>
      <c r="AL119" s="3929">
        <f>SUMIF([3]租约表对应的会计账!$C$5:$C$164,B119,[3]租约表对应的会计账!$D$5:$D$164)</f>
        <v>21697</v>
      </c>
      <c r="AM119" s="3930">
        <f>SUMIF([3]租约表对应的会计账!$H$5:$H$164,B119,[3]租约表对应的会计账!$I$5:$I$164)</f>
        <v>5166</v>
      </c>
      <c r="AN119" s="3929">
        <f>SUMIF([3]租约表对应的会计账!$S$5:$S$164,B119,[3]租约表对应的会计账!$T$5:$T$164)</f>
        <v>7232</v>
      </c>
      <c r="AO119" s="3929">
        <f>SUMIF([3]租约表对应的会计账!$X$5:$X$164,B119,[3]租约表对应的会计账!$Y$5:$Y$164)</f>
        <v>2500</v>
      </c>
      <c r="AP119" s="3929">
        <f>SUMIF([3]租约表对应的会计账!$AC$5:$AC$164,[3]租约表!B119,[3]租约表对应的会计账!$AD$5:$AD$164)</f>
        <v>3150</v>
      </c>
      <c r="AQ119" s="3929">
        <f>SUMIF([3]租约表对应的会计账!$AH$5:$AH$164,[3]租约表!B119,[3]租约表对应的会计账!$AI$5:$AI$164)</f>
        <v>1800</v>
      </c>
      <c r="AR119" s="3929">
        <f t="shared" si="25"/>
        <v>41545</v>
      </c>
      <c r="AS119" s="3929">
        <f t="shared" si="31"/>
        <v>-1445.7999999999993</v>
      </c>
      <c r="AT119" s="3929">
        <f t="shared" si="31"/>
        <v>-344</v>
      </c>
      <c r="AU119" s="3929">
        <f t="shared" si="31"/>
        <v>-642.60000000000036</v>
      </c>
      <c r="AV119" s="3929">
        <f t="shared" si="31"/>
        <v>0</v>
      </c>
      <c r="AW119" s="3929">
        <f t="shared" si="31"/>
        <v>0</v>
      </c>
      <c r="AX119" s="3929">
        <f t="shared" si="31"/>
        <v>0</v>
      </c>
      <c r="AY119" s="3929">
        <f t="shared" si="18"/>
        <v>-2432.3999999999996</v>
      </c>
      <c r="AZ119" s="3915" t="s">
        <v>4021</v>
      </c>
    </row>
    <row r="120" spans="1:52" s="3931" customFormat="1" ht="60" customHeight="1">
      <c r="A120" s="3910" t="s">
        <v>3693</v>
      </c>
      <c r="B120" s="3911" t="s">
        <v>3748</v>
      </c>
      <c r="C120" s="3912" t="s">
        <v>3749</v>
      </c>
      <c r="D120" s="3912" t="s">
        <v>3683</v>
      </c>
      <c r="E120" s="3913">
        <v>44058</v>
      </c>
      <c r="F120" s="3913">
        <v>45199</v>
      </c>
      <c r="G120" s="3914">
        <f t="shared" si="19"/>
        <v>3.1260273972602741</v>
      </c>
      <c r="H120" s="3915" t="s">
        <v>4095</v>
      </c>
      <c r="I120" s="3916">
        <v>298.88</v>
      </c>
      <c r="J120" s="3917">
        <v>3.36</v>
      </c>
      <c r="K120" s="3918">
        <v>2</v>
      </c>
      <c r="L120" s="3918">
        <v>2.8</v>
      </c>
      <c r="M120" s="3919">
        <f t="shared" si="28"/>
        <v>8.16</v>
      </c>
      <c r="N120" s="3920">
        <v>90</v>
      </c>
      <c r="O120" s="3921">
        <f t="shared" si="29"/>
        <v>90381.311999999991</v>
      </c>
      <c r="P120" s="3921">
        <f t="shared" si="29"/>
        <v>53798.400000000001</v>
      </c>
      <c r="Q120" s="3921">
        <f t="shared" si="29"/>
        <v>75317.759999999995</v>
      </c>
      <c r="R120" s="3922">
        <v>2500</v>
      </c>
      <c r="S120" s="3923">
        <v>4350</v>
      </c>
      <c r="T120" s="3923">
        <v>1800</v>
      </c>
      <c r="U120" s="3923">
        <v>0</v>
      </c>
      <c r="V120" s="3924">
        <f t="shared" si="21"/>
        <v>228147.47200000001</v>
      </c>
      <c r="W120" s="3925">
        <v>21089</v>
      </c>
      <c r="X120" s="3925">
        <v>3587</v>
      </c>
      <c r="Y120" s="3925">
        <v>6695</v>
      </c>
      <c r="Z120" s="3925"/>
      <c r="AA120" s="3925"/>
      <c r="AB120" s="3926"/>
      <c r="AC120" s="3927">
        <f t="shared" si="22"/>
        <v>31371</v>
      </c>
      <c r="AD120" s="3926">
        <f t="shared" si="30"/>
        <v>69292.311999999991</v>
      </c>
      <c r="AE120" s="3926">
        <f t="shared" si="30"/>
        <v>50211.4</v>
      </c>
      <c r="AF120" s="3926">
        <f t="shared" si="30"/>
        <v>68622.759999999995</v>
      </c>
      <c r="AG120" s="3926">
        <f t="shared" si="30"/>
        <v>2500</v>
      </c>
      <c r="AH120" s="3926">
        <f t="shared" si="30"/>
        <v>4350</v>
      </c>
      <c r="AI120" s="3926">
        <f t="shared" si="30"/>
        <v>1800</v>
      </c>
      <c r="AJ120" s="3926">
        <f t="shared" si="23"/>
        <v>0</v>
      </c>
      <c r="AK120" s="3928">
        <f t="shared" si="24"/>
        <v>196776.47200000001</v>
      </c>
      <c r="AL120" s="3929">
        <f>SUMIF([3]租约表对应的会计账!$C$5:$C$164,B120,[3]租约表对应的会计账!$D$5:$D$164)</f>
        <v>87151</v>
      </c>
      <c r="AM120" s="3930">
        <f>SUMIF([3]租约表对应的会计账!$H$5:$H$164,B120,[3]租约表对应的会计账!$I$5:$I$164)</f>
        <v>50211</v>
      </c>
      <c r="AN120" s="3929">
        <f>SUMIF([3]租约表对应的会计账!$S$5:$S$164,B120,[3]租约表对应的会计账!$T$5:$T$164)</f>
        <v>74449</v>
      </c>
      <c r="AO120" s="3929">
        <f>SUMIF([3]租约表对应的会计账!$X$5:$X$164,B120,[3]租约表对应的会计账!$Y$5:$Y$164)</f>
        <v>2500</v>
      </c>
      <c r="AP120" s="3929">
        <f>SUMIF([3]租约表对应的会计账!$AC$5:$AC$164,[3]租约表!B120,[3]租约表对应的会计账!$AD$5:$AD$164)</f>
        <v>4350</v>
      </c>
      <c r="AQ120" s="3929">
        <f>SUMIF([3]租约表对应的会计账!$AH$5:$AH$164,[3]租约表!B120,[3]租约表对应的会计账!$AI$5:$AI$164)</f>
        <v>1800</v>
      </c>
      <c r="AR120" s="3929">
        <f t="shared" si="25"/>
        <v>220461</v>
      </c>
      <c r="AS120" s="3929">
        <f t="shared" si="31"/>
        <v>-17858.688000000009</v>
      </c>
      <c r="AT120" s="3929">
        <f t="shared" si="31"/>
        <v>0.40000000000145519</v>
      </c>
      <c r="AU120" s="3929">
        <f t="shared" si="31"/>
        <v>-5826.2400000000052</v>
      </c>
      <c r="AV120" s="3929">
        <f t="shared" si="31"/>
        <v>0</v>
      </c>
      <c r="AW120" s="3929">
        <f t="shared" si="31"/>
        <v>0</v>
      </c>
      <c r="AX120" s="3929">
        <f t="shared" si="31"/>
        <v>0</v>
      </c>
      <c r="AY120" s="3929">
        <f t="shared" si="18"/>
        <v>-23684.528000000013</v>
      </c>
      <c r="AZ120" s="3915"/>
    </row>
    <row r="121" spans="1:52" s="3931" customFormat="1" ht="60" customHeight="1">
      <c r="A121" s="3910" t="s">
        <v>3693</v>
      </c>
      <c r="B121" s="3911" t="s">
        <v>3750</v>
      </c>
      <c r="C121" s="3912" t="s">
        <v>3751</v>
      </c>
      <c r="D121" s="3912" t="s">
        <v>3713</v>
      </c>
      <c r="E121" s="3913">
        <v>44470</v>
      </c>
      <c r="F121" s="3913">
        <v>45565</v>
      </c>
      <c r="G121" s="3914">
        <f t="shared" si="19"/>
        <v>3</v>
      </c>
      <c r="H121" s="3915" t="s">
        <v>4096</v>
      </c>
      <c r="I121" s="3916">
        <v>164.16</v>
      </c>
      <c r="J121" s="3917">
        <v>4.2</v>
      </c>
      <c r="K121" s="3918">
        <v>2</v>
      </c>
      <c r="L121" s="3918">
        <v>2.8</v>
      </c>
      <c r="M121" s="3919">
        <f t="shared" si="28"/>
        <v>9</v>
      </c>
      <c r="N121" s="3920">
        <v>90</v>
      </c>
      <c r="O121" s="3921">
        <f t="shared" si="29"/>
        <v>62052.479999999996</v>
      </c>
      <c r="P121" s="3921">
        <f t="shared" si="29"/>
        <v>29548.799999999999</v>
      </c>
      <c r="Q121" s="3921">
        <f t="shared" si="29"/>
        <v>41368.32</v>
      </c>
      <c r="R121" s="3922">
        <v>2500</v>
      </c>
      <c r="S121" s="3923">
        <v>3750</v>
      </c>
      <c r="T121" s="3923">
        <v>0</v>
      </c>
      <c r="U121" s="3923">
        <v>0</v>
      </c>
      <c r="V121" s="3924">
        <f t="shared" si="21"/>
        <v>139219.6</v>
      </c>
      <c r="W121" s="3925">
        <v>4137</v>
      </c>
      <c r="X121" s="3925">
        <v>1970</v>
      </c>
      <c r="Y121" s="3925">
        <v>2758</v>
      </c>
      <c r="Z121" s="3925"/>
      <c r="AA121" s="3925"/>
      <c r="AB121" s="3926"/>
      <c r="AC121" s="3927">
        <f t="shared" si="22"/>
        <v>8865</v>
      </c>
      <c r="AD121" s="3926">
        <f t="shared" si="30"/>
        <v>57915.479999999996</v>
      </c>
      <c r="AE121" s="3926">
        <f t="shared" si="30"/>
        <v>27578.799999999999</v>
      </c>
      <c r="AF121" s="3926">
        <f t="shared" si="30"/>
        <v>38610.32</v>
      </c>
      <c r="AG121" s="3926">
        <f t="shared" si="30"/>
        <v>2500</v>
      </c>
      <c r="AH121" s="3926">
        <f t="shared" si="30"/>
        <v>3750</v>
      </c>
      <c r="AI121" s="3926">
        <f t="shared" si="30"/>
        <v>0</v>
      </c>
      <c r="AJ121" s="3926">
        <f t="shared" si="23"/>
        <v>0</v>
      </c>
      <c r="AK121" s="3928">
        <f t="shared" si="24"/>
        <v>130354.6</v>
      </c>
      <c r="AL121" s="3929">
        <f>SUMIF([3]租约表对应的会计账!$C$5:$C$164,B121,[3]租约表对应的会计账!$D$5:$D$164)</f>
        <v>57916</v>
      </c>
      <c r="AM121" s="3930">
        <f>SUMIF([3]租约表对应的会计账!$H$5:$H$164,B121,[3]租约表对应的会计账!$I$5:$I$164)</f>
        <v>27579</v>
      </c>
      <c r="AN121" s="3929">
        <f>SUMIF([3]租约表对应的会计账!$S$5:$S$164,B121,[3]租约表对应的会计账!$T$5:$T$164)</f>
        <v>38610</v>
      </c>
      <c r="AO121" s="3929">
        <f>SUMIF([3]租约表对应的会计账!$X$5:$X$164,B121,[3]租约表对应的会计账!$Y$5:$Y$164)</f>
        <v>2500</v>
      </c>
      <c r="AP121" s="3929">
        <f>SUMIF([3]租约表对应的会计账!$AC$5:$AC$164,[3]租约表!B121,[3]租约表对应的会计账!$AD$5:$AD$164)</f>
        <v>3750</v>
      </c>
      <c r="AQ121" s="3929">
        <f>SUMIF([3]租约表对应的会计账!$AH$5:$AH$164,[3]租约表!B121,[3]租约表对应的会计账!$AI$5:$AI$164)</f>
        <v>0</v>
      </c>
      <c r="AR121" s="3929">
        <f t="shared" si="25"/>
        <v>130355</v>
      </c>
      <c r="AS121" s="3929">
        <f t="shared" si="31"/>
        <v>-0.52000000000407454</v>
      </c>
      <c r="AT121" s="3929">
        <f t="shared" si="31"/>
        <v>-0.2000000000007276</v>
      </c>
      <c r="AU121" s="3929">
        <f t="shared" si="31"/>
        <v>0.31999999999970896</v>
      </c>
      <c r="AV121" s="3929">
        <f t="shared" si="31"/>
        <v>0</v>
      </c>
      <c r="AW121" s="3929">
        <f t="shared" si="31"/>
        <v>0</v>
      </c>
      <c r="AX121" s="3929">
        <f t="shared" si="31"/>
        <v>0</v>
      </c>
      <c r="AY121" s="3929">
        <f t="shared" si="18"/>
        <v>-0.40000000000509317</v>
      </c>
      <c r="AZ121" s="3915" t="s">
        <v>3967</v>
      </c>
    </row>
    <row r="122" spans="1:52" s="3931" customFormat="1" ht="60" customHeight="1">
      <c r="A122" s="3910" t="s">
        <v>3693</v>
      </c>
      <c r="B122" s="3911" t="s">
        <v>3752</v>
      </c>
      <c r="C122" s="3912" t="s">
        <v>3753</v>
      </c>
      <c r="D122" s="3912" t="s">
        <v>3754</v>
      </c>
      <c r="E122" s="3913">
        <v>44287</v>
      </c>
      <c r="F122" s="3912">
        <v>45747</v>
      </c>
      <c r="G122" s="3914">
        <f t="shared" si="19"/>
        <v>4</v>
      </c>
      <c r="H122" s="3915" t="s">
        <v>4097</v>
      </c>
      <c r="I122" s="3916">
        <v>328.68</v>
      </c>
      <c r="J122" s="3917">
        <v>3.2</v>
      </c>
      <c r="K122" s="3918">
        <v>2</v>
      </c>
      <c r="L122" s="3918">
        <v>2.8</v>
      </c>
      <c r="M122" s="3919">
        <f t="shared" si="28"/>
        <v>8</v>
      </c>
      <c r="N122" s="3920">
        <v>90</v>
      </c>
      <c r="O122" s="3921">
        <f t="shared" si="29"/>
        <v>94659.840000000011</v>
      </c>
      <c r="P122" s="3921">
        <f t="shared" si="29"/>
        <v>59162.400000000001</v>
      </c>
      <c r="Q122" s="3921">
        <f t="shared" si="29"/>
        <v>82827.360000000001</v>
      </c>
      <c r="R122" s="3922">
        <v>2500</v>
      </c>
      <c r="S122" s="3923">
        <v>150</v>
      </c>
      <c r="T122" s="3923">
        <v>0</v>
      </c>
      <c r="U122" s="3923">
        <v>0</v>
      </c>
      <c r="V122" s="3924">
        <f t="shared" si="21"/>
        <v>239299.60000000003</v>
      </c>
      <c r="W122" s="3925">
        <v>6311</v>
      </c>
      <c r="X122" s="3925">
        <v>3944</v>
      </c>
      <c r="Y122" s="3925">
        <v>5522</v>
      </c>
      <c r="Z122" s="3925"/>
      <c r="AA122" s="3925"/>
      <c r="AB122" s="3926"/>
      <c r="AC122" s="3927">
        <f t="shared" si="22"/>
        <v>15777</v>
      </c>
      <c r="AD122" s="3926">
        <f t="shared" si="30"/>
        <v>88348.840000000011</v>
      </c>
      <c r="AE122" s="3926">
        <f t="shared" si="30"/>
        <v>55218.400000000001</v>
      </c>
      <c r="AF122" s="3926">
        <f t="shared" si="30"/>
        <v>77305.36</v>
      </c>
      <c r="AG122" s="3926">
        <f t="shared" si="30"/>
        <v>2500</v>
      </c>
      <c r="AH122" s="3926">
        <f t="shared" si="30"/>
        <v>150</v>
      </c>
      <c r="AI122" s="3926">
        <f t="shared" si="30"/>
        <v>0</v>
      </c>
      <c r="AJ122" s="3926">
        <f t="shared" si="23"/>
        <v>0</v>
      </c>
      <c r="AK122" s="3928">
        <f t="shared" si="24"/>
        <v>223522.60000000003</v>
      </c>
      <c r="AL122" s="3929">
        <f>SUMIF([3]租约表对应的会计账!$C$5:$C$164,B122,[3]租约表对应的会计账!$D$5:$D$164)</f>
        <v>88349</v>
      </c>
      <c r="AM122" s="3930">
        <f>SUMIF([3]租约表对应的会计账!$H$5:$H$164,B122,[3]租约表对应的会计账!$I$5:$I$164)</f>
        <v>55218</v>
      </c>
      <c r="AN122" s="3929">
        <f>SUMIF([3]租约表对应的会计账!$S$5:$S$164,B122,[3]租约表对应的会计账!$T$5:$T$164)</f>
        <v>77304.990000000005</v>
      </c>
      <c r="AO122" s="3929">
        <f>SUMIF([3]租约表对应的会计账!$X$5:$X$164,B122,[3]租约表对应的会计账!$Y$5:$Y$164)</f>
        <v>2500.0100000000002</v>
      </c>
      <c r="AP122" s="3929">
        <f>SUMIF([3]租约表对应的会计账!$AC$5:$AC$164,[3]租约表!B122,[3]租约表对应的会计账!$AD$5:$AD$164)</f>
        <v>150</v>
      </c>
      <c r="AQ122" s="3929">
        <f>SUMIF([3]租约表对应的会计账!$AH$5:$AH$164,[3]租约表!B122,[3]租约表对应的会计账!$AI$5:$AI$164)</f>
        <v>0</v>
      </c>
      <c r="AR122" s="3929">
        <f t="shared" si="25"/>
        <v>223522</v>
      </c>
      <c r="AS122" s="3929">
        <f t="shared" si="31"/>
        <v>-0.15999999998894054</v>
      </c>
      <c r="AT122" s="3929">
        <f t="shared" si="31"/>
        <v>0.40000000000145519</v>
      </c>
      <c r="AU122" s="3929">
        <f t="shared" si="31"/>
        <v>0.36999999999534339</v>
      </c>
      <c r="AV122" s="3929">
        <f t="shared" si="31"/>
        <v>-1.0000000000218279E-2</v>
      </c>
      <c r="AW122" s="3929">
        <f t="shared" si="31"/>
        <v>0</v>
      </c>
      <c r="AX122" s="3929">
        <f t="shared" si="31"/>
        <v>0</v>
      </c>
      <c r="AY122" s="3929">
        <f t="shared" si="18"/>
        <v>0.60000000000763976</v>
      </c>
      <c r="AZ122" s="3915" t="s">
        <v>3967</v>
      </c>
    </row>
    <row r="123" spans="1:52" s="3931" customFormat="1" ht="60" customHeight="1">
      <c r="A123" s="3910" t="s">
        <v>3755</v>
      </c>
      <c r="B123" s="3911" t="s">
        <v>3756</v>
      </c>
      <c r="C123" s="3912" t="s">
        <v>3618</v>
      </c>
      <c r="D123" s="3912" t="s">
        <v>3757</v>
      </c>
      <c r="E123" s="3913">
        <v>43419</v>
      </c>
      <c r="F123" s="3913">
        <v>45199</v>
      </c>
      <c r="G123" s="3914">
        <f t="shared" si="19"/>
        <v>4.8767123287671232</v>
      </c>
      <c r="H123" s="3915" t="s">
        <v>4098</v>
      </c>
      <c r="I123" s="3916">
        <v>149.80000000000001</v>
      </c>
      <c r="J123" s="3917">
        <v>4</v>
      </c>
      <c r="K123" s="3918">
        <v>2</v>
      </c>
      <c r="L123" s="3918">
        <v>2.8</v>
      </c>
      <c r="M123" s="3919">
        <f t="shared" si="28"/>
        <v>8.8000000000000007</v>
      </c>
      <c r="N123" s="3920">
        <v>90</v>
      </c>
      <c r="O123" s="3921">
        <f t="shared" si="29"/>
        <v>53928.000000000007</v>
      </c>
      <c r="P123" s="3921">
        <f t="shared" si="29"/>
        <v>26964.000000000004</v>
      </c>
      <c r="Q123" s="3921">
        <f t="shared" si="29"/>
        <v>37749.599999999999</v>
      </c>
      <c r="R123" s="3922">
        <v>2500</v>
      </c>
      <c r="S123" s="3923">
        <v>150</v>
      </c>
      <c r="T123" s="3923">
        <v>0</v>
      </c>
      <c r="U123" s="3923">
        <v>0</v>
      </c>
      <c r="V123" s="3924">
        <f t="shared" si="21"/>
        <v>121291.6</v>
      </c>
      <c r="W123" s="3925">
        <v>13662</v>
      </c>
      <c r="X123" s="3925">
        <v>1798</v>
      </c>
      <c r="Y123" s="3925">
        <v>2517</v>
      </c>
      <c r="Z123" s="3925"/>
      <c r="AA123" s="3925"/>
      <c r="AB123" s="3926"/>
      <c r="AC123" s="3927">
        <f t="shared" si="22"/>
        <v>17977</v>
      </c>
      <c r="AD123" s="3926">
        <f t="shared" si="30"/>
        <v>40266.000000000007</v>
      </c>
      <c r="AE123" s="3926">
        <f t="shared" si="30"/>
        <v>25166.000000000004</v>
      </c>
      <c r="AF123" s="3926">
        <f t="shared" si="30"/>
        <v>35232.6</v>
      </c>
      <c r="AG123" s="3926">
        <f t="shared" si="30"/>
        <v>2500</v>
      </c>
      <c r="AH123" s="3926">
        <f t="shared" si="30"/>
        <v>150</v>
      </c>
      <c r="AI123" s="3926">
        <f t="shared" si="30"/>
        <v>0</v>
      </c>
      <c r="AJ123" s="3926">
        <f t="shared" si="23"/>
        <v>0</v>
      </c>
      <c r="AK123" s="3928">
        <f t="shared" si="24"/>
        <v>103314.6</v>
      </c>
      <c r="AL123" s="3929">
        <f>SUMIF([3]租约表对应的会计账!$C$5:$C$164,B123,[3]租约表对应的会计账!$D$5:$D$164)</f>
        <v>40266</v>
      </c>
      <c r="AM123" s="3930">
        <f>SUMIF([3]租约表对应的会计账!$H$5:$H$164,B123,[3]租约表对应的会计账!$I$5:$I$164)</f>
        <v>25166</v>
      </c>
      <c r="AN123" s="3929">
        <f>SUMIF([3]租约表对应的会计账!$S$5:$S$164,B123,[3]租约表对应的会计账!$T$5:$T$164)</f>
        <v>35233</v>
      </c>
      <c r="AO123" s="3929">
        <f>SUMIF([3]租约表对应的会计账!$X$5:$X$164,B123,[3]租约表对应的会计账!$Y$5:$Y$164)</f>
        <v>2500</v>
      </c>
      <c r="AP123" s="3929">
        <f>SUMIF([3]租约表对应的会计账!$AC$5:$AC$164,[3]租约表!B123,[3]租约表对应的会计账!$AD$5:$AD$164)</f>
        <v>150</v>
      </c>
      <c r="AQ123" s="3929">
        <f>SUMIF([3]租约表对应的会计账!$AH$5:$AH$164,[3]租约表!B123,[3]租约表对应的会计账!$AI$5:$AI$164)</f>
        <v>0</v>
      </c>
      <c r="AR123" s="3929">
        <f t="shared" si="25"/>
        <v>103315</v>
      </c>
      <c r="AS123" s="3929">
        <f t="shared" si="31"/>
        <v>0</v>
      </c>
      <c r="AT123" s="3929">
        <f t="shared" si="31"/>
        <v>0</v>
      </c>
      <c r="AU123" s="3929">
        <f t="shared" si="31"/>
        <v>-0.40000000000145519</v>
      </c>
      <c r="AV123" s="3929">
        <f t="shared" si="31"/>
        <v>0</v>
      </c>
      <c r="AW123" s="3929">
        <f t="shared" si="31"/>
        <v>0</v>
      </c>
      <c r="AX123" s="3929">
        <f t="shared" si="31"/>
        <v>0</v>
      </c>
      <c r="AY123" s="3929">
        <f t="shared" si="18"/>
        <v>-0.40000000000145519</v>
      </c>
      <c r="AZ123" s="3915" t="s">
        <v>3967</v>
      </c>
    </row>
    <row r="124" spans="1:52" s="3931" customFormat="1" ht="60" customHeight="1">
      <c r="A124" s="3910" t="s">
        <v>3755</v>
      </c>
      <c r="B124" s="3911" t="s">
        <v>3758</v>
      </c>
      <c r="C124" s="3912" t="s">
        <v>3759</v>
      </c>
      <c r="D124" s="3912" t="s">
        <v>3760</v>
      </c>
      <c r="E124" s="3913">
        <v>44287</v>
      </c>
      <c r="F124" s="3912">
        <v>45382</v>
      </c>
      <c r="G124" s="3914">
        <f t="shared" si="19"/>
        <v>3</v>
      </c>
      <c r="H124" s="3915" t="s">
        <v>4099</v>
      </c>
      <c r="I124" s="3916">
        <v>25.2</v>
      </c>
      <c r="J124" s="3917">
        <v>6.7</v>
      </c>
      <c r="K124" s="3918">
        <v>2</v>
      </c>
      <c r="L124" s="3918">
        <v>2.8</v>
      </c>
      <c r="M124" s="3919">
        <f t="shared" si="28"/>
        <v>11.5</v>
      </c>
      <c r="N124" s="3920">
        <v>90</v>
      </c>
      <c r="O124" s="3921">
        <f t="shared" si="29"/>
        <v>15195.6</v>
      </c>
      <c r="P124" s="3921">
        <f t="shared" si="29"/>
        <v>4536</v>
      </c>
      <c r="Q124" s="3921">
        <f t="shared" si="29"/>
        <v>6350.3999999999987</v>
      </c>
      <c r="R124" s="3922">
        <v>2500</v>
      </c>
      <c r="S124" s="3923">
        <v>150</v>
      </c>
      <c r="T124" s="3923">
        <v>0</v>
      </c>
      <c r="U124" s="3923">
        <v>0</v>
      </c>
      <c r="V124" s="3924">
        <f t="shared" si="21"/>
        <v>28731.999999999996</v>
      </c>
      <c r="W124" s="3925">
        <v>1013</v>
      </c>
      <c r="X124" s="3925">
        <v>302</v>
      </c>
      <c r="Y124" s="3925">
        <v>423</v>
      </c>
      <c r="Z124" s="3925"/>
      <c r="AA124" s="3925"/>
      <c r="AB124" s="3926"/>
      <c r="AC124" s="3927">
        <f t="shared" si="22"/>
        <v>1738</v>
      </c>
      <c r="AD124" s="3926">
        <f t="shared" si="30"/>
        <v>14182.6</v>
      </c>
      <c r="AE124" s="3926">
        <f t="shared" si="30"/>
        <v>4234</v>
      </c>
      <c r="AF124" s="3926">
        <f t="shared" si="30"/>
        <v>5927.3999999999987</v>
      </c>
      <c r="AG124" s="3926">
        <f t="shared" si="30"/>
        <v>2500</v>
      </c>
      <c r="AH124" s="3926">
        <f t="shared" si="30"/>
        <v>150</v>
      </c>
      <c r="AI124" s="3926">
        <f t="shared" si="30"/>
        <v>0</v>
      </c>
      <c r="AJ124" s="3926">
        <f t="shared" si="23"/>
        <v>0</v>
      </c>
      <c r="AK124" s="3928">
        <f t="shared" si="24"/>
        <v>26993.999999999996</v>
      </c>
      <c r="AL124" s="3929">
        <f>SUMIF([3]租约表对应的会计账!$C$5:$C$164,B124,[3]租约表对应的会计账!$D$5:$D$164)</f>
        <v>14183</v>
      </c>
      <c r="AM124" s="3930">
        <f>SUMIF([3]租约表对应的会计账!$H$5:$H$164,B124,[3]租约表对应的会计账!$I$5:$I$164)</f>
        <v>4234</v>
      </c>
      <c r="AN124" s="3929">
        <f>SUMIF([3]租约表对应的会计账!$S$5:$S$164,B124,[3]租约表对应的会计账!$T$5:$T$164)</f>
        <v>5927</v>
      </c>
      <c r="AO124" s="3929">
        <f>SUMIF([3]租约表对应的会计账!$X$5:$X$164,B124,[3]租约表对应的会计账!$Y$5:$Y$164)</f>
        <v>2500</v>
      </c>
      <c r="AP124" s="3929">
        <f>SUMIF([3]租约表对应的会计账!$AC$5:$AC$164,[3]租约表!B124,[3]租约表对应的会计账!$AD$5:$AD$164)</f>
        <v>150</v>
      </c>
      <c r="AQ124" s="3929">
        <f>SUMIF([3]租约表对应的会计账!$AH$5:$AH$164,[3]租约表!B124,[3]租约表对应的会计账!$AI$5:$AI$164)</f>
        <v>0</v>
      </c>
      <c r="AR124" s="3929">
        <f t="shared" si="25"/>
        <v>26994</v>
      </c>
      <c r="AS124" s="3929">
        <f t="shared" si="31"/>
        <v>-0.3999999999996362</v>
      </c>
      <c r="AT124" s="3929">
        <f t="shared" si="31"/>
        <v>0</v>
      </c>
      <c r="AU124" s="3929">
        <f t="shared" si="31"/>
        <v>0.39999999999872671</v>
      </c>
      <c r="AV124" s="3929">
        <f t="shared" si="31"/>
        <v>0</v>
      </c>
      <c r="AW124" s="3929">
        <f t="shared" si="31"/>
        <v>0</v>
      </c>
      <c r="AX124" s="3929">
        <f t="shared" si="31"/>
        <v>0</v>
      </c>
      <c r="AY124" s="3929">
        <f t="shared" si="18"/>
        <v>-9.0949470177292824E-13</v>
      </c>
      <c r="AZ124" s="3915" t="s">
        <v>3967</v>
      </c>
    </row>
    <row r="125" spans="1:52" s="3931" customFormat="1" ht="60" customHeight="1">
      <c r="A125" s="3910" t="s">
        <v>3755</v>
      </c>
      <c r="B125" s="3934" t="s">
        <v>3761</v>
      </c>
      <c r="C125" s="3912" t="s">
        <v>3762</v>
      </c>
      <c r="D125" s="3912" t="s">
        <v>3763</v>
      </c>
      <c r="E125" s="3913">
        <v>44013</v>
      </c>
      <c r="F125" s="3912">
        <v>45473</v>
      </c>
      <c r="G125" s="3914">
        <f t="shared" si="19"/>
        <v>4</v>
      </c>
      <c r="H125" s="3915" t="s">
        <v>4100</v>
      </c>
      <c r="I125" s="3916">
        <v>144</v>
      </c>
      <c r="J125" s="3917">
        <v>1.77</v>
      </c>
      <c r="K125" s="3918">
        <v>0</v>
      </c>
      <c r="L125" s="3918">
        <v>2.8</v>
      </c>
      <c r="M125" s="3919">
        <f t="shared" si="28"/>
        <v>4.57</v>
      </c>
      <c r="N125" s="3920">
        <v>90</v>
      </c>
      <c r="O125" s="3921">
        <f t="shared" si="29"/>
        <v>22939.200000000001</v>
      </c>
      <c r="P125" s="3921">
        <f t="shared" si="29"/>
        <v>0</v>
      </c>
      <c r="Q125" s="3921">
        <f t="shared" si="29"/>
        <v>36288</v>
      </c>
      <c r="R125" s="3922">
        <v>0</v>
      </c>
      <c r="S125" s="3923">
        <v>150</v>
      </c>
      <c r="T125" s="3923">
        <v>0</v>
      </c>
      <c r="U125" s="3923">
        <v>0</v>
      </c>
      <c r="V125" s="3924">
        <f t="shared" si="21"/>
        <v>59377.2</v>
      </c>
      <c r="W125" s="3925">
        <v>1547</v>
      </c>
      <c r="X125" s="3925">
        <v>0</v>
      </c>
      <c r="Y125" s="3925">
        <v>2419</v>
      </c>
      <c r="Z125" s="3925"/>
      <c r="AA125" s="3925"/>
      <c r="AB125" s="3926"/>
      <c r="AC125" s="3927">
        <f t="shared" si="22"/>
        <v>3966</v>
      </c>
      <c r="AD125" s="3926">
        <f t="shared" si="30"/>
        <v>21392.2</v>
      </c>
      <c r="AE125" s="3926">
        <f t="shared" si="30"/>
        <v>0</v>
      </c>
      <c r="AF125" s="3926">
        <f t="shared" si="30"/>
        <v>33869</v>
      </c>
      <c r="AG125" s="3926">
        <f t="shared" si="30"/>
        <v>0</v>
      </c>
      <c r="AH125" s="3926">
        <f t="shared" si="30"/>
        <v>150</v>
      </c>
      <c r="AI125" s="3926">
        <f t="shared" si="30"/>
        <v>0</v>
      </c>
      <c r="AJ125" s="3926">
        <f t="shared" si="23"/>
        <v>0</v>
      </c>
      <c r="AK125" s="3928">
        <f t="shared" si="24"/>
        <v>55411.199999999997</v>
      </c>
      <c r="AL125" s="3929">
        <f>SUMIF([3]租约表对应的会计账!$C$5:$C$164,B125,[3]租约表对应的会计账!$D$5:$D$164)</f>
        <v>21661</v>
      </c>
      <c r="AM125" s="3930">
        <f>SUMIF([3]租约表对应的会计账!$H$5:$H$164,B125,[3]租约表对应的会计账!$I$5:$I$164)</f>
        <v>0</v>
      </c>
      <c r="AN125" s="3929">
        <f>SUMIF([3]租约表对应的会计账!$S$5:$S$164,B125,[3]租约表对应的会计账!$T$5:$T$164)</f>
        <v>34373</v>
      </c>
      <c r="AO125" s="3929">
        <f>SUMIF([3]租约表对应的会计账!$X$5:$X$164,B125,[3]租约表对应的会计账!$Y$5:$Y$164)</f>
        <v>0</v>
      </c>
      <c r="AP125" s="3929">
        <f>SUMIF([3]租约表对应的会计账!$AC$5:$AC$164,[3]租约表!B125,[3]租约表对应的会计账!$AD$5:$AD$164)</f>
        <v>150</v>
      </c>
      <c r="AQ125" s="3929">
        <f>SUMIF([3]租约表对应的会计账!$AH$5:$AH$164,[3]租约表!B125,[3]租约表对应的会计账!$AI$5:$AI$164)</f>
        <v>0</v>
      </c>
      <c r="AR125" s="3929">
        <f t="shared" si="25"/>
        <v>56184</v>
      </c>
      <c r="AS125" s="3929">
        <f t="shared" si="31"/>
        <v>-268.79999999999927</v>
      </c>
      <c r="AT125" s="3929">
        <f t="shared" si="31"/>
        <v>0</v>
      </c>
      <c r="AU125" s="3929">
        <f t="shared" si="31"/>
        <v>-504</v>
      </c>
      <c r="AV125" s="3929">
        <f t="shared" si="31"/>
        <v>0</v>
      </c>
      <c r="AW125" s="3929">
        <f t="shared" si="31"/>
        <v>0</v>
      </c>
      <c r="AX125" s="3929">
        <f t="shared" si="31"/>
        <v>0</v>
      </c>
      <c r="AY125" s="3929">
        <f t="shared" si="18"/>
        <v>-772.79999999999927</v>
      </c>
      <c r="AZ125" s="3915" t="s">
        <v>3967</v>
      </c>
    </row>
    <row r="126" spans="1:52" s="3931" customFormat="1" ht="20.100000000000001" customHeight="1">
      <c r="A126" s="3946"/>
      <c r="C126" s="3947"/>
      <c r="E126" s="3948"/>
      <c r="F126" s="3948"/>
      <c r="G126" s="3948"/>
      <c r="H126" s="3949"/>
      <c r="I126" s="3949"/>
      <c r="J126" s="3950"/>
      <c r="K126" s="3950"/>
      <c r="L126" s="3950"/>
      <c r="M126" s="3951"/>
      <c r="N126" s="3952"/>
      <c r="O126" s="3953"/>
      <c r="P126" s="3953"/>
      <c r="Q126" s="3953"/>
      <c r="R126" s="3954"/>
      <c r="S126" s="3955"/>
      <c r="T126" s="3956"/>
      <c r="U126" s="3956"/>
      <c r="V126" s="3956">
        <f>SUM(V3:V125)</f>
        <v>28668182.010000005</v>
      </c>
      <c r="W126" s="3957"/>
      <c r="X126" s="3957"/>
      <c r="Y126" s="3957"/>
      <c r="Z126" s="3957"/>
      <c r="AA126" s="3957"/>
      <c r="AB126" s="3957"/>
      <c r="AC126" s="3957"/>
      <c r="AD126" s="3957"/>
      <c r="AE126" s="3958"/>
      <c r="AF126" s="3957"/>
      <c r="AG126" s="3957"/>
      <c r="AH126" s="3957"/>
      <c r="AI126" s="3957"/>
      <c r="AJ126" s="3957"/>
      <c r="AK126" s="3957"/>
      <c r="AL126" s="3959"/>
      <c r="AM126" s="3959"/>
      <c r="AN126" s="3957"/>
      <c r="AO126" s="3957"/>
      <c r="AP126" s="3957"/>
      <c r="AQ126" s="3957"/>
      <c r="AR126" s="3957">
        <f>SUM(AR3:AR125)</f>
        <v>23817396.269999996</v>
      </c>
      <c r="AS126" s="3960"/>
      <c r="AT126" s="3960"/>
      <c r="AY126" s="3957"/>
      <c r="AZ126" s="3961"/>
    </row>
    <row r="127" spans="1:52" s="3931" customFormat="1" ht="20.100000000000001" customHeight="1">
      <c r="A127" s="3946"/>
      <c r="C127" s="3947"/>
      <c r="E127" s="3948"/>
      <c r="F127" s="3948"/>
      <c r="G127" s="3948"/>
      <c r="H127" s="3949"/>
      <c r="I127" s="3949"/>
      <c r="J127" s="3950"/>
      <c r="K127" s="3950"/>
      <c r="L127" s="3950"/>
      <c r="M127" s="3951"/>
      <c r="N127" s="3952"/>
      <c r="O127" s="3953"/>
      <c r="P127" s="3953"/>
      <c r="Q127" s="3953"/>
      <c r="R127" s="3954"/>
      <c r="S127" s="3955"/>
      <c r="T127" s="3956"/>
      <c r="U127" s="3956"/>
      <c r="V127" s="3956">
        <f>V126*4</f>
        <v>114672728.04000002</v>
      </c>
      <c r="W127" s="3957"/>
      <c r="X127" s="3957"/>
      <c r="Y127" s="3957"/>
      <c r="Z127" s="3957"/>
      <c r="AA127" s="3957"/>
      <c r="AB127" s="3957"/>
      <c r="AC127" s="3957"/>
      <c r="AD127" s="3957"/>
      <c r="AE127" s="3958"/>
      <c r="AF127" s="3957"/>
      <c r="AG127" s="3957"/>
      <c r="AH127" s="3957"/>
      <c r="AI127" s="3957"/>
      <c r="AJ127" s="3957"/>
      <c r="AK127" s="3957"/>
      <c r="AL127" s="3959"/>
      <c r="AM127" s="3959"/>
      <c r="AN127" s="3957"/>
      <c r="AO127" s="3957"/>
      <c r="AP127" s="3957"/>
      <c r="AQ127" s="3957"/>
      <c r="AR127" s="3963">
        <f>AR126*4</f>
        <v>95269585.079999983</v>
      </c>
      <c r="AS127" s="3960"/>
      <c r="AT127" s="3960"/>
      <c r="AY127" s="3957"/>
      <c r="AZ127" s="3961"/>
    </row>
    <row r="128" spans="1:52" s="3931" customFormat="1" ht="20.100000000000001" customHeight="1">
      <c r="A128" s="3946"/>
      <c r="C128" s="3947"/>
      <c r="E128" s="3948"/>
      <c r="F128" s="3948"/>
      <c r="G128" s="3948"/>
      <c r="H128" s="3949"/>
      <c r="I128" s="3949"/>
      <c r="J128" s="3950"/>
      <c r="K128" s="3950"/>
      <c r="L128" s="3950"/>
      <c r="M128" s="3951"/>
      <c r="N128" s="3952"/>
      <c r="O128" s="3953"/>
      <c r="P128" s="3953"/>
      <c r="Q128" s="3953"/>
      <c r="R128" s="3954"/>
      <c r="S128" s="3955"/>
      <c r="T128" s="3956"/>
      <c r="U128" s="3956"/>
      <c r="V128" s="3956"/>
      <c r="W128" s="3957"/>
      <c r="X128" s="3957"/>
      <c r="Y128" s="3957"/>
      <c r="Z128" s="3957"/>
      <c r="AA128" s="3957"/>
      <c r="AB128" s="3957"/>
      <c r="AC128" s="3957"/>
      <c r="AD128" s="3957"/>
      <c r="AE128" s="3958"/>
      <c r="AF128" s="3957"/>
      <c r="AG128" s="3957"/>
      <c r="AH128" s="3957"/>
      <c r="AI128" s="3957"/>
      <c r="AJ128" s="3957"/>
      <c r="AK128" s="3957"/>
      <c r="AL128" s="3959"/>
      <c r="AM128" s="3959"/>
      <c r="AN128" s="3957"/>
      <c r="AO128" s="3957"/>
      <c r="AP128" s="3957"/>
      <c r="AQ128" s="3957"/>
      <c r="AR128" s="3957"/>
      <c r="AS128" s="3960"/>
      <c r="AT128" s="3960"/>
      <c r="AY128" s="3957"/>
      <c r="AZ128" s="3961"/>
    </row>
    <row r="129" spans="7:7" s="3931" customFormat="1" ht="20.100000000000001" customHeight="1">
      <c r="G129" s="3948"/>
    </row>
    <row r="130" spans="7:7" s="3931" customFormat="1" ht="20.100000000000001" customHeight="1">
      <c r="G130" s="3948"/>
    </row>
    <row r="131" spans="7:7" s="3931" customFormat="1" ht="20.100000000000001" customHeight="1">
      <c r="G131" s="3948"/>
    </row>
    <row r="132" spans="7:7" s="3931" customFormat="1" ht="20.100000000000001" customHeight="1">
      <c r="G132" s="3948"/>
    </row>
    <row r="133" spans="7:7" s="3931" customFormat="1" ht="20.100000000000001" customHeight="1">
      <c r="G133" s="3948"/>
    </row>
    <row r="134" spans="7:7" s="3931" customFormat="1" ht="20.100000000000001" customHeight="1">
      <c r="G134" s="3948"/>
    </row>
    <row r="135" spans="7:7" s="3931" customFormat="1" ht="20.100000000000001" customHeight="1">
      <c r="G135" s="3948"/>
    </row>
    <row r="136" spans="7:7" s="3931" customFormat="1" ht="20.100000000000001" customHeight="1">
      <c r="G136" s="3948"/>
    </row>
  </sheetData>
  <mergeCells count="7">
    <mergeCell ref="AS1:AY1"/>
    <mergeCell ref="A1:F1"/>
    <mergeCell ref="J1:M1"/>
    <mergeCell ref="O1:V1"/>
    <mergeCell ref="W1:AC1"/>
    <mergeCell ref="AD1:AK1"/>
    <mergeCell ref="AL1:AR1"/>
  </mergeCells>
  <phoneticPr fontId="133" type="noConversion"/>
  <conditionalFormatting sqref="B3">
    <cfRule type="duplicateValues" dxfId="368" priority="368"/>
    <cfRule type="duplicateValues" dxfId="369" priority="369"/>
    <cfRule type="duplicateValues" dxfId="370" priority="370"/>
  </conditionalFormatting>
  <conditionalFormatting sqref="B4">
    <cfRule type="duplicateValues" dxfId="365" priority="123"/>
    <cfRule type="duplicateValues" dxfId="366" priority="245"/>
    <cfRule type="duplicateValues" dxfId="367" priority="367"/>
  </conditionalFormatting>
  <conditionalFormatting sqref="B5">
    <cfRule type="duplicateValues" dxfId="362" priority="122"/>
    <cfRule type="duplicateValues" dxfId="363" priority="244"/>
    <cfRule type="duplicateValues" dxfId="364" priority="366"/>
  </conditionalFormatting>
  <conditionalFormatting sqref="B6">
    <cfRule type="duplicateValues" dxfId="359" priority="121"/>
    <cfRule type="duplicateValues" dxfId="360" priority="243"/>
    <cfRule type="duplicateValues" dxfId="361" priority="365"/>
  </conditionalFormatting>
  <conditionalFormatting sqref="B7">
    <cfRule type="duplicateValues" dxfId="356" priority="120"/>
    <cfRule type="duplicateValues" dxfId="357" priority="242"/>
    <cfRule type="duplicateValues" dxfId="358" priority="364"/>
  </conditionalFormatting>
  <conditionalFormatting sqref="B8">
    <cfRule type="duplicateValues" dxfId="353" priority="119"/>
    <cfRule type="duplicateValues" dxfId="354" priority="241"/>
    <cfRule type="duplicateValues" dxfId="355" priority="363"/>
  </conditionalFormatting>
  <conditionalFormatting sqref="B9">
    <cfRule type="duplicateValues" dxfId="350" priority="118"/>
    <cfRule type="duplicateValues" dxfId="351" priority="240"/>
    <cfRule type="duplicateValues" dxfId="352" priority="362"/>
  </conditionalFormatting>
  <conditionalFormatting sqref="B10">
    <cfRule type="duplicateValues" dxfId="347" priority="117"/>
    <cfRule type="duplicateValues" dxfId="348" priority="239"/>
    <cfRule type="duplicateValues" dxfId="349" priority="361"/>
  </conditionalFormatting>
  <conditionalFormatting sqref="B11">
    <cfRule type="duplicateValues" dxfId="344" priority="116"/>
    <cfRule type="duplicateValues" dxfId="345" priority="238"/>
    <cfRule type="duplicateValues" dxfId="346" priority="360"/>
  </conditionalFormatting>
  <conditionalFormatting sqref="B12">
    <cfRule type="duplicateValues" dxfId="341" priority="115"/>
    <cfRule type="duplicateValues" dxfId="342" priority="237"/>
    <cfRule type="duplicateValues" dxfId="343" priority="359"/>
  </conditionalFormatting>
  <conditionalFormatting sqref="B13">
    <cfRule type="duplicateValues" dxfId="338" priority="114"/>
    <cfRule type="duplicateValues" dxfId="339" priority="236"/>
    <cfRule type="duplicateValues" dxfId="340" priority="358"/>
  </conditionalFormatting>
  <conditionalFormatting sqref="B14">
    <cfRule type="duplicateValues" dxfId="335" priority="113"/>
    <cfRule type="duplicateValues" dxfId="336" priority="235"/>
    <cfRule type="duplicateValues" dxfId="337" priority="357"/>
  </conditionalFormatting>
  <conditionalFormatting sqref="B15">
    <cfRule type="duplicateValues" dxfId="332" priority="112"/>
    <cfRule type="duplicateValues" dxfId="333" priority="234"/>
    <cfRule type="duplicateValues" dxfId="334" priority="356"/>
  </conditionalFormatting>
  <conditionalFormatting sqref="B16">
    <cfRule type="duplicateValues" dxfId="329" priority="111"/>
    <cfRule type="duplicateValues" dxfId="330" priority="233"/>
    <cfRule type="duplicateValues" dxfId="331" priority="355"/>
  </conditionalFormatting>
  <conditionalFormatting sqref="B17">
    <cfRule type="duplicateValues" dxfId="326" priority="110"/>
    <cfRule type="duplicateValues" dxfId="327" priority="232"/>
    <cfRule type="duplicateValues" dxfId="328" priority="354"/>
  </conditionalFormatting>
  <conditionalFormatting sqref="B18">
    <cfRule type="duplicateValues" dxfId="323" priority="109"/>
    <cfRule type="duplicateValues" dxfId="324" priority="231"/>
    <cfRule type="duplicateValues" dxfId="325" priority="353"/>
  </conditionalFormatting>
  <conditionalFormatting sqref="B19">
    <cfRule type="duplicateValues" dxfId="320" priority="108"/>
    <cfRule type="duplicateValues" dxfId="321" priority="230"/>
    <cfRule type="duplicateValues" dxfId="322" priority="352"/>
  </conditionalFormatting>
  <conditionalFormatting sqref="B20">
    <cfRule type="duplicateValues" dxfId="317" priority="107"/>
    <cfRule type="duplicateValues" dxfId="318" priority="229"/>
    <cfRule type="duplicateValues" dxfId="319" priority="351"/>
  </conditionalFormatting>
  <conditionalFormatting sqref="B21">
    <cfRule type="duplicateValues" dxfId="314" priority="106"/>
    <cfRule type="duplicateValues" dxfId="315" priority="228"/>
    <cfRule type="duplicateValues" dxfId="316" priority="350"/>
  </conditionalFormatting>
  <conditionalFormatting sqref="B22">
    <cfRule type="duplicateValues" dxfId="311" priority="105"/>
    <cfRule type="duplicateValues" dxfId="312" priority="227"/>
    <cfRule type="duplicateValues" dxfId="313" priority="349"/>
  </conditionalFormatting>
  <conditionalFormatting sqref="B23">
    <cfRule type="duplicateValues" dxfId="308" priority="104"/>
    <cfRule type="duplicateValues" dxfId="309" priority="226"/>
    <cfRule type="duplicateValues" dxfId="310" priority="348"/>
  </conditionalFormatting>
  <conditionalFormatting sqref="B24">
    <cfRule type="duplicateValues" dxfId="305" priority="103"/>
    <cfRule type="duplicateValues" dxfId="306" priority="225"/>
    <cfRule type="duplicateValues" dxfId="307" priority="347"/>
  </conditionalFormatting>
  <conditionalFormatting sqref="B25">
    <cfRule type="duplicateValues" dxfId="302" priority="102"/>
    <cfRule type="duplicateValues" dxfId="303" priority="224"/>
    <cfRule type="duplicateValues" dxfId="304" priority="346"/>
  </conditionalFormatting>
  <conditionalFormatting sqref="B26">
    <cfRule type="duplicateValues" dxfId="299" priority="101"/>
    <cfRule type="duplicateValues" dxfId="300" priority="223"/>
    <cfRule type="duplicateValues" dxfId="301" priority="345"/>
  </conditionalFormatting>
  <conditionalFormatting sqref="B27">
    <cfRule type="duplicateValues" dxfId="296" priority="100"/>
    <cfRule type="duplicateValues" dxfId="297" priority="222"/>
    <cfRule type="duplicateValues" dxfId="298" priority="344"/>
  </conditionalFormatting>
  <conditionalFormatting sqref="B28">
    <cfRule type="duplicateValues" dxfId="293" priority="99"/>
    <cfRule type="duplicateValues" dxfId="294" priority="221"/>
    <cfRule type="duplicateValues" dxfId="295" priority="343"/>
  </conditionalFormatting>
  <conditionalFormatting sqref="B29">
    <cfRule type="duplicateValues" dxfId="290" priority="98"/>
    <cfRule type="duplicateValues" dxfId="291" priority="220"/>
    <cfRule type="duplicateValues" dxfId="292" priority="342"/>
  </conditionalFormatting>
  <conditionalFormatting sqref="B30">
    <cfRule type="duplicateValues" dxfId="287" priority="97"/>
    <cfRule type="duplicateValues" dxfId="288" priority="219"/>
    <cfRule type="duplicateValues" dxfId="289" priority="341"/>
  </conditionalFormatting>
  <conditionalFormatting sqref="B31">
    <cfRule type="duplicateValues" dxfId="284" priority="96"/>
    <cfRule type="duplicateValues" dxfId="285" priority="218"/>
    <cfRule type="duplicateValues" dxfId="286" priority="340"/>
  </conditionalFormatting>
  <conditionalFormatting sqref="B32">
    <cfRule type="duplicateValues" dxfId="281" priority="95"/>
    <cfRule type="duplicateValues" dxfId="282" priority="217"/>
    <cfRule type="duplicateValues" dxfId="283" priority="339"/>
  </conditionalFormatting>
  <conditionalFormatting sqref="B33">
    <cfRule type="duplicateValues" dxfId="278" priority="94"/>
    <cfRule type="duplicateValues" dxfId="279" priority="216"/>
    <cfRule type="duplicateValues" dxfId="280" priority="338"/>
  </conditionalFormatting>
  <conditionalFormatting sqref="B34">
    <cfRule type="duplicateValues" dxfId="275" priority="93"/>
    <cfRule type="duplicateValues" dxfId="276" priority="215"/>
    <cfRule type="duplicateValues" dxfId="277" priority="337"/>
  </conditionalFormatting>
  <conditionalFormatting sqref="B35">
    <cfRule type="duplicateValues" dxfId="272" priority="92"/>
    <cfRule type="duplicateValues" dxfId="273" priority="214"/>
    <cfRule type="duplicateValues" dxfId="274" priority="336"/>
  </conditionalFormatting>
  <conditionalFormatting sqref="B36">
    <cfRule type="duplicateValues" dxfId="269" priority="91"/>
    <cfRule type="duplicateValues" dxfId="270" priority="213"/>
    <cfRule type="duplicateValues" dxfId="271" priority="335"/>
  </conditionalFormatting>
  <conditionalFormatting sqref="B37">
    <cfRule type="duplicateValues" dxfId="266" priority="90"/>
    <cfRule type="duplicateValues" dxfId="267" priority="212"/>
    <cfRule type="duplicateValues" dxfId="268" priority="334"/>
  </conditionalFormatting>
  <conditionalFormatting sqref="B38">
    <cfRule type="duplicateValues" dxfId="263" priority="89"/>
    <cfRule type="duplicateValues" dxfId="264" priority="211"/>
    <cfRule type="duplicateValues" dxfId="265" priority="333"/>
  </conditionalFormatting>
  <conditionalFormatting sqref="B39">
    <cfRule type="duplicateValues" dxfId="260" priority="88"/>
    <cfRule type="duplicateValues" dxfId="261" priority="210"/>
    <cfRule type="duplicateValues" dxfId="262" priority="332"/>
  </conditionalFormatting>
  <conditionalFormatting sqref="B40">
    <cfRule type="duplicateValues" dxfId="257" priority="87"/>
    <cfRule type="duplicateValues" dxfId="258" priority="209"/>
    <cfRule type="duplicateValues" dxfId="259" priority="331"/>
  </conditionalFormatting>
  <conditionalFormatting sqref="B41">
    <cfRule type="duplicateValues" dxfId="254" priority="86"/>
    <cfRule type="duplicateValues" dxfId="255" priority="208"/>
    <cfRule type="duplicateValues" dxfId="256" priority="330"/>
  </conditionalFormatting>
  <conditionalFormatting sqref="B42">
    <cfRule type="duplicateValues" dxfId="251" priority="85"/>
    <cfRule type="duplicateValues" dxfId="252" priority="207"/>
    <cfRule type="duplicateValues" dxfId="253" priority="329"/>
  </conditionalFormatting>
  <conditionalFormatting sqref="B43">
    <cfRule type="duplicateValues" dxfId="248" priority="84"/>
    <cfRule type="duplicateValues" dxfId="249" priority="206"/>
    <cfRule type="duplicateValues" dxfId="250" priority="328"/>
  </conditionalFormatting>
  <conditionalFormatting sqref="B44">
    <cfRule type="duplicateValues" dxfId="245" priority="83"/>
    <cfRule type="duplicateValues" dxfId="246" priority="205"/>
    <cfRule type="duplicateValues" dxfId="247" priority="327"/>
  </conditionalFormatting>
  <conditionalFormatting sqref="B45">
    <cfRule type="duplicateValues" dxfId="242" priority="82"/>
    <cfRule type="duplicateValues" dxfId="243" priority="204"/>
    <cfRule type="duplicateValues" dxfId="244" priority="326"/>
  </conditionalFormatting>
  <conditionalFormatting sqref="B46">
    <cfRule type="duplicateValues" dxfId="239" priority="81"/>
    <cfRule type="duplicateValues" dxfId="240" priority="203"/>
    <cfRule type="duplicateValues" dxfId="241" priority="325"/>
  </conditionalFormatting>
  <conditionalFormatting sqref="B47">
    <cfRule type="duplicateValues" dxfId="236" priority="80"/>
    <cfRule type="duplicateValues" dxfId="237" priority="202"/>
    <cfRule type="duplicateValues" dxfId="238" priority="324"/>
  </conditionalFormatting>
  <conditionalFormatting sqref="B48">
    <cfRule type="duplicateValues" dxfId="233" priority="79"/>
    <cfRule type="duplicateValues" dxfId="234" priority="201"/>
    <cfRule type="duplicateValues" dxfId="235" priority="323"/>
  </conditionalFormatting>
  <conditionalFormatting sqref="B49">
    <cfRule type="duplicateValues" dxfId="230" priority="78"/>
    <cfRule type="duplicateValues" dxfId="231" priority="200"/>
    <cfRule type="duplicateValues" dxfId="232" priority="322"/>
  </conditionalFormatting>
  <conditionalFormatting sqref="B50">
    <cfRule type="duplicateValues" dxfId="227" priority="77"/>
    <cfRule type="duplicateValues" dxfId="228" priority="199"/>
    <cfRule type="duplicateValues" dxfId="229" priority="321"/>
  </conditionalFormatting>
  <conditionalFormatting sqref="B51">
    <cfRule type="duplicateValues" dxfId="224" priority="76"/>
    <cfRule type="duplicateValues" dxfId="225" priority="198"/>
    <cfRule type="duplicateValues" dxfId="226" priority="320"/>
  </conditionalFormatting>
  <conditionalFormatting sqref="B52">
    <cfRule type="duplicateValues" dxfId="221" priority="75"/>
    <cfRule type="duplicateValues" dxfId="222" priority="197"/>
    <cfRule type="duplicateValues" dxfId="223" priority="319"/>
  </conditionalFormatting>
  <conditionalFormatting sqref="B53">
    <cfRule type="duplicateValues" dxfId="218" priority="74"/>
    <cfRule type="duplicateValues" dxfId="219" priority="196"/>
    <cfRule type="duplicateValues" dxfId="220" priority="318"/>
  </conditionalFormatting>
  <conditionalFormatting sqref="B54">
    <cfRule type="duplicateValues" dxfId="215" priority="73"/>
    <cfRule type="duplicateValues" dxfId="216" priority="195"/>
    <cfRule type="duplicateValues" dxfId="217" priority="317"/>
  </conditionalFormatting>
  <conditionalFormatting sqref="B55">
    <cfRule type="duplicateValues" dxfId="212" priority="72"/>
    <cfRule type="duplicateValues" dxfId="213" priority="194"/>
    <cfRule type="duplicateValues" dxfId="214" priority="316"/>
  </conditionalFormatting>
  <conditionalFormatting sqref="B56">
    <cfRule type="duplicateValues" dxfId="209" priority="71"/>
    <cfRule type="duplicateValues" dxfId="210" priority="193"/>
    <cfRule type="duplicateValues" dxfId="211" priority="315"/>
  </conditionalFormatting>
  <conditionalFormatting sqref="B57">
    <cfRule type="duplicateValues" dxfId="206" priority="70"/>
    <cfRule type="duplicateValues" dxfId="207" priority="192"/>
    <cfRule type="duplicateValues" dxfId="208" priority="314"/>
  </conditionalFormatting>
  <conditionalFormatting sqref="B58">
    <cfRule type="duplicateValues" dxfId="203" priority="69"/>
    <cfRule type="duplicateValues" dxfId="204" priority="191"/>
    <cfRule type="duplicateValues" dxfId="205" priority="313"/>
  </conditionalFormatting>
  <conditionalFormatting sqref="B59">
    <cfRule type="duplicateValues" dxfId="200" priority="68"/>
    <cfRule type="duplicateValues" dxfId="201" priority="190"/>
    <cfRule type="duplicateValues" dxfId="202" priority="312"/>
  </conditionalFormatting>
  <conditionalFormatting sqref="B60">
    <cfRule type="duplicateValues" dxfId="197" priority="67"/>
    <cfRule type="duplicateValues" dxfId="198" priority="189"/>
    <cfRule type="duplicateValues" dxfId="199" priority="311"/>
  </conditionalFormatting>
  <conditionalFormatting sqref="B61">
    <cfRule type="duplicateValues" dxfId="194" priority="66"/>
    <cfRule type="duplicateValues" dxfId="195" priority="188"/>
    <cfRule type="duplicateValues" dxfId="196" priority="310"/>
  </conditionalFormatting>
  <conditionalFormatting sqref="B62">
    <cfRule type="duplicateValues" dxfId="191" priority="65"/>
    <cfRule type="duplicateValues" dxfId="192" priority="187"/>
    <cfRule type="duplicateValues" dxfId="193" priority="309"/>
  </conditionalFormatting>
  <conditionalFormatting sqref="B63">
    <cfRule type="duplicateValues" dxfId="188" priority="64"/>
    <cfRule type="duplicateValues" dxfId="189" priority="186"/>
    <cfRule type="duplicateValues" dxfId="190" priority="308"/>
  </conditionalFormatting>
  <conditionalFormatting sqref="B64">
    <cfRule type="duplicateValues" dxfId="185" priority="63"/>
    <cfRule type="duplicateValues" dxfId="186" priority="185"/>
    <cfRule type="duplicateValues" dxfId="187" priority="307"/>
  </conditionalFormatting>
  <conditionalFormatting sqref="B65">
    <cfRule type="duplicateValues" dxfId="182" priority="62"/>
    <cfRule type="duplicateValues" dxfId="183" priority="184"/>
    <cfRule type="duplicateValues" dxfId="184" priority="306"/>
  </conditionalFormatting>
  <conditionalFormatting sqref="B66">
    <cfRule type="duplicateValues" dxfId="179" priority="61"/>
    <cfRule type="duplicateValues" dxfId="180" priority="183"/>
    <cfRule type="duplicateValues" dxfId="181" priority="305"/>
  </conditionalFormatting>
  <conditionalFormatting sqref="B67">
    <cfRule type="duplicateValues" dxfId="176" priority="60"/>
    <cfRule type="duplicateValues" dxfId="177" priority="182"/>
    <cfRule type="duplicateValues" dxfId="178" priority="304"/>
  </conditionalFormatting>
  <conditionalFormatting sqref="B68">
    <cfRule type="duplicateValues" dxfId="173" priority="59"/>
    <cfRule type="duplicateValues" dxfId="174" priority="181"/>
    <cfRule type="duplicateValues" dxfId="175" priority="303"/>
  </conditionalFormatting>
  <conditionalFormatting sqref="B69">
    <cfRule type="duplicateValues" dxfId="170" priority="58"/>
    <cfRule type="duplicateValues" dxfId="171" priority="180"/>
    <cfRule type="duplicateValues" dxfId="172" priority="302"/>
  </conditionalFormatting>
  <conditionalFormatting sqref="B70">
    <cfRule type="duplicateValues" dxfId="167" priority="57"/>
    <cfRule type="duplicateValues" dxfId="168" priority="179"/>
    <cfRule type="duplicateValues" dxfId="169" priority="301"/>
  </conditionalFormatting>
  <conditionalFormatting sqref="B71">
    <cfRule type="duplicateValues" dxfId="164" priority="56"/>
    <cfRule type="duplicateValues" dxfId="165" priority="178"/>
    <cfRule type="duplicateValues" dxfId="166" priority="300"/>
  </conditionalFormatting>
  <conditionalFormatting sqref="B72">
    <cfRule type="duplicateValues" dxfId="161" priority="55"/>
    <cfRule type="duplicateValues" dxfId="162" priority="177"/>
    <cfRule type="duplicateValues" dxfId="163" priority="299"/>
  </conditionalFormatting>
  <conditionalFormatting sqref="B73">
    <cfRule type="duplicateValues" dxfId="158" priority="54"/>
    <cfRule type="duplicateValues" dxfId="159" priority="176"/>
    <cfRule type="duplicateValues" dxfId="160" priority="298"/>
  </conditionalFormatting>
  <conditionalFormatting sqref="B74">
    <cfRule type="duplicateValues" dxfId="155" priority="53"/>
    <cfRule type="duplicateValues" dxfId="156" priority="175"/>
    <cfRule type="duplicateValues" dxfId="157" priority="297"/>
  </conditionalFormatting>
  <conditionalFormatting sqref="B75">
    <cfRule type="duplicateValues" dxfId="152" priority="52"/>
    <cfRule type="duplicateValues" dxfId="153" priority="174"/>
    <cfRule type="duplicateValues" dxfId="154" priority="296"/>
  </conditionalFormatting>
  <conditionalFormatting sqref="B76">
    <cfRule type="duplicateValues" dxfId="149" priority="51"/>
    <cfRule type="duplicateValues" dxfId="150" priority="173"/>
    <cfRule type="duplicateValues" dxfId="151" priority="295"/>
  </conditionalFormatting>
  <conditionalFormatting sqref="B77">
    <cfRule type="duplicateValues" dxfId="146" priority="50"/>
    <cfRule type="duplicateValues" dxfId="147" priority="172"/>
    <cfRule type="duplicateValues" dxfId="148" priority="294"/>
  </conditionalFormatting>
  <conditionalFormatting sqref="B78">
    <cfRule type="duplicateValues" dxfId="143" priority="49"/>
    <cfRule type="duplicateValues" dxfId="144" priority="171"/>
    <cfRule type="duplicateValues" dxfId="145" priority="293"/>
  </conditionalFormatting>
  <conditionalFormatting sqref="B79">
    <cfRule type="duplicateValues" dxfId="140" priority="48"/>
    <cfRule type="duplicateValues" dxfId="141" priority="170"/>
    <cfRule type="duplicateValues" dxfId="142" priority="292"/>
  </conditionalFormatting>
  <conditionalFormatting sqref="B80">
    <cfRule type="duplicateValues" dxfId="137" priority="47"/>
    <cfRule type="duplicateValues" dxfId="138" priority="169"/>
    <cfRule type="duplicateValues" dxfId="139" priority="291"/>
  </conditionalFormatting>
  <conditionalFormatting sqref="B81">
    <cfRule type="duplicateValues" dxfId="134" priority="46"/>
    <cfRule type="duplicateValues" dxfId="135" priority="168"/>
    <cfRule type="duplicateValues" dxfId="136" priority="290"/>
  </conditionalFormatting>
  <conditionalFormatting sqref="B82">
    <cfRule type="duplicateValues" dxfId="131" priority="45"/>
    <cfRule type="duplicateValues" dxfId="132" priority="167"/>
    <cfRule type="duplicateValues" dxfId="133" priority="289"/>
  </conditionalFormatting>
  <conditionalFormatting sqref="B83">
    <cfRule type="duplicateValues" dxfId="128" priority="44"/>
    <cfRule type="duplicateValues" dxfId="129" priority="166"/>
    <cfRule type="duplicateValues" dxfId="130" priority="288"/>
  </conditionalFormatting>
  <conditionalFormatting sqref="B84">
    <cfRule type="duplicateValues" dxfId="125" priority="43"/>
    <cfRule type="duplicateValues" dxfId="126" priority="165"/>
    <cfRule type="duplicateValues" dxfId="127" priority="287"/>
  </conditionalFormatting>
  <conditionalFormatting sqref="B85">
    <cfRule type="duplicateValues" dxfId="122" priority="42"/>
    <cfRule type="duplicateValues" dxfId="123" priority="164"/>
    <cfRule type="duplicateValues" dxfId="124" priority="286"/>
  </conditionalFormatting>
  <conditionalFormatting sqref="B86">
    <cfRule type="duplicateValues" dxfId="119" priority="41"/>
    <cfRule type="duplicateValues" dxfId="120" priority="163"/>
    <cfRule type="duplicateValues" dxfId="121" priority="285"/>
  </conditionalFormatting>
  <conditionalFormatting sqref="B87">
    <cfRule type="duplicateValues" dxfId="116" priority="40"/>
    <cfRule type="duplicateValues" dxfId="117" priority="162"/>
    <cfRule type="duplicateValues" dxfId="118" priority="284"/>
  </conditionalFormatting>
  <conditionalFormatting sqref="B88">
    <cfRule type="duplicateValues" dxfId="113" priority="39"/>
    <cfRule type="duplicateValues" dxfId="114" priority="161"/>
    <cfRule type="duplicateValues" dxfId="115" priority="283"/>
  </conditionalFormatting>
  <conditionalFormatting sqref="B89">
    <cfRule type="duplicateValues" dxfId="110" priority="38"/>
    <cfRule type="duplicateValues" dxfId="111" priority="160"/>
    <cfRule type="duplicateValues" dxfId="112" priority="282"/>
  </conditionalFormatting>
  <conditionalFormatting sqref="B90">
    <cfRule type="duplicateValues" dxfId="107" priority="37"/>
    <cfRule type="duplicateValues" dxfId="108" priority="159"/>
    <cfRule type="duplicateValues" dxfId="109" priority="281"/>
  </conditionalFormatting>
  <conditionalFormatting sqref="B91">
    <cfRule type="duplicateValues" dxfId="104" priority="36"/>
    <cfRule type="duplicateValues" dxfId="105" priority="158"/>
    <cfRule type="duplicateValues" dxfId="106" priority="280"/>
  </conditionalFormatting>
  <conditionalFormatting sqref="B92">
    <cfRule type="duplicateValues" dxfId="101" priority="35"/>
    <cfRule type="duplicateValues" dxfId="102" priority="157"/>
    <cfRule type="duplicateValues" dxfId="103" priority="279"/>
  </conditionalFormatting>
  <conditionalFormatting sqref="B93">
    <cfRule type="duplicateValues" dxfId="98" priority="34"/>
    <cfRule type="duplicateValues" dxfId="99" priority="156"/>
    <cfRule type="duplicateValues" dxfId="100" priority="278"/>
  </conditionalFormatting>
  <conditionalFormatting sqref="B94">
    <cfRule type="duplicateValues" dxfId="95" priority="33"/>
    <cfRule type="duplicateValues" dxfId="96" priority="155"/>
    <cfRule type="duplicateValues" dxfId="97" priority="277"/>
  </conditionalFormatting>
  <conditionalFormatting sqref="B95">
    <cfRule type="duplicateValues" dxfId="92" priority="32"/>
    <cfRule type="duplicateValues" dxfId="93" priority="154"/>
    <cfRule type="duplicateValues" dxfId="94" priority="276"/>
  </conditionalFormatting>
  <conditionalFormatting sqref="B96">
    <cfRule type="duplicateValues" dxfId="89" priority="31"/>
    <cfRule type="duplicateValues" dxfId="90" priority="153"/>
    <cfRule type="duplicateValues" dxfId="91" priority="275"/>
  </conditionalFormatting>
  <conditionalFormatting sqref="B97">
    <cfRule type="duplicateValues" dxfId="86" priority="30"/>
    <cfRule type="duplicateValues" dxfId="87" priority="152"/>
    <cfRule type="duplicateValues" dxfId="88" priority="274"/>
  </conditionalFormatting>
  <conditionalFormatting sqref="B98">
    <cfRule type="duplicateValues" dxfId="83" priority="29"/>
    <cfRule type="duplicateValues" dxfId="84" priority="151"/>
    <cfRule type="duplicateValues" dxfId="85" priority="273"/>
  </conditionalFormatting>
  <conditionalFormatting sqref="B99">
    <cfRule type="duplicateValues" dxfId="80" priority="28"/>
    <cfRule type="duplicateValues" dxfId="81" priority="150"/>
    <cfRule type="duplicateValues" dxfId="82" priority="272"/>
  </conditionalFormatting>
  <conditionalFormatting sqref="B100">
    <cfRule type="duplicateValues" dxfId="77" priority="27"/>
    <cfRule type="duplicateValues" dxfId="78" priority="149"/>
    <cfRule type="duplicateValues" dxfId="79" priority="271"/>
  </conditionalFormatting>
  <conditionalFormatting sqref="B101">
    <cfRule type="duplicateValues" dxfId="74" priority="26"/>
    <cfRule type="duplicateValues" dxfId="75" priority="148"/>
    <cfRule type="duplicateValues" dxfId="76" priority="270"/>
  </conditionalFormatting>
  <conditionalFormatting sqref="F101">
    <cfRule type="expression" dxfId="73" priority="1">
      <formula>F105-TODAY&lt;=15</formula>
    </cfRule>
  </conditionalFormatting>
  <conditionalFormatting sqref="B102">
    <cfRule type="duplicateValues" dxfId="70" priority="25"/>
    <cfRule type="duplicateValues" dxfId="71" priority="147"/>
    <cfRule type="duplicateValues" dxfId="72" priority="269"/>
  </conditionalFormatting>
  <conditionalFormatting sqref="B103">
    <cfRule type="duplicateValues" dxfId="67" priority="24"/>
    <cfRule type="duplicateValues" dxfId="68" priority="146"/>
    <cfRule type="duplicateValues" dxfId="69" priority="268"/>
  </conditionalFormatting>
  <conditionalFormatting sqref="B104">
    <cfRule type="duplicateValues" dxfId="64" priority="23"/>
    <cfRule type="duplicateValues" dxfId="65" priority="145"/>
    <cfRule type="duplicateValues" dxfId="66" priority="267"/>
  </conditionalFormatting>
  <conditionalFormatting sqref="B105">
    <cfRule type="duplicateValues" dxfId="61" priority="22"/>
    <cfRule type="duplicateValues" dxfId="62" priority="144"/>
    <cfRule type="duplicateValues" dxfId="63" priority="266"/>
  </conditionalFormatting>
  <conditionalFormatting sqref="B106">
    <cfRule type="duplicateValues" dxfId="58" priority="21"/>
    <cfRule type="duplicateValues" dxfId="59" priority="143"/>
    <cfRule type="duplicateValues" dxfId="60" priority="265"/>
  </conditionalFormatting>
  <conditionalFormatting sqref="B107">
    <cfRule type="duplicateValues" dxfId="55" priority="20"/>
    <cfRule type="duplicateValues" dxfId="56" priority="142"/>
    <cfRule type="duplicateValues" dxfId="57" priority="264"/>
  </conditionalFormatting>
  <conditionalFormatting sqref="B108">
    <cfRule type="duplicateValues" dxfId="52" priority="19"/>
    <cfRule type="duplicateValues" dxfId="53" priority="141"/>
    <cfRule type="duplicateValues" dxfId="54" priority="263"/>
  </conditionalFormatting>
  <conditionalFormatting sqref="B109">
    <cfRule type="duplicateValues" dxfId="49" priority="18"/>
    <cfRule type="duplicateValues" dxfId="50" priority="140"/>
    <cfRule type="duplicateValues" dxfId="51" priority="262"/>
  </conditionalFormatting>
  <conditionalFormatting sqref="B110">
    <cfRule type="duplicateValues" dxfId="46" priority="17"/>
    <cfRule type="duplicateValues" dxfId="47" priority="139"/>
    <cfRule type="duplicateValues" dxfId="48" priority="261"/>
  </conditionalFormatting>
  <conditionalFormatting sqref="B111">
    <cfRule type="duplicateValues" dxfId="43" priority="16"/>
    <cfRule type="duplicateValues" dxfId="44" priority="138"/>
    <cfRule type="duplicateValues" dxfId="45" priority="260"/>
  </conditionalFormatting>
  <conditionalFormatting sqref="B112">
    <cfRule type="duplicateValues" dxfId="40" priority="15"/>
    <cfRule type="duplicateValues" dxfId="41" priority="137"/>
    <cfRule type="duplicateValues" dxfId="42" priority="259"/>
  </conditionalFormatting>
  <conditionalFormatting sqref="B113">
    <cfRule type="duplicateValues" dxfId="37" priority="14"/>
    <cfRule type="duplicateValues" dxfId="38" priority="136"/>
    <cfRule type="duplicateValues" dxfId="39" priority="258"/>
  </conditionalFormatting>
  <conditionalFormatting sqref="B114">
    <cfRule type="duplicateValues" dxfId="34" priority="13"/>
    <cfRule type="duplicateValues" dxfId="35" priority="135"/>
    <cfRule type="duplicateValues" dxfId="36" priority="257"/>
  </conditionalFormatting>
  <conditionalFormatting sqref="B115">
    <cfRule type="duplicateValues" dxfId="31" priority="12"/>
    <cfRule type="duplicateValues" dxfId="32" priority="134"/>
    <cfRule type="duplicateValues" dxfId="33" priority="256"/>
  </conditionalFormatting>
  <conditionalFormatting sqref="B116">
    <cfRule type="duplicateValues" dxfId="28" priority="11"/>
    <cfRule type="duplicateValues" dxfId="29" priority="133"/>
    <cfRule type="duplicateValues" dxfId="30" priority="255"/>
  </conditionalFormatting>
  <conditionalFormatting sqref="B117">
    <cfRule type="duplicateValues" dxfId="25" priority="10"/>
    <cfRule type="duplicateValues" dxfId="26" priority="132"/>
    <cfRule type="duplicateValues" dxfId="27" priority="254"/>
  </conditionalFormatting>
  <conditionalFormatting sqref="B118">
    <cfRule type="duplicateValues" dxfId="22" priority="9"/>
    <cfRule type="duplicateValues" dxfId="23" priority="131"/>
    <cfRule type="duplicateValues" dxfId="24" priority="253"/>
  </conditionalFormatting>
  <conditionalFormatting sqref="B119">
    <cfRule type="duplicateValues" dxfId="19" priority="8"/>
    <cfRule type="duplicateValues" dxfId="20" priority="130"/>
    <cfRule type="duplicateValues" dxfId="21" priority="252"/>
  </conditionalFormatting>
  <conditionalFormatting sqref="B120">
    <cfRule type="duplicateValues" dxfId="16" priority="7"/>
    <cfRule type="duplicateValues" dxfId="17" priority="129"/>
    <cfRule type="duplicateValues" dxfId="18" priority="251"/>
  </conditionalFormatting>
  <conditionalFormatting sqref="B121">
    <cfRule type="duplicateValues" dxfId="13" priority="6"/>
    <cfRule type="duplicateValues" dxfId="14" priority="128"/>
    <cfRule type="duplicateValues" dxfId="15" priority="250"/>
  </conditionalFormatting>
  <conditionalFormatting sqref="B122">
    <cfRule type="duplicateValues" dxfId="10" priority="5"/>
    <cfRule type="duplicateValues" dxfId="11" priority="127"/>
    <cfRule type="duplicateValues" dxfId="12" priority="249"/>
  </conditionalFormatting>
  <conditionalFormatting sqref="B123">
    <cfRule type="duplicateValues" dxfId="9" priority="4"/>
    <cfRule type="duplicateValues" dxfId="8" priority="126"/>
    <cfRule type="duplicateValues" dxfId="7" priority="248"/>
  </conditionalFormatting>
  <conditionalFormatting sqref="B124">
    <cfRule type="duplicateValues" dxfId="6" priority="3"/>
    <cfRule type="duplicateValues" dxfId="5" priority="125"/>
    <cfRule type="duplicateValues" dxfId="4" priority="247"/>
  </conditionalFormatting>
  <conditionalFormatting sqref="B125">
    <cfRule type="duplicateValues" dxfId="3" priority="2"/>
    <cfRule type="duplicateValues" dxfId="2" priority="124"/>
    <cfRule type="duplicateValues" dxfId="1" priority="246"/>
  </conditionalFormatting>
  <conditionalFormatting sqref="B1:B2 B126:B1048576">
    <cfRule type="duplicateValues" dxfId="0" priority="371"/>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58" t="s">
        <v>949</v>
      </c>
      <c r="B1" s="3558"/>
      <c r="C1" s="3558"/>
      <c r="D1" s="3558"/>
    </row>
    <row r="2" spans="1:4" ht="18">
      <c r="A2" s="3559" t="s">
        <v>933</v>
      </c>
      <c r="B2" s="3559"/>
      <c r="C2" s="3559"/>
      <c r="D2" s="355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59" t="s">
        <v>939</v>
      </c>
      <c r="B6" s="3559"/>
      <c r="C6" s="3559"/>
      <c r="D6" s="355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60" t="s">
        <v>942</v>
      </c>
      <c r="B11" s="3561"/>
      <c r="C11" s="3561"/>
      <c r="D11" s="3561"/>
    </row>
    <row r="12" spans="1:4" ht="15.75">
      <c r="A12" s="35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2"/>
      <c r="C12" s="3562"/>
      <c r="D12" s="3562"/>
    </row>
    <row r="13" spans="1:4" ht="30" customHeight="1">
      <c r="A13" s="35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2"/>
      <c r="C13" s="3562"/>
      <c r="D13" s="3562"/>
    </row>
    <row r="14" spans="1:4" ht="15.75" customHeight="1">
      <c r="A14" s="3561" t="str">
        <f>IF(项目基本情况!B8="抵押","4.本次评估估价师所知悉的法定优先受偿款情况说明如下：","——")</f>
        <v>4.本次评估估价师所知悉的法定优先受偿款情况说明如下：</v>
      </c>
      <c r="B14" s="3562"/>
      <c r="C14" s="3562"/>
      <c r="D14" s="3562"/>
    </row>
    <row r="15" spans="1:4" ht="42" customHeight="1">
      <c r="A15" s="35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1"/>
      <c r="C15" s="3561"/>
      <c r="D15" s="3561"/>
    </row>
    <row r="16" spans="1:4" ht="30" customHeight="1">
      <c r="A16" s="3564" t="s">
        <v>943</v>
      </c>
      <c r="B16" s="3564"/>
      <c r="C16" s="3564"/>
      <c r="D16" s="3564"/>
    </row>
    <row r="17" spans="1:4" ht="144" customHeight="1">
      <c r="A17" s="3564" t="s">
        <v>944</v>
      </c>
      <c r="B17" s="3564"/>
      <c r="C17" s="3564"/>
      <c r="D17" s="3564"/>
    </row>
    <row r="18" spans="1:4" ht="15.75" customHeight="1">
      <c r="A18" s="3561" t="str">
        <f>IF(项目基本情况!B8="抵押",结果表!K120,"——")</f>
        <v>故，本次评估不存在估价师知悉的法定优先受偿款</v>
      </c>
      <c r="B18" s="3561"/>
      <c r="C18" s="3561"/>
      <c r="D18" s="3561"/>
    </row>
    <row r="19" spans="1:4" ht="46.5" customHeight="1">
      <c r="A19" s="35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1"/>
      <c r="C19" s="3561"/>
      <c r="D19" s="3561"/>
    </row>
    <row r="20" spans="1:4" ht="57.75" customHeight="1">
      <c r="A20" s="35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1"/>
      <c r="C20" s="3561"/>
      <c r="D20" s="3561"/>
    </row>
    <row r="21" spans="1:4" ht="57.75" customHeight="1">
      <c r="A21" s="35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5"/>
      <c r="C21" s="3565"/>
      <c r="D21" s="3565"/>
    </row>
    <row r="22" spans="1:4" ht="18.75" customHeight="1">
      <c r="A22" s="3566" t="s">
        <v>945</v>
      </c>
      <c r="B22" s="3566"/>
      <c r="C22" s="3566"/>
      <c r="D22" s="356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63">
        <v>42551</v>
      </c>
      <c r="D31" s="35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72" t="s">
        <v>956</v>
      </c>
      <c r="B15" s="3567" t="s">
        <v>109</v>
      </c>
      <c r="C15" s="3568"/>
    </row>
    <row r="16" spans="1:7" ht="13.5">
      <c r="A16" s="3573"/>
      <c r="B16" s="3567" t="s">
        <v>42</v>
      </c>
      <c r="C16" s="3568"/>
    </row>
    <row r="17" spans="1:3" ht="13.5">
      <c r="A17" s="3573"/>
      <c r="B17" s="3570" t="s">
        <v>957</v>
      </c>
      <c r="C17" s="1532" t="s">
        <v>956</v>
      </c>
    </row>
    <row r="18" spans="1:3" ht="13.5">
      <c r="A18" s="3573"/>
      <c r="B18" s="3570"/>
      <c r="C18" s="1532" t="s">
        <v>958</v>
      </c>
    </row>
    <row r="19" spans="1:3" ht="13.5">
      <c r="A19" s="3573"/>
      <c r="B19" s="3570"/>
      <c r="C19" s="1532" t="s">
        <v>959</v>
      </c>
    </row>
    <row r="20" spans="1:3" ht="13.5">
      <c r="A20" s="3574"/>
      <c r="B20" s="3569" t="s">
        <v>960</v>
      </c>
      <c r="C20" s="3568"/>
    </row>
    <row r="21" spans="1:3" ht="13.5">
      <c r="A21" s="1533" t="s">
        <v>961</v>
      </c>
      <c r="B21" s="1534"/>
      <c r="C21" s="1535"/>
    </row>
    <row r="22" spans="1:3" ht="13.5">
      <c r="A22" s="3571" t="s">
        <v>962</v>
      </c>
      <c r="B22" s="3569" t="s">
        <v>963</v>
      </c>
      <c r="C22" s="3568"/>
    </row>
    <row r="23" spans="1:3" ht="13.5">
      <c r="A23" s="3571"/>
      <c r="B23" s="3569" t="s">
        <v>964</v>
      </c>
      <c r="C23" s="3568"/>
    </row>
    <row r="24" spans="1:3" ht="13.5">
      <c r="A24" s="3571"/>
      <c r="B24" s="3569" t="s">
        <v>965</v>
      </c>
      <c r="C24" s="3568"/>
    </row>
    <row r="25" spans="1:3" ht="13.5">
      <c r="A25" s="3571"/>
      <c r="B25" s="3570" t="s">
        <v>966</v>
      </c>
      <c r="C25" s="1532" t="s">
        <v>967</v>
      </c>
    </row>
    <row r="26" spans="1:3" ht="13.5">
      <c r="A26" s="3571"/>
      <c r="B26" s="3570"/>
      <c r="C26" s="1532" t="s">
        <v>968</v>
      </c>
    </row>
    <row r="27" spans="1:3" ht="13.5">
      <c r="A27" s="3571"/>
      <c r="B27" s="3570"/>
      <c r="C27" s="1532" t="s">
        <v>969</v>
      </c>
    </row>
    <row r="28" spans="1:3" ht="13.5">
      <c r="A28" s="3571"/>
      <c r="B28" s="3570"/>
      <c r="C28" s="1532" t="s">
        <v>970</v>
      </c>
    </row>
    <row r="29" spans="1:3" ht="13.5">
      <c r="A29" s="3571"/>
      <c r="B29" s="3570"/>
      <c r="C29" s="1532" t="s">
        <v>971</v>
      </c>
    </row>
    <row r="30" spans="1:3" ht="13.5">
      <c r="A30" s="3571"/>
      <c r="B30" s="3570"/>
      <c r="C30" s="1532" t="s">
        <v>972</v>
      </c>
    </row>
    <row r="31" spans="1:3" ht="13.5">
      <c r="A31" s="3571"/>
      <c r="B31" s="3570"/>
      <c r="C31" s="1532" t="s">
        <v>973</v>
      </c>
    </row>
    <row r="32" spans="1:3" ht="13.5">
      <c r="A32" s="3571"/>
      <c r="B32" s="3570"/>
      <c r="C32" s="1532" t="s">
        <v>974</v>
      </c>
    </row>
    <row r="33" spans="1:3" ht="13.5">
      <c r="A33" s="3571"/>
      <c r="B33" s="357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45015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75" t="s">
        <v>2159</v>
      </c>
      <c r="B17" s="3575"/>
      <c r="C17" s="3575"/>
      <c r="D17" s="3575"/>
      <c r="E17" s="3575"/>
      <c r="F17" s="3575"/>
      <c r="G17" s="3575"/>
      <c r="H17" s="3575"/>
    </row>
    <row r="18" spans="1:8" ht="24" customHeight="1">
      <c r="A18" s="3576" t="s">
        <v>2160</v>
      </c>
      <c r="B18" s="3576"/>
      <c r="C18" s="3576"/>
      <c r="D18" s="2343"/>
      <c r="E18" s="3577" t="s">
        <v>2161</v>
      </c>
      <c r="F18" s="3576"/>
      <c r="G18" s="357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622" priority="53">
      <formula>AND($C4-TODAY()&lt;30,TODAY()&lt;$C4)</formula>
    </cfRule>
  </conditionalFormatting>
  <conditionalFormatting sqref="C20:D20">
    <cfRule type="expression" dxfId="621" priority="52">
      <formula>AND($C20-TODAY()&lt;30,TODAY()&lt;$C20)</formula>
    </cfRule>
  </conditionalFormatting>
  <conditionalFormatting sqref="C20:D20 G4 C4:D5 C13:D13">
    <cfRule type="cellIs" dxfId="620" priority="54" stopIfTrue="1" operator="lessThan">
      <formula>$B$2</formula>
    </cfRule>
  </conditionalFormatting>
  <conditionalFormatting sqref="G5 G7 G9">
    <cfRule type="cellIs" dxfId="619" priority="51" stopIfTrue="1" operator="lessThan">
      <formula>$B$2</formula>
    </cfRule>
  </conditionalFormatting>
  <conditionalFormatting sqref="C6:D6 D14 D16">
    <cfRule type="expression" dxfId="618" priority="49">
      <formula>AND($C6-TODAY()&lt;30,TODAY()&lt;$C6)</formula>
    </cfRule>
  </conditionalFormatting>
  <conditionalFormatting sqref="G6 G8 G10 C6:D6 D7:D12 D14 D16">
    <cfRule type="cellIs" dxfId="617" priority="50" stopIfTrue="1" operator="lessThan">
      <formula>$B$2</formula>
    </cfRule>
  </conditionalFormatting>
  <conditionalFormatting sqref="D12">
    <cfRule type="expression" dxfId="616" priority="47">
      <formula>AND($C12-TODAY()&lt;30,TODAY()&lt;$C12)</formula>
    </cfRule>
  </conditionalFormatting>
  <conditionalFormatting sqref="D12">
    <cfRule type="cellIs" dxfId="615" priority="48" stopIfTrue="1" operator="lessThan">
      <formula>$B$2</formula>
    </cfRule>
  </conditionalFormatting>
  <conditionalFormatting sqref="C13:D13">
    <cfRule type="expression" dxfId="614" priority="45">
      <formula>AND($C13-TODAY()&lt;30,TODAY()&lt;$C13)</formula>
    </cfRule>
  </conditionalFormatting>
  <conditionalFormatting sqref="C13:D13">
    <cfRule type="cellIs" dxfId="613" priority="46" stopIfTrue="1" operator="lessThan">
      <formula>$B$2</formula>
    </cfRule>
  </conditionalFormatting>
  <conditionalFormatting sqref="D14">
    <cfRule type="expression" dxfId="612" priority="43">
      <formula>AND($C14-TODAY()&lt;30,TODAY()&lt;$C14)</formula>
    </cfRule>
  </conditionalFormatting>
  <conditionalFormatting sqref="D14">
    <cfRule type="cellIs" dxfId="611" priority="44" stopIfTrue="1" operator="lessThan">
      <formula>$B$2</formula>
    </cfRule>
  </conditionalFormatting>
  <conditionalFormatting sqref="G13">
    <cfRule type="cellIs" dxfId="610" priority="42" stopIfTrue="1" operator="lessThan">
      <formula>$B$2</formula>
    </cfRule>
  </conditionalFormatting>
  <conditionalFormatting sqref="B4:B11 F4:F11 B13 F13:F14">
    <cfRule type="cellIs" dxfId="609" priority="41" stopIfTrue="1" operator="equal">
      <formula>"已过期"</formula>
    </cfRule>
  </conditionalFormatting>
  <conditionalFormatting sqref="C7">
    <cfRule type="cellIs" dxfId="608" priority="38" stopIfTrue="1" operator="lessThan">
      <formula>$B$2</formula>
    </cfRule>
  </conditionalFormatting>
  <conditionalFormatting sqref="C7">
    <cfRule type="expression" dxfId="607" priority="37">
      <formula>AND($C7-TODAY()&lt;30,TODAY()&lt;$C7)</formula>
    </cfRule>
  </conditionalFormatting>
  <conditionalFormatting sqref="C8">
    <cfRule type="expression" dxfId="606" priority="35">
      <formula>AND($C8-TODAY()&lt;30,TODAY()&lt;$C8)</formula>
    </cfRule>
  </conditionalFormatting>
  <conditionalFormatting sqref="C8">
    <cfRule type="cellIs" dxfId="605" priority="36" stopIfTrue="1" operator="lessThan">
      <formula>$B$2</formula>
    </cfRule>
  </conditionalFormatting>
  <conditionalFormatting sqref="C11">
    <cfRule type="expression" dxfId="604" priority="33">
      <formula>AND($C11-TODAY()&lt;30,TODAY()&lt;$C11)</formula>
    </cfRule>
  </conditionalFormatting>
  <conditionalFormatting sqref="C11">
    <cfRule type="cellIs" dxfId="603" priority="34" stopIfTrue="1" operator="lessThan">
      <formula>$B$2</formula>
    </cfRule>
  </conditionalFormatting>
  <conditionalFormatting sqref="A16:C16">
    <cfRule type="cellIs" dxfId="602" priority="32" stopIfTrue="1" operator="equal">
      <formula>"已过期"</formula>
    </cfRule>
  </conditionalFormatting>
  <conditionalFormatting sqref="E16:G16">
    <cfRule type="cellIs" dxfId="601" priority="31" stopIfTrue="1" operator="equal">
      <formula>"已过期"</formula>
    </cfRule>
  </conditionalFormatting>
  <conditionalFormatting sqref="G11">
    <cfRule type="cellIs" dxfId="600" priority="30" stopIfTrue="1" operator="lessThan">
      <formula>$B$2</formula>
    </cfRule>
  </conditionalFormatting>
  <conditionalFormatting sqref="F12">
    <cfRule type="cellIs" dxfId="599" priority="29" stopIfTrue="1" operator="equal">
      <formula>"已过期"</formula>
    </cfRule>
  </conditionalFormatting>
  <conditionalFormatting sqref="G12">
    <cfRule type="cellIs" dxfId="598" priority="28" stopIfTrue="1" operator="lessThan">
      <formula>$B$2</formula>
    </cfRule>
  </conditionalFormatting>
  <conditionalFormatting sqref="C12">
    <cfRule type="cellIs" dxfId="597" priority="27" stopIfTrue="1" operator="lessThan">
      <formula>$B$2</formula>
    </cfRule>
  </conditionalFormatting>
  <conditionalFormatting sqref="C12">
    <cfRule type="expression" dxfId="596" priority="25">
      <formula>AND($C12-TODAY()&lt;30,TODAY()&lt;$C12)</formula>
    </cfRule>
  </conditionalFormatting>
  <conditionalFormatting sqref="C12">
    <cfRule type="cellIs" dxfId="595" priority="26" stopIfTrue="1" operator="lessThan">
      <formula>$B$2</formula>
    </cfRule>
  </conditionalFormatting>
  <conditionalFormatting sqref="B12">
    <cfRule type="cellIs" dxfId="594" priority="24" stopIfTrue="1" operator="equal">
      <formula>"已过期"</formula>
    </cfRule>
  </conditionalFormatting>
  <conditionalFormatting sqref="C9:C10">
    <cfRule type="expression" dxfId="593" priority="22">
      <formula>AND($C9-TODAY()&lt;30,TODAY()&lt;$C9)</formula>
    </cfRule>
  </conditionalFormatting>
  <conditionalFormatting sqref="C9:C10">
    <cfRule type="cellIs" dxfId="592" priority="23" stopIfTrue="1" operator="lessThan">
      <formula>$B$2</formula>
    </cfRule>
  </conditionalFormatting>
  <conditionalFormatting sqref="G21">
    <cfRule type="expression" dxfId="591" priority="20" stopIfTrue="1">
      <formula>AND(#REF!-TODAY()&lt;30,TODAY()&lt;#REF!)</formula>
    </cfRule>
  </conditionalFormatting>
  <conditionalFormatting sqref="G21">
    <cfRule type="cellIs" dxfId="590" priority="21" stopIfTrue="1" operator="lessThan">
      <formula>$B$2</formula>
    </cfRule>
  </conditionalFormatting>
  <conditionalFormatting sqref="C14">
    <cfRule type="expression" dxfId="589" priority="18">
      <formula>AND($C14-TODAY()&lt;30,TODAY()&lt;$C14)</formula>
    </cfRule>
  </conditionalFormatting>
  <conditionalFormatting sqref="C14">
    <cfRule type="cellIs" dxfId="588" priority="19" stopIfTrue="1" operator="lessThan">
      <formula>$B$2</formula>
    </cfRule>
  </conditionalFormatting>
  <conditionalFormatting sqref="C14">
    <cfRule type="expression" dxfId="587" priority="16">
      <formula>AND($C14-TODAY()&lt;30,TODAY()&lt;$C14)</formula>
    </cfRule>
  </conditionalFormatting>
  <conditionalFormatting sqref="C14">
    <cfRule type="cellIs" dxfId="586" priority="17" stopIfTrue="1" operator="lessThan">
      <formula>$B$2</formula>
    </cfRule>
  </conditionalFormatting>
  <conditionalFormatting sqref="B14">
    <cfRule type="cellIs" dxfId="585" priority="15" stopIfTrue="1" operator="equal">
      <formula>"已过期"</formula>
    </cfRule>
  </conditionalFormatting>
  <conditionalFormatting sqref="G14">
    <cfRule type="cellIs" dxfId="584" priority="14" stopIfTrue="1" operator="lessThan">
      <formula>$B$2</formula>
    </cfRule>
  </conditionalFormatting>
  <conditionalFormatting sqref="D15">
    <cfRule type="expression" dxfId="583" priority="12">
      <formula>AND($C15-TODAY()&lt;30,TODAY()&lt;$C15)</formula>
    </cfRule>
  </conditionalFormatting>
  <conditionalFormatting sqref="D15">
    <cfRule type="cellIs" dxfId="582" priority="13" stopIfTrue="1" operator="lessThan">
      <formula>$B$2</formula>
    </cfRule>
  </conditionalFormatting>
  <conditionalFormatting sqref="D15">
    <cfRule type="expression" dxfId="581" priority="10">
      <formula>AND($C15-TODAY()&lt;30,TODAY()&lt;$C15)</formula>
    </cfRule>
  </conditionalFormatting>
  <conditionalFormatting sqref="D15">
    <cfRule type="cellIs" dxfId="580" priority="11" stopIfTrue="1" operator="lessThan">
      <formula>$B$2</formula>
    </cfRule>
  </conditionalFormatting>
  <conditionalFormatting sqref="F15">
    <cfRule type="cellIs" dxfId="579" priority="9" stopIfTrue="1" operator="equal">
      <formula>"已过期"</formula>
    </cfRule>
  </conditionalFormatting>
  <conditionalFormatting sqref="C15">
    <cfRule type="expression" dxfId="578" priority="7">
      <formula>AND($C15-TODAY()&lt;30,TODAY()&lt;$C15)</formula>
    </cfRule>
  </conditionalFormatting>
  <conditionalFormatting sqref="C15">
    <cfRule type="cellIs" dxfId="577" priority="8" stopIfTrue="1" operator="lessThan">
      <formula>$B$2</formula>
    </cfRule>
  </conditionalFormatting>
  <conditionalFormatting sqref="C15">
    <cfRule type="expression" dxfId="576" priority="5">
      <formula>AND($C15-TODAY()&lt;30,TODAY()&lt;$C15)</formula>
    </cfRule>
  </conditionalFormatting>
  <conditionalFormatting sqref="C15">
    <cfRule type="cellIs" dxfId="575" priority="6" stopIfTrue="1" operator="lessThan">
      <formula>$B$2</formula>
    </cfRule>
  </conditionalFormatting>
  <conditionalFormatting sqref="B15">
    <cfRule type="cellIs" dxfId="574" priority="4" stopIfTrue="1" operator="equal">
      <formula>"已过期"</formula>
    </cfRule>
  </conditionalFormatting>
  <conditionalFormatting sqref="G15">
    <cfRule type="cellIs" dxfId="573" priority="3" stopIfTrue="1" operator="lessThan">
      <formula>$B$2</formula>
    </cfRule>
  </conditionalFormatting>
  <conditionalFormatting sqref="G20">
    <cfRule type="expression" dxfId="572" priority="1" stopIfTrue="1">
      <formula>AND(#REF!-TODAY()&lt;30,TODAY()&lt;#REF!)</formula>
    </cfRule>
  </conditionalFormatting>
  <conditionalFormatting sqref="G20">
    <cfRule type="cellIs" dxfId="57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比较法-商业</vt:lpstr>
      <vt:lpstr>比较法-商业-2021案例</vt:lpstr>
      <vt:lpstr>Sheet2</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租赁情况表</vt:lpstr>
      <vt:lpstr>Sheet3</vt:lpstr>
      <vt:lpstr>'比较法-办公'!Print_Area</vt:lpstr>
      <vt:lpstr>'比较法-仓储'!Print_Area</vt:lpstr>
      <vt:lpstr>'比较法-车位'!Print_Area</vt:lpstr>
      <vt:lpstr>'比较法-工业'!Print_Area</vt:lpstr>
      <vt:lpstr>'比较法-商业'!Print_Area</vt:lpstr>
      <vt:lpstr>'比较法-商业-2021案例'!Print_Area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'比较法-商业-2021案例'!商业层高</vt:lpstr>
      <vt:lpstr>商业层高</vt:lpstr>
      <vt:lpstr>'比较法-商业-2021案例'!商业成新度</vt:lpstr>
      <vt:lpstr>商业成新度</vt:lpstr>
      <vt:lpstr>商业繁华度</vt:lpstr>
      <vt:lpstr>'比较法-商业-2021案例'!商业公共部分装修</vt:lpstr>
      <vt:lpstr>商业公共部分装修</vt:lpstr>
      <vt:lpstr>'比较法-商业-2021案例'!商业基础设施水平</vt:lpstr>
      <vt:lpstr>商业基础设施水平</vt:lpstr>
      <vt:lpstr>'比较法-商业-2021案例'!商业建筑结构</vt:lpstr>
      <vt:lpstr>商业建筑结构</vt:lpstr>
      <vt:lpstr>'比较法-商业-2021案例'!商业交易情况</vt:lpstr>
      <vt:lpstr>商业交易情况</vt:lpstr>
      <vt:lpstr>商业街名称</vt:lpstr>
      <vt:lpstr>'比较法-商业-2021案例'!商业进深比</vt:lpstr>
      <vt:lpstr>商业进深比</vt:lpstr>
      <vt:lpstr>'比较法-商业-2021案例'!商业类型</vt:lpstr>
      <vt:lpstr>商业类型</vt:lpstr>
      <vt:lpstr>'比较法-商业-2021案例'!商业临街状况</vt:lpstr>
      <vt:lpstr>商业临街状况</vt:lpstr>
      <vt:lpstr>'比较法-商业-2021案例'!商业楼层</vt:lpstr>
      <vt:lpstr>商业楼层</vt:lpstr>
      <vt:lpstr>'比较法-商业-2021案例'!商业内部装修</vt:lpstr>
      <vt:lpstr>商业内部装修</vt:lpstr>
      <vt:lpstr>'比较法-商业-2021案例'!商业人流量</vt:lpstr>
      <vt:lpstr>商业人流量</vt:lpstr>
      <vt:lpstr>'比较法-商业-2021案例'!商业业态</vt:lpstr>
      <vt:lpstr>商业业态</vt:lpstr>
      <vt:lpstr>'比较法-商业-2021案例'!商业用途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2023-03-30T06:55:39Z</dcterms:modified>
</cp:coreProperties>
</file>