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20" windowWidth="11475" windowHeight="95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state="hidden" r:id="rId21"/>
    <sheet name="基准地价修正" sheetId="43" r:id="rId22"/>
    <sheet name="基准地价修正商业" sheetId="77" r:id="rId23"/>
    <sheet name="基准地价（汇总）" sheetId="76" r:id="rId24"/>
    <sheet name="假设开发法" sheetId="12" r:id="rId25"/>
    <sheet name="收益法B" sheetId="15" r:id="rId26"/>
    <sheet name="收益法ACD" sheetId="80" r:id="rId27"/>
    <sheet name="收益法地下商业" sheetId="79"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修正" sheetId="45" state="hidden" r:id="rId39"/>
    <sheet name="容积率修正" sheetId="4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78" r:id="rId48"/>
  </sheets>
  <externalReferences>
    <externalReference r:id="rId49"/>
    <externalReference r:id="rId50"/>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23">'基准地价（汇总）'!$A$1:$E$13</definedName>
    <definedName name="_xlnm.Print_Area" localSheetId="21">基准地价修正!$A$1:$J$41,基准地价修正!$A$45:$H$88,基准地价修正!$R$1:$V$16</definedName>
    <definedName name="_xlnm.Print_Area" localSheetId="22">基准地价修正商业!$A$1:$J$41,基准地价修正商业!$A$45:$H$88,基准地价修正商业!$R$1:$V$16</definedName>
    <definedName name="_xlnm.Print_Area" localSheetId="24">假设开发法!$A$1:$K$32</definedName>
    <definedName name="_xlnm.Print_Area" localSheetId="17">结果表!$A$1:$I$127</definedName>
    <definedName name="_xlnm.Print_Area" localSheetId="28">'收益法 (元)'!$A$1:$F$43,'收益法 (元)'!$H$3:$M$29,'收益法 (元)'!$A$45:$F$71,'收益法 (元)'!$I$46:$N$65</definedName>
    <definedName name="_xlnm.Print_Area" localSheetId="29">'收益法（汇总）'!$A$1:$F$13</definedName>
    <definedName name="_xlnm.Print_Area" localSheetId="26">收益法ACD!$A$1:$F$43,收益法ACD!$H$3:$M$29,收益法ACD!$A$46:$F$71,收益法ACD!$I$46:$N$65</definedName>
    <definedName name="_xlnm.Print_Area" localSheetId="25">收益法B!$A$1:$F$43,收益法B!$H$3:$M$29,收益法B!$A$46:$F$71,收益法B!$I$46:$N$65</definedName>
    <definedName name="_xlnm.Print_Area" localSheetId="27">收益法地下商业!$A$1:$F$43,收益法地下商业!$H$3:$M$29,收益法地下商业!$A$46:$F$71,收益法地下商业!$I$46:$N$65</definedName>
    <definedName name="_xlnm.Print_Area" localSheetId="13">'数据-汇总表'!$A$1:$P$32</definedName>
    <definedName name="_xlnm.Print_Area" localSheetId="37">'土地比较法-工业'!$A$1:$K$61,'土地比较法-工业'!$A$64:$M$121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基准地价修正商业!$Q$19:$AD$19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74" i="80" l="1"/>
  <c r="Q72" i="80"/>
  <c r="Q59" i="80"/>
  <c r="K59" i="80"/>
  <c r="P61" i="80" s="1"/>
  <c r="Q58" i="80"/>
  <c r="Q51" i="80"/>
  <c r="J51" i="80"/>
  <c r="J50" i="80"/>
  <c r="M47" i="80"/>
  <c r="D46" i="80"/>
  <c r="F34" i="80"/>
  <c r="F62" i="80" s="1"/>
  <c r="F33" i="80"/>
  <c r="F61" i="80" s="1"/>
  <c r="F32" i="80"/>
  <c r="F60" i="80" s="1"/>
  <c r="F28" i="80"/>
  <c r="C28" i="80"/>
  <c r="F23" i="80"/>
  <c r="D24" i="80" s="1"/>
  <c r="D22" i="80"/>
  <c r="F21" i="80"/>
  <c r="M20" i="80"/>
  <c r="F20" i="80"/>
  <c r="M19" i="80"/>
  <c r="M18" i="80"/>
  <c r="F18" i="80"/>
  <c r="F17" i="80"/>
  <c r="F15" i="80"/>
  <c r="G1" i="80"/>
  <c r="G41" i="77"/>
  <c r="D33" i="77"/>
  <c r="D29" i="43"/>
  <c r="F7" i="80"/>
  <c r="F9" i="80"/>
  <c r="C76" i="80"/>
  <c r="F8" i="80"/>
  <c r="D23" i="80" l="1"/>
  <c r="F50" i="80"/>
  <c r="M7" i="80"/>
  <c r="Q71" i="80"/>
  <c r="F51" i="80"/>
  <c r="M23" i="80"/>
  <c r="F36" i="80"/>
  <c r="F43" i="80"/>
  <c r="M28" i="80"/>
  <c r="F42" i="80"/>
  <c r="F13" i="80"/>
  <c r="F37" i="80"/>
  <c r="M6" i="80"/>
  <c r="F26" i="80"/>
  <c r="M24" i="80"/>
  <c r="F6" i="80"/>
  <c r="M27" i="80"/>
  <c r="L48" i="80"/>
  <c r="F16" i="80"/>
  <c r="M29" i="80"/>
  <c r="M8" i="80"/>
  <c r="M22" i="80"/>
  <c r="L47" i="80"/>
  <c r="J15" i="80"/>
  <c r="F40" i="80"/>
  <c r="M9" i="80"/>
  <c r="F38" i="80"/>
  <c r="M26" i="80"/>
  <c r="F59" i="80" l="1"/>
  <c r="L57" i="80"/>
  <c r="L56" i="80"/>
  <c r="J60" i="80"/>
  <c r="Q48" i="80" s="1"/>
  <c r="I54" i="80"/>
  <c r="L60" i="80"/>
  <c r="J59" i="80"/>
  <c r="J57" i="80"/>
  <c r="J55" i="80" s="1"/>
  <c r="J58" i="80" s="1"/>
  <c r="Q50" i="80" s="1"/>
  <c r="F71" i="80"/>
  <c r="F68" i="80"/>
  <c r="F65" i="80"/>
  <c r="M17" i="80"/>
  <c r="J6" i="80"/>
  <c r="N59" i="80"/>
  <c r="L59" i="80"/>
  <c r="L58" i="80"/>
  <c r="F66" i="80"/>
  <c r="F64" i="80"/>
  <c r="C27" i="80"/>
  <c r="F31" i="80"/>
  <c r="C6" i="80"/>
  <c r="C49" i="80"/>
  <c r="C17" i="80"/>
  <c r="L46" i="80" l="1"/>
  <c r="C32" i="80"/>
  <c r="Q60" i="80"/>
  <c r="Q73" i="80"/>
  <c r="Q66" i="80"/>
  <c r="Q57" i="80"/>
  <c r="Q61" i="80"/>
  <c r="Q74" i="80"/>
  <c r="J18" i="80"/>
  <c r="G22" i="6" l="1"/>
  <c r="G21" i="6"/>
  <c r="F20" i="6"/>
  <c r="F19" i="6"/>
  <c r="C22" i="6"/>
  <c r="C21" i="6"/>
  <c r="C20" i="6"/>
  <c r="C19" i="6"/>
  <c r="M13" i="3"/>
  <c r="K13" i="3"/>
  <c r="A3" i="3"/>
  <c r="G49" i="77" l="1"/>
  <c r="G50" i="77"/>
  <c r="G51" i="77"/>
  <c r="G52" i="77"/>
  <c r="G53" i="77"/>
  <c r="G54" i="77"/>
  <c r="G55" i="77"/>
  <c r="K55" i="77" s="1"/>
  <c r="J55" i="77" s="1"/>
  <c r="D55" i="77" s="1"/>
  <c r="G56" i="77"/>
  <c r="G48" i="77"/>
  <c r="M48" i="77" s="1"/>
  <c r="N48" i="77" s="1"/>
  <c r="D5" i="9"/>
  <c r="E8" i="12"/>
  <c r="P74" i="79"/>
  <c r="Q72" i="79"/>
  <c r="Q59" i="79"/>
  <c r="K59" i="79"/>
  <c r="P61" i="79" s="1"/>
  <c r="Q58" i="79"/>
  <c r="Q51" i="79"/>
  <c r="J51" i="79"/>
  <c r="J50" i="79"/>
  <c r="M47" i="79"/>
  <c r="D46" i="79"/>
  <c r="F34" i="79"/>
  <c r="F62" i="79" s="1"/>
  <c r="F33" i="79"/>
  <c r="F61" i="79" s="1"/>
  <c r="F32" i="79"/>
  <c r="F60" i="79" s="1"/>
  <c r="F28" i="79"/>
  <c r="C28" i="79"/>
  <c r="F23" i="79"/>
  <c r="D24" i="79" s="1"/>
  <c r="D23" i="79"/>
  <c r="D22" i="79"/>
  <c r="F21" i="79"/>
  <c r="M20" i="79"/>
  <c r="F20" i="79"/>
  <c r="M19" i="79"/>
  <c r="M18" i="79"/>
  <c r="F18" i="79"/>
  <c r="F17" i="79"/>
  <c r="F15" i="79"/>
  <c r="F113" i="77"/>
  <c r="L108" i="77"/>
  <c r="H108" i="77"/>
  <c r="D108" i="77"/>
  <c r="L100" i="77"/>
  <c r="H100" i="77"/>
  <c r="D100" i="77"/>
  <c r="N99" i="77"/>
  <c r="N108" i="77" s="1"/>
  <c r="M99" i="77"/>
  <c r="L99" i="77"/>
  <c r="K99" i="77"/>
  <c r="J99" i="77"/>
  <c r="J108" i="77" s="1"/>
  <c r="I99" i="77"/>
  <c r="H99" i="77"/>
  <c r="G99" i="77"/>
  <c r="F99" i="77"/>
  <c r="F108" i="77" s="1"/>
  <c r="E99" i="77"/>
  <c r="D99" i="77"/>
  <c r="C99" i="77"/>
  <c r="M88" i="77"/>
  <c r="N88" i="77" s="1"/>
  <c r="K88" i="77"/>
  <c r="J88" i="77"/>
  <c r="D88" i="77"/>
  <c r="B88" i="77"/>
  <c r="N87" i="77"/>
  <c r="M87" i="77"/>
  <c r="K87" i="77"/>
  <c r="J87" i="77" s="1"/>
  <c r="D87" i="77"/>
  <c r="N86" i="77"/>
  <c r="M86" i="77"/>
  <c r="K86" i="77"/>
  <c r="J86" i="77" s="1"/>
  <c r="D86" i="77"/>
  <c r="B86" i="77"/>
  <c r="M85" i="77"/>
  <c r="N85" i="77" s="1"/>
  <c r="K85" i="77"/>
  <c r="J85" i="77"/>
  <c r="D85" i="77"/>
  <c r="B85" i="77"/>
  <c r="N84" i="77"/>
  <c r="M84" i="77"/>
  <c r="K84" i="77"/>
  <c r="J84" i="77" s="1"/>
  <c r="D84" i="77"/>
  <c r="B84" i="77"/>
  <c r="M83" i="77"/>
  <c r="N83" i="77" s="1"/>
  <c r="K83" i="77"/>
  <c r="J83" i="77"/>
  <c r="D83" i="77"/>
  <c r="B83" i="77"/>
  <c r="N82" i="77"/>
  <c r="M82" i="77"/>
  <c r="K82" i="77"/>
  <c r="J82" i="77" s="1"/>
  <c r="D82" i="77"/>
  <c r="B82" i="77"/>
  <c r="M81" i="77"/>
  <c r="N81" i="77" s="1"/>
  <c r="K81" i="77"/>
  <c r="J81" i="77"/>
  <c r="F81" i="77"/>
  <c r="H87" i="77" s="1"/>
  <c r="D81" i="77"/>
  <c r="E81" i="77" s="1"/>
  <c r="B79" i="77" s="1"/>
  <c r="B81" i="77"/>
  <c r="D78" i="77"/>
  <c r="B77" i="77"/>
  <c r="D76" i="77"/>
  <c r="B75" i="77"/>
  <c r="B74" i="77"/>
  <c r="B73" i="77"/>
  <c r="D72" i="77"/>
  <c r="B72" i="77"/>
  <c r="B71" i="77"/>
  <c r="F70" i="77"/>
  <c r="H77" i="77" s="1"/>
  <c r="G77" i="77" s="1"/>
  <c r="B70" i="77"/>
  <c r="B67" i="77"/>
  <c r="B66" i="77"/>
  <c r="B65" i="77"/>
  <c r="B63" i="77"/>
  <c r="B61" i="77"/>
  <c r="B60" i="77"/>
  <c r="B59" i="77"/>
  <c r="N56" i="77"/>
  <c r="M56" i="77"/>
  <c r="K56" i="77"/>
  <c r="J56" i="77" s="1"/>
  <c r="B56" i="77"/>
  <c r="M55" i="77"/>
  <c r="N55" i="77" s="1"/>
  <c r="B55" i="77"/>
  <c r="N54" i="77"/>
  <c r="M54" i="77"/>
  <c r="K54" i="77"/>
  <c r="J54" i="77" s="1"/>
  <c r="D54" i="77" s="1"/>
  <c r="B54" i="77"/>
  <c r="M53" i="77"/>
  <c r="N53" i="77" s="1"/>
  <c r="K53" i="77"/>
  <c r="J53" i="77"/>
  <c r="D53" i="77"/>
  <c r="M52" i="77"/>
  <c r="N52" i="77" s="1"/>
  <c r="K52" i="77"/>
  <c r="J52" i="77" s="1"/>
  <c r="D52" i="77" s="1"/>
  <c r="B52" i="77"/>
  <c r="N51" i="77"/>
  <c r="M51" i="77"/>
  <c r="K51" i="77"/>
  <c r="J51" i="77" s="1"/>
  <c r="D51" i="77" s="1"/>
  <c r="N50" i="77"/>
  <c r="M50" i="77"/>
  <c r="K50" i="77"/>
  <c r="J50" i="77" s="1"/>
  <c r="D50" i="77" s="1"/>
  <c r="B50" i="77"/>
  <c r="M49" i="77"/>
  <c r="N49" i="77" s="1"/>
  <c r="K49" i="77"/>
  <c r="J49" i="77" s="1"/>
  <c r="D49" i="77" s="1"/>
  <c r="B49" i="77"/>
  <c r="K48" i="77"/>
  <c r="J48" i="77" s="1"/>
  <c r="D48" i="77" s="1"/>
  <c r="B48" i="77"/>
  <c r="H39" i="77"/>
  <c r="H38" i="77"/>
  <c r="H37" i="77"/>
  <c r="H36" i="77"/>
  <c r="H35" i="77"/>
  <c r="H34" i="77"/>
  <c r="P25" i="77"/>
  <c r="P21" i="77"/>
  <c r="M20" i="77"/>
  <c r="J20" i="77"/>
  <c r="I20" i="77"/>
  <c r="O19" i="77"/>
  <c r="M19" i="77"/>
  <c r="I19" i="77"/>
  <c r="G19" i="77"/>
  <c r="P24" i="77" s="1"/>
  <c r="C19" i="77"/>
  <c r="C18" i="77"/>
  <c r="C16" i="77"/>
  <c r="F15" i="77"/>
  <c r="E15" i="77"/>
  <c r="D15" i="77"/>
  <c r="C15" i="77"/>
  <c r="C12" i="77" s="1"/>
  <c r="Y12" i="77"/>
  <c r="Y10" i="77"/>
  <c r="C10" i="77"/>
  <c r="C11" i="77" s="1"/>
  <c r="AJ9" i="77"/>
  <c r="AJ10" i="77" s="1"/>
  <c r="AI9" i="77"/>
  <c r="AI12" i="77" s="1"/>
  <c r="AH9" i="77"/>
  <c r="AH10" i="77" s="1"/>
  <c r="AG9" i="77"/>
  <c r="AG12" i="77" s="1"/>
  <c r="AF9" i="77"/>
  <c r="AF10" i="77" s="1"/>
  <c r="AE9" i="77"/>
  <c r="AE12" i="77" s="1"/>
  <c r="AD9" i="77"/>
  <c r="AD10" i="77" s="1"/>
  <c r="AC9" i="77"/>
  <c r="AC12" i="77" s="1"/>
  <c r="AB9" i="77"/>
  <c r="AB10" i="77" s="1"/>
  <c r="AA9" i="77"/>
  <c r="AA12" i="77" s="1"/>
  <c r="Z9" i="77"/>
  <c r="Z10" i="77" s="1"/>
  <c r="C9" i="77"/>
  <c r="A7" i="77"/>
  <c r="I2" i="77"/>
  <c r="M12" i="77" s="1"/>
  <c r="G2" i="77"/>
  <c r="H113" i="77" s="1"/>
  <c r="I20" i="43"/>
  <c r="G41" i="43"/>
  <c r="D39" i="43" l="1"/>
  <c r="N1" i="77"/>
  <c r="M4" i="77"/>
  <c r="N6" i="77"/>
  <c r="M7" i="77"/>
  <c r="M1" i="77"/>
  <c r="M2" i="77"/>
  <c r="N3" i="77"/>
  <c r="N5" i="77"/>
  <c r="M8" i="77"/>
  <c r="F48" i="77"/>
  <c r="E11" i="77"/>
  <c r="E10" i="77"/>
  <c r="E9" i="77"/>
  <c r="E8" i="77"/>
  <c r="N2" i="77"/>
  <c r="M3" i="77"/>
  <c r="N4" i="77"/>
  <c r="M5" i="77"/>
  <c r="M6" i="77"/>
  <c r="N7" i="77"/>
  <c r="X7" i="77"/>
  <c r="N8" i="77"/>
  <c r="N9" i="77"/>
  <c r="M10" i="77"/>
  <c r="AA10" i="77"/>
  <c r="AC10" i="77"/>
  <c r="AE10" i="77"/>
  <c r="AG10" i="77"/>
  <c r="AI10" i="77"/>
  <c r="M11" i="77"/>
  <c r="N12" i="77"/>
  <c r="Z12" i="77"/>
  <c r="AB12" i="77"/>
  <c r="AD12" i="77"/>
  <c r="AF12" i="77"/>
  <c r="AH12" i="77"/>
  <c r="AJ12" i="77"/>
  <c r="C17" i="77"/>
  <c r="E17" i="77"/>
  <c r="H17" i="77"/>
  <c r="J17" i="77"/>
  <c r="L17" i="77"/>
  <c r="N17" i="77"/>
  <c r="P22" i="77"/>
  <c r="P23" i="77"/>
  <c r="F33" i="77"/>
  <c r="F34" i="77"/>
  <c r="F35" i="77"/>
  <c r="F36" i="77"/>
  <c r="F37" i="77"/>
  <c r="F38" i="77"/>
  <c r="H49" i="77"/>
  <c r="H52" i="77"/>
  <c r="H53" i="77"/>
  <c r="H55" i="77"/>
  <c r="D56" i="77"/>
  <c r="E48" i="77" s="1"/>
  <c r="B46" i="77" s="1"/>
  <c r="F59" i="77"/>
  <c r="C6" i="77"/>
  <c r="M9" i="77"/>
  <c r="N10" i="77"/>
  <c r="N11" i="77"/>
  <c r="D17" i="77"/>
  <c r="I17" i="77"/>
  <c r="K17" i="77"/>
  <c r="M17" i="77"/>
  <c r="O17" i="77"/>
  <c r="F39" i="77"/>
  <c r="K77" i="77"/>
  <c r="M77" i="77"/>
  <c r="N77" i="77" s="1"/>
  <c r="H70" i="77"/>
  <c r="G70" i="77" s="1"/>
  <c r="H71" i="77"/>
  <c r="G71" i="77" s="1"/>
  <c r="H72" i="77"/>
  <c r="G72" i="77" s="1"/>
  <c r="H73" i="77"/>
  <c r="G73" i="77" s="1"/>
  <c r="H74" i="77"/>
  <c r="G74" i="77" s="1"/>
  <c r="H75" i="77"/>
  <c r="G75" i="77" s="1"/>
  <c r="H78" i="77"/>
  <c r="G78" i="77" s="1"/>
  <c r="H81" i="77"/>
  <c r="H83" i="77"/>
  <c r="H85" i="77"/>
  <c r="H88" i="77"/>
  <c r="F100" i="77"/>
  <c r="J100" i="77"/>
  <c r="N100" i="77"/>
  <c r="H76" i="77"/>
  <c r="G76" i="77" s="1"/>
  <c r="H82" i="77"/>
  <c r="H84" i="77"/>
  <c r="H86" i="77"/>
  <c r="C108" i="77"/>
  <c r="C100" i="77"/>
  <c r="E108" i="77"/>
  <c r="E100" i="77"/>
  <c r="G108" i="77"/>
  <c r="G100" i="77"/>
  <c r="I108" i="77"/>
  <c r="I100" i="77"/>
  <c r="K108" i="77"/>
  <c r="K100" i="77"/>
  <c r="M108" i="77"/>
  <c r="M100" i="77"/>
  <c r="H56" i="77" l="1"/>
  <c r="H50" i="77"/>
  <c r="H54" i="77"/>
  <c r="H51" i="77"/>
  <c r="H48" i="77"/>
  <c r="M75" i="77"/>
  <c r="N75" i="77" s="1"/>
  <c r="K75" i="77"/>
  <c r="J75" i="77" s="1"/>
  <c r="D75" i="77" s="1"/>
  <c r="M73" i="77"/>
  <c r="N73" i="77" s="1"/>
  <c r="K73" i="77"/>
  <c r="M71" i="77"/>
  <c r="N71" i="77" s="1"/>
  <c r="K71" i="77"/>
  <c r="J71" i="77" s="1"/>
  <c r="D71" i="77" s="1"/>
  <c r="D77" i="77"/>
  <c r="J77" i="77"/>
  <c r="D5" i="77"/>
  <c r="H67" i="77"/>
  <c r="G67" i="77" s="1"/>
  <c r="H66" i="77"/>
  <c r="G66" i="77" s="1"/>
  <c r="H65" i="77"/>
  <c r="G65" i="77" s="1"/>
  <c r="H63" i="77"/>
  <c r="G63" i="77" s="1"/>
  <c r="H62" i="77"/>
  <c r="G62" i="77" s="1"/>
  <c r="H64" i="77"/>
  <c r="G64" i="77" s="1"/>
  <c r="H61" i="77"/>
  <c r="G61" i="77" s="1"/>
  <c r="H60" i="77"/>
  <c r="G60" i="77" s="1"/>
  <c r="H59" i="77"/>
  <c r="G59" i="77" s="1"/>
  <c r="G17" i="77"/>
  <c r="C7" i="77"/>
  <c r="C5" i="77" s="1"/>
  <c r="K76" i="77"/>
  <c r="J76" i="77" s="1"/>
  <c r="M76" i="77"/>
  <c r="N76" i="77" s="1"/>
  <c r="M78" i="77"/>
  <c r="N78" i="77" s="1"/>
  <c r="K78" i="77"/>
  <c r="J78" i="77" s="1"/>
  <c r="M74" i="77"/>
  <c r="N74" i="77" s="1"/>
  <c r="K74" i="77"/>
  <c r="J74" i="77" s="1"/>
  <c r="D74" i="77" s="1"/>
  <c r="M72" i="77"/>
  <c r="N72" i="77" s="1"/>
  <c r="K72" i="77"/>
  <c r="J72" i="77" s="1"/>
  <c r="M70" i="77"/>
  <c r="N70" i="77" s="1"/>
  <c r="K70" i="77"/>
  <c r="M60" i="77" l="1"/>
  <c r="N60" i="77" s="1"/>
  <c r="K60" i="77"/>
  <c r="J60" i="77" s="1"/>
  <c r="D60" i="77" s="1"/>
  <c r="M64" i="77"/>
  <c r="N64" i="77" s="1"/>
  <c r="K64" i="77"/>
  <c r="J64" i="77" s="1"/>
  <c r="D64" i="77" s="1"/>
  <c r="K63" i="77"/>
  <c r="J63" i="77" s="1"/>
  <c r="D63" i="77" s="1"/>
  <c r="M63" i="77"/>
  <c r="N63" i="77" s="1"/>
  <c r="K66" i="77"/>
  <c r="J66" i="77" s="1"/>
  <c r="D66" i="77" s="1"/>
  <c r="M66" i="77"/>
  <c r="N66" i="77" s="1"/>
  <c r="J73" i="77"/>
  <c r="D73" i="77"/>
  <c r="J70" i="77"/>
  <c r="D70" i="77"/>
  <c r="E70" i="77" s="1"/>
  <c r="B68" i="77" s="1"/>
  <c r="M59" i="77"/>
  <c r="N59" i="77" s="1"/>
  <c r="K59" i="77"/>
  <c r="J59" i="77" s="1"/>
  <c r="D59" i="77" s="1"/>
  <c r="M61" i="77"/>
  <c r="N61" i="77" s="1"/>
  <c r="K61" i="77"/>
  <c r="J61" i="77" s="1"/>
  <c r="D61" i="77" s="1"/>
  <c r="K62" i="77"/>
  <c r="J62" i="77" s="1"/>
  <c r="D62" i="77" s="1"/>
  <c r="M62" i="77"/>
  <c r="N62" i="77" s="1"/>
  <c r="K65" i="77"/>
  <c r="J65" i="77" s="1"/>
  <c r="D65" i="77" s="1"/>
  <c r="M65" i="77"/>
  <c r="N65" i="77" s="1"/>
  <c r="K67" i="77"/>
  <c r="J67" i="77" s="1"/>
  <c r="D67" i="77" s="1"/>
  <c r="M67" i="77"/>
  <c r="N67" i="77" s="1"/>
  <c r="E59" i="77" l="1"/>
  <c r="B57" i="77" s="1"/>
  <c r="C24" i="77" s="1"/>
  <c r="H33" i="77" l="1"/>
  <c r="D1" i="77"/>
  <c r="AH5" i="7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c r="P61" i="15"/>
  <c r="P74" i="67"/>
  <c r="D116" i="39"/>
  <c r="E116" i="39"/>
  <c r="F116" i="39"/>
  <c r="G116" i="39"/>
  <c r="H116" i="39"/>
  <c r="I116" i="39"/>
  <c r="J116" i="39"/>
  <c r="K116" i="39"/>
  <c r="L116" i="39"/>
  <c r="M116" i="39"/>
  <c r="C116" i="39"/>
  <c r="A21" i="62"/>
  <c r="A20" i="62"/>
  <c r="B66" i="72" s="1"/>
  <c r="A22" i="51"/>
  <c r="A21" i="51"/>
  <c r="B16" i="72" s="1"/>
  <c r="A20" i="51"/>
  <c r="A15" i="62"/>
  <c r="A14" i="62"/>
  <c r="A13" i="62"/>
  <c r="B59" i="72" s="1"/>
  <c r="A19" i="62"/>
  <c r="A12" i="62"/>
  <c r="B58" i="72" s="1"/>
  <c r="A120" i="9"/>
  <c r="H2" i="52"/>
  <c r="A1" i="52"/>
  <c r="A3" i="53"/>
  <c r="Q18" i="71"/>
  <c r="P18" i="71"/>
  <c r="O18" i="71"/>
  <c r="N18"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65" i="72"/>
  <c r="B60" i="72"/>
  <c r="B67"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D78" i="43"/>
  <c r="D76" i="43"/>
  <c r="D72"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G1" i="79" s="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T35" i="4" s="1"/>
  <c r="A19" i="51" s="1"/>
  <c r="B14" i="72" s="1"/>
  <c r="G13" i="1"/>
  <c r="G11" i="1"/>
  <c r="I15" i="4"/>
  <c r="H15" i="4"/>
  <c r="G15" i="4"/>
  <c r="F8" i="1" s="1"/>
  <c r="G8" i="1" s="1"/>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G62" i="43" s="1"/>
  <c r="M62" i="43" s="1"/>
  <c r="N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G73" i="43" s="1"/>
  <c r="M73" i="43" s="1"/>
  <c r="N73" i="43" s="1"/>
  <c r="M11" i="43"/>
  <c r="D17" i="43"/>
  <c r="F39" i="43"/>
  <c r="I17" i="43"/>
  <c r="F35" i="43"/>
  <c r="J17" i="43"/>
  <c r="F6" i="1"/>
  <c r="U17" i="39"/>
  <c r="S14" i="35"/>
  <c r="U43" i="21"/>
  <c r="U35" i="21"/>
  <c r="AC35" i="21"/>
  <c r="U10" i="2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G75" i="43" s="1"/>
  <c r="M75" i="43" s="1"/>
  <c r="N75"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2" i="43"/>
  <c r="H87" i="43"/>
  <c r="K9" i="1"/>
  <c r="M9" i="1" s="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D1" i="66"/>
  <c r="E10" i="66"/>
  <c r="AZ80" i="3"/>
  <c r="AZ84" i="3"/>
  <c r="AZ88" i="3"/>
  <c r="AZ107" i="3"/>
  <c r="AZ111" i="3"/>
  <c r="K12" i="1"/>
  <c r="M12" i="1" s="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BA5" i="3"/>
  <c r="E11" i="6"/>
  <c r="E61" i="39" s="1"/>
  <c r="BL17" i="3"/>
  <c r="AZ17" i="3"/>
  <c r="BL13" i="3"/>
  <c r="G30" i="6"/>
  <c r="G31" i="6" s="1"/>
  <c r="J56" i="9"/>
  <c r="J57" i="9" s="1"/>
  <c r="J59" i="9" s="1"/>
  <c r="J61" i="9" s="1"/>
  <c r="A24" i="51"/>
  <c r="B18" i="72"/>
  <c r="U29" i="34"/>
  <c r="E14" i="6"/>
  <c r="E64" i="39" s="1"/>
  <c r="E5" i="6"/>
  <c r="D9" i="11" s="1"/>
  <c r="C9" i="11" s="1"/>
  <c r="E32" i="6"/>
  <c r="L19" i="6" s="1"/>
  <c r="G1" i="68"/>
  <c r="K1" i="12"/>
  <c r="F30" i="6"/>
  <c r="E28" i="6"/>
  <c r="E19" i="69"/>
  <c r="E19" i="68"/>
  <c r="E19" i="11"/>
  <c r="E1" i="73"/>
  <c r="G41" i="69"/>
  <c r="G22" i="69"/>
  <c r="G41" i="68"/>
  <c r="G22" i="68"/>
  <c r="G27" i="12"/>
  <c r="G26" i="12"/>
  <c r="G41" i="11"/>
  <c r="G22" i="11"/>
  <c r="G25" i="12"/>
  <c r="C100" i="43"/>
  <c r="C7" i="43"/>
  <c r="E81" i="43"/>
  <c r="B79" i="43"/>
  <c r="E48" i="43"/>
  <c r="B46" i="43" s="1"/>
  <c r="F100" i="43"/>
  <c r="H17" i="43"/>
  <c r="G6" i="1"/>
  <c r="H85" i="43"/>
  <c r="H81" i="43"/>
  <c r="H84" i="43"/>
  <c r="H88" i="43"/>
  <c r="H53" i="43"/>
  <c r="H78" i="43"/>
  <c r="G78" i="43" s="1"/>
  <c r="K78" i="43" s="1"/>
  <c r="J78" i="43" s="1"/>
  <c r="C17" i="43"/>
  <c r="F33" i="43"/>
  <c r="K17" i="43"/>
  <c r="F34" i="43"/>
  <c r="N6" i="43"/>
  <c r="C6" i="43"/>
  <c r="N3" i="43"/>
  <c r="F38" i="43"/>
  <c r="F37" i="43"/>
  <c r="M9" i="43"/>
  <c r="N5" i="43"/>
  <c r="M12" i="43"/>
  <c r="B19" i="53"/>
  <c r="B37" i="72" s="1"/>
  <c r="C7" i="39"/>
  <c r="C68" i="39"/>
  <c r="C7" i="35"/>
  <c r="C7" i="33"/>
  <c r="C58" i="33" s="1"/>
  <c r="C7" i="21"/>
  <c r="C58" i="21" s="1"/>
  <c r="C7" i="40"/>
  <c r="C63" i="40" s="1"/>
  <c r="D63" i="40" s="1"/>
  <c r="E63" i="40" s="1"/>
  <c r="M47" i="9"/>
  <c r="G19" i="43"/>
  <c r="O19" i="43"/>
  <c r="C46" i="36"/>
  <c r="C59" i="34"/>
  <c r="D59" i="34" s="1"/>
  <c r="E59" i="34" s="1"/>
  <c r="C52" i="37"/>
  <c r="A4" i="51"/>
  <c r="B6" i="72" s="1"/>
  <c r="C48" i="35"/>
  <c r="H66" i="43"/>
  <c r="G66" i="43" s="1"/>
  <c r="M66" i="43" s="1"/>
  <c r="N66" i="43" s="1"/>
  <c r="H65" i="43"/>
  <c r="G65" i="43" s="1"/>
  <c r="M65" i="43" s="1"/>
  <c r="N65" i="43" s="1"/>
  <c r="H64" i="43"/>
  <c r="G64" i="43" s="1"/>
  <c r="M64" i="43" s="1"/>
  <c r="N64" i="43" s="1"/>
  <c r="H63" i="43"/>
  <c r="G63" i="43" s="1"/>
  <c r="M63" i="43" s="1"/>
  <c r="N63" i="43" s="1"/>
  <c r="H55" i="43"/>
  <c r="H56" i="43"/>
  <c r="H72" i="43"/>
  <c r="G72" i="43" s="1"/>
  <c r="M72" i="43" s="1"/>
  <c r="N72" i="43" s="1"/>
  <c r="L20" i="6"/>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P6" i="1" s="1"/>
  <c r="F31" i="12"/>
  <c r="F28" i="15"/>
  <c r="C28" i="15"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R22" i="3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E8" i="1"/>
  <c r="AG6" i="1"/>
  <c r="H109" i="9"/>
  <c r="H110" i="9" s="1"/>
  <c r="D18" i="53" s="1"/>
  <c r="B35" i="72" s="1"/>
  <c r="D124" i="9"/>
  <c r="H14" i="74" s="1"/>
  <c r="B7" i="74" s="1"/>
  <c r="H112" i="9"/>
  <c r="D21" i="53" s="1"/>
  <c r="B39" i="72" s="1"/>
  <c r="H111" i="9"/>
  <c r="D126" i="9"/>
  <c r="I14" i="74" s="1"/>
  <c r="B8" i="74" s="1"/>
  <c r="D19" i="53"/>
  <c r="B38" i="72"/>
  <c r="D20" i="53"/>
  <c r="B40" i="72" s="1"/>
  <c r="AD3" i="71"/>
  <c r="C65" i="40"/>
  <c r="J1" i="73"/>
  <c r="H77" i="43"/>
  <c r="G77" i="43" s="1"/>
  <c r="M77" i="43" s="1"/>
  <c r="N77" i="43" s="1"/>
  <c r="H76" i="43"/>
  <c r="G76" i="43" s="1"/>
  <c r="M76" i="43" s="1"/>
  <c r="N76" i="43" s="1"/>
  <c r="H51" i="43"/>
  <c r="H67" i="43"/>
  <c r="G67" i="43" s="1"/>
  <c r="M67" i="43" s="1"/>
  <c r="N67" i="43" s="1"/>
  <c r="H59" i="43"/>
  <c r="G59" i="43" s="1"/>
  <c r="M59" i="43" s="1"/>
  <c r="N59" i="43" s="1"/>
  <c r="H60" i="43"/>
  <c r="G60" i="43" s="1"/>
  <c r="M60" i="43" s="1"/>
  <c r="N60" i="43" s="1"/>
  <c r="H61" i="43"/>
  <c r="G61" i="43" s="1"/>
  <c r="M61" i="43" s="1"/>
  <c r="N61" i="43" s="1"/>
  <c r="M4" i="43"/>
  <c r="M5" i="43"/>
  <c r="N12" i="43"/>
  <c r="N11" i="43"/>
  <c r="M10" i="43"/>
  <c r="M2" i="43"/>
  <c r="M7" i="43"/>
  <c r="H70" i="43"/>
  <c r="G70" i="43" s="1"/>
  <c r="M70" i="43" s="1"/>
  <c r="N70" i="43" s="1"/>
  <c r="H54" i="43"/>
  <c r="N9" i="43"/>
  <c r="M8" i="43"/>
  <c r="N10" i="43"/>
  <c r="H48" i="43"/>
  <c r="H74" i="43"/>
  <c r="G74" i="43" s="1"/>
  <c r="M74" i="43" s="1"/>
  <c r="N74" i="43" s="1"/>
  <c r="M6" i="43"/>
  <c r="N7" i="43"/>
  <c r="N4" i="43"/>
  <c r="N2" i="43"/>
  <c r="H49" i="43"/>
  <c r="N17" i="43"/>
  <c r="L17" i="43"/>
  <c r="O17" i="43"/>
  <c r="M17" i="43"/>
  <c r="E17" i="43"/>
  <c r="C70" i="39"/>
  <c r="D68" i="39"/>
  <c r="E68" i="39" s="1"/>
  <c r="D58" i="21"/>
  <c r="E58" i="21" s="1"/>
  <c r="F58" i="21" s="1"/>
  <c r="G58" i="21" s="1"/>
  <c r="H58" i="21" s="1"/>
  <c r="I58" i="21" s="1"/>
  <c r="J58" i="21" s="1"/>
  <c r="K58" i="21" s="1"/>
  <c r="L58" i="21" s="1"/>
  <c r="M58" i="21" s="1"/>
  <c r="N58" i="21" s="1"/>
  <c r="O58" i="21" s="1"/>
  <c r="C24" i="12"/>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D65" i="40"/>
  <c r="D70" i="39"/>
  <c r="V12" i="71"/>
  <c r="C12" i="71"/>
  <c r="D13" i="71"/>
  <c r="E65" i="40"/>
  <c r="F63" i="40"/>
  <c r="F68" i="39"/>
  <c r="E70" i="39"/>
  <c r="D10" i="71"/>
  <c r="T12" i="71"/>
  <c r="D11" i="71"/>
  <c r="D12" i="71"/>
  <c r="F65" i="40"/>
  <c r="G63" i="40"/>
  <c r="G68" i="39"/>
  <c r="F70" i="39"/>
  <c r="C19" i="43"/>
  <c r="U12" i="71"/>
  <c r="G65" i="40"/>
  <c r="H63" i="40"/>
  <c r="H68" i="39"/>
  <c r="G70" i="39"/>
  <c r="H65" i="40"/>
  <c r="I63" i="40"/>
  <c r="I68" i="39"/>
  <c r="I70" i="39" s="1"/>
  <c r="H70" i="39"/>
  <c r="I65" i="40"/>
  <c r="J63" i="40"/>
  <c r="J68" i="39"/>
  <c r="K68" i="39" s="1"/>
  <c r="K63" i="40"/>
  <c r="J65" i="40"/>
  <c r="J70" i="39"/>
  <c r="L63" i="40"/>
  <c r="K65" i="40"/>
  <c r="M63" i="40"/>
  <c r="L65" i="40"/>
  <c r="N63" i="40"/>
  <c r="M65" i="40"/>
  <c r="N65" i="40"/>
  <c r="O63" i="40"/>
  <c r="O65" i="40" s="1"/>
  <c r="M27" i="79"/>
  <c r="F8" i="79"/>
  <c r="F42" i="67"/>
  <c r="D6" i="73"/>
  <c r="M9" i="67"/>
  <c r="F40" i="15"/>
  <c r="F6" i="73"/>
  <c r="B10" i="76"/>
  <c r="M6" i="79"/>
  <c r="C76" i="67"/>
  <c r="B9" i="76"/>
  <c r="M24" i="15"/>
  <c r="AO8" i="1"/>
  <c r="E11" i="76"/>
  <c r="F37" i="79"/>
  <c r="F36" i="79"/>
  <c r="M29" i="15"/>
  <c r="L47" i="67"/>
  <c r="F42" i="15"/>
  <c r="F9" i="15"/>
  <c r="F38" i="15"/>
  <c r="F13" i="15"/>
  <c r="J15" i="79"/>
  <c r="F37" i="67"/>
  <c r="M27" i="15"/>
  <c r="F4" i="73"/>
  <c r="E12" i="76"/>
  <c r="B11" i="76"/>
  <c r="J15" i="67"/>
  <c r="F26" i="67"/>
  <c r="AO10" i="1"/>
  <c r="M9" i="79"/>
  <c r="F13" i="79"/>
  <c r="D35" i="9"/>
  <c r="F8" i="15"/>
  <c r="F43" i="67"/>
  <c r="F8" i="67"/>
  <c r="D34" i="9"/>
  <c r="E8" i="76"/>
  <c r="L47" i="79"/>
  <c r="M23" i="67"/>
  <c r="M8" i="67"/>
  <c r="B13" i="76"/>
  <c r="AO13" i="1"/>
  <c r="L47" i="15"/>
  <c r="D2" i="35"/>
  <c r="F16" i="79"/>
  <c r="E2" i="68"/>
  <c r="M28" i="15"/>
  <c r="F7" i="73"/>
  <c r="D3" i="73"/>
  <c r="F9" i="67"/>
  <c r="D2" i="37"/>
  <c r="L48" i="79"/>
  <c r="F6" i="79"/>
  <c r="F43" i="79"/>
  <c r="F6" i="15"/>
  <c r="M8" i="15"/>
  <c r="B8" i="76"/>
  <c r="D5" i="73"/>
  <c r="F40" i="79"/>
  <c r="F43" i="15"/>
  <c r="F36" i="15"/>
  <c r="E9" i="76"/>
  <c r="M28" i="67"/>
  <c r="F41" i="67"/>
  <c r="J15" i="15"/>
  <c r="F38" i="79"/>
  <c r="F9" i="79"/>
  <c r="D2" i="33"/>
  <c r="F7" i="67"/>
  <c r="M6" i="15"/>
  <c r="F7" i="79"/>
  <c r="M23" i="15"/>
  <c r="M8" i="79"/>
  <c r="E13" i="76"/>
  <c r="M9" i="15"/>
  <c r="AO11" i="1"/>
  <c r="F37" i="15"/>
  <c r="F7" i="15"/>
  <c r="M29" i="67"/>
  <c r="F42" i="79"/>
  <c r="M22" i="79"/>
  <c r="F13" i="67"/>
  <c r="F38" i="67"/>
  <c r="F6" i="67"/>
  <c r="D2" i="34"/>
  <c r="F36" i="67"/>
  <c r="F40" i="67"/>
  <c r="B12" i="76"/>
  <c r="F26" i="15"/>
  <c r="M28" i="79"/>
  <c r="F16" i="15"/>
  <c r="D2" i="21"/>
  <c r="L48" i="67"/>
  <c r="M27" i="67"/>
  <c r="E2" i="69"/>
  <c r="L48" i="15"/>
  <c r="M23" i="79"/>
  <c r="F26" i="79"/>
  <c r="D4" i="73"/>
  <c r="F16" i="67"/>
  <c r="C76" i="15"/>
  <c r="M26" i="67"/>
  <c r="F20" i="31"/>
  <c r="M24" i="79"/>
  <c r="C76" i="79"/>
  <c r="AO12" i="1"/>
  <c r="M26" i="15"/>
  <c r="D2" i="36"/>
  <c r="M29" i="79"/>
  <c r="M6" i="67"/>
  <c r="M24" i="67"/>
  <c r="M26" i="79"/>
  <c r="M22" i="67"/>
  <c r="F3" i="73"/>
  <c r="E10" i="76"/>
  <c r="M22" i="15"/>
  <c r="D7" i="73"/>
  <c r="F5" i="73"/>
  <c r="D16" i="53" l="1"/>
  <c r="C40" i="69"/>
  <c r="C21" i="69"/>
  <c r="D23" i="67"/>
  <c r="D22" i="67"/>
  <c r="E8" i="6"/>
  <c r="I4" i="6"/>
  <c r="E15" i="6"/>
  <c r="E65" i="39" s="1"/>
  <c r="F51" i="79"/>
  <c r="Q71" i="79"/>
  <c r="C27" i="79"/>
  <c r="F64" i="79"/>
  <c r="F68" i="79"/>
  <c r="L59" i="79"/>
  <c r="N59" i="79"/>
  <c r="L58" i="79"/>
  <c r="F66" i="79"/>
  <c r="J60" i="79"/>
  <c r="Q48" i="79" s="1"/>
  <c r="L56" i="79"/>
  <c r="L60" i="79"/>
  <c r="J57" i="79"/>
  <c r="J55" i="79" s="1"/>
  <c r="J58" i="79" s="1"/>
  <c r="Q50" i="79" s="1"/>
  <c r="L57" i="79"/>
  <c r="I54" i="79"/>
  <c r="J59" i="79"/>
  <c r="F65" i="79"/>
  <c r="F3" i="35"/>
  <c r="G3" i="43"/>
  <c r="G3" i="77"/>
  <c r="M7" i="79"/>
  <c r="F50" i="79"/>
  <c r="F31" i="79"/>
  <c r="C6" i="79"/>
  <c r="C32" i="79" s="1"/>
  <c r="F71" i="79"/>
  <c r="M7" i="1"/>
  <c r="E10" i="43"/>
  <c r="E8" i="43"/>
  <c r="E11" i="43"/>
  <c r="E9" i="43"/>
  <c r="K59" i="43"/>
  <c r="J59" i="43" s="1"/>
  <c r="D59" i="43" s="1"/>
  <c r="K60" i="43"/>
  <c r="J60" i="43" s="1"/>
  <c r="D60" i="43" s="1"/>
  <c r="K61" i="43"/>
  <c r="J61" i="43" s="1"/>
  <c r="D61" i="43" s="1"/>
  <c r="K62" i="43"/>
  <c r="J62" i="43" s="1"/>
  <c r="D62" i="43" s="1"/>
  <c r="K63" i="43"/>
  <c r="J63" i="43" s="1"/>
  <c r="D63" i="43" s="1"/>
  <c r="K64" i="43"/>
  <c r="J64" i="43" s="1"/>
  <c r="D64" i="43" s="1"/>
  <c r="K65" i="43"/>
  <c r="J65" i="43" s="1"/>
  <c r="D65" i="43" s="1"/>
  <c r="K66" i="43"/>
  <c r="J66" i="43" s="1"/>
  <c r="D66" i="43" s="1"/>
  <c r="K67" i="43"/>
  <c r="J67" i="43" s="1"/>
  <c r="D67" i="43" s="1"/>
  <c r="E20" i="77"/>
  <c r="E59" i="43"/>
  <c r="B57" i="43" s="1"/>
  <c r="K70" i="43"/>
  <c r="K72" i="43"/>
  <c r="J72" i="43" s="1"/>
  <c r="K73" i="43"/>
  <c r="K75" i="43"/>
  <c r="J75" i="43" s="1"/>
  <c r="D75" i="43" s="1"/>
  <c r="K76" i="43"/>
  <c r="J76" i="43" s="1"/>
  <c r="K77" i="43"/>
  <c r="M78" i="43"/>
  <c r="N78" i="43" s="1"/>
  <c r="K74" i="43"/>
  <c r="J74" i="43" s="1"/>
  <c r="D74" i="43" s="1"/>
  <c r="H86" i="43"/>
  <c r="G17" i="43"/>
  <c r="C16" i="43" s="1"/>
  <c r="D5" i="43" s="1"/>
  <c r="H71" i="43"/>
  <c r="G71" i="43" s="1"/>
  <c r="H50" i="43"/>
  <c r="C92" i="9"/>
  <c r="C94" i="9"/>
  <c r="D68" i="9"/>
  <c r="M18" i="67"/>
  <c r="F30" i="68"/>
  <c r="F48" i="68" s="1"/>
  <c r="C48" i="68"/>
  <c r="C77" i="9"/>
  <c r="C74" i="9" s="1"/>
  <c r="F54" i="9"/>
  <c r="M18" i="15"/>
  <c r="F32" i="15"/>
  <c r="F60" i="15" s="1"/>
  <c r="F30" i="69"/>
  <c r="F32" i="67"/>
  <c r="F60" i="67" s="1"/>
  <c r="F52" i="9"/>
  <c r="F28" i="67"/>
  <c r="C28" i="67" s="1"/>
  <c r="F30" i="11"/>
  <c r="C13" i="12"/>
  <c r="F53" i="9"/>
  <c r="C21" i="68"/>
  <c r="L27" i="6"/>
  <c r="C36" i="69"/>
  <c r="G16" i="1"/>
  <c r="J10" i="40" s="1"/>
  <c r="AC10" i="40" s="1"/>
  <c r="C34" i="69"/>
  <c r="C35" i="69" s="1"/>
  <c r="G5" i="3"/>
  <c r="B3" i="3" s="1"/>
  <c r="E13" i="3" s="1"/>
  <c r="E59" i="40"/>
  <c r="AZ5" i="3"/>
  <c r="E3" i="6" s="1"/>
  <c r="D3" i="33" s="1"/>
  <c r="E60" i="40"/>
  <c r="E136" i="3"/>
  <c r="E402" i="3"/>
  <c r="D19" i="12"/>
  <c r="C19" i="12" s="1"/>
  <c r="E56" i="40"/>
  <c r="E13" i="6"/>
  <c r="E568" i="3"/>
  <c r="D9" i="68"/>
  <c r="C9" i="68" s="1"/>
  <c r="D9" i="69"/>
  <c r="C9" i="69" s="1"/>
  <c r="E12" i="6"/>
  <c r="F27" i="6"/>
  <c r="E27" i="6" s="1"/>
  <c r="K20" i="6" s="1"/>
  <c r="E56" i="39"/>
  <c r="E51" i="40"/>
  <c r="E30" i="6"/>
  <c r="K15" i="1"/>
  <c r="K16" i="1" s="1"/>
  <c r="E518" i="3"/>
  <c r="E359" i="3"/>
  <c r="E114" i="3"/>
  <c r="E395" i="3"/>
  <c r="E445" i="3"/>
  <c r="E535" i="3"/>
  <c r="E539" i="3"/>
  <c r="E567" i="3"/>
  <c r="E461" i="3"/>
  <c r="E227" i="3"/>
  <c r="E205" i="3"/>
  <c r="E165" i="3"/>
  <c r="E128" i="3"/>
  <c r="E311" i="3"/>
  <c r="E358"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53" i="3"/>
  <c r="E125" i="3"/>
  <c r="E175" i="3"/>
  <c r="E217" i="3"/>
  <c r="E319" i="3"/>
  <c r="E366" i="3"/>
  <c r="E530" i="3"/>
  <c r="E526" i="3"/>
  <c r="E501" i="3"/>
  <c r="E553" i="3"/>
  <c r="E343" i="3"/>
  <c r="E268" i="3"/>
  <c r="E153" i="3"/>
  <c r="E282" i="3"/>
  <c r="E305" i="3"/>
  <c r="E322" i="3"/>
  <c r="E426" i="3"/>
  <c r="N6" i="3"/>
  <c r="E508" i="3"/>
  <c r="AJ6" i="3"/>
  <c r="E328" i="3"/>
  <c r="O11" i="1"/>
  <c r="P11" i="1" s="1"/>
  <c r="O9" i="1"/>
  <c r="P9" i="1" s="1"/>
  <c r="O8" i="1"/>
  <c r="P8" i="1" s="1"/>
  <c r="O14" i="1"/>
  <c r="P14" i="1" s="1"/>
  <c r="O12" i="1"/>
  <c r="P12" i="1" s="1"/>
  <c r="H16" i="1"/>
  <c r="Q16"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D125" i="9"/>
  <c r="D11" i="52" s="1"/>
  <c r="D10" i="52"/>
  <c r="D12" i="52"/>
  <c r="D127" i="9"/>
  <c r="D13" i="52" s="1"/>
  <c r="J7" i="40"/>
  <c r="AC7" i="40" s="1"/>
  <c r="V42" i="40" s="1"/>
  <c r="I42" i="40" s="1"/>
  <c r="I46" i="40" s="1"/>
  <c r="J46" i="40" s="1"/>
  <c r="F7" i="40"/>
  <c r="AA7" i="40" s="1"/>
  <c r="R42" i="40" s="1"/>
  <c r="R43" i="40" s="1"/>
  <c r="H7" i="40"/>
  <c r="U7" i="40" s="1"/>
  <c r="L68" i="39"/>
  <c r="K70" i="39"/>
  <c r="F59" i="34"/>
  <c r="G59" i="34" s="1"/>
  <c r="H59" i="34" s="1"/>
  <c r="I59" i="34" s="1"/>
  <c r="J59" i="34" s="1"/>
  <c r="K59" i="34" s="1"/>
  <c r="L59" i="34" s="1"/>
  <c r="M59" i="34" s="1"/>
  <c r="N59" i="34" s="1"/>
  <c r="O59" i="34" s="1"/>
  <c r="J7" i="34"/>
  <c r="H7" i="34"/>
  <c r="F7" i="34"/>
  <c r="D46" i="36"/>
  <c r="F7" i="21"/>
  <c r="J7" i="21"/>
  <c r="H7" i="21"/>
  <c r="F10" i="39"/>
  <c r="H10" i="40"/>
  <c r="D48" i="35"/>
  <c r="D52" i="37"/>
  <c r="D58" i="33"/>
  <c r="E58" i="33" s="1"/>
  <c r="F58" i="33" s="1"/>
  <c r="G58" i="33" s="1"/>
  <c r="H58" i="33" s="1"/>
  <c r="I58" i="33" s="1"/>
  <c r="J58" i="33" s="1"/>
  <c r="K58" i="33" s="1"/>
  <c r="L58" i="33" s="1"/>
  <c r="M58" i="33" s="1"/>
  <c r="N58" i="33" s="1"/>
  <c r="O58" i="33" s="1"/>
  <c r="J7" i="33"/>
  <c r="F7" i="33"/>
  <c r="H7" i="33"/>
  <c r="F31" i="67"/>
  <c r="F31" i="15"/>
  <c r="K4" i="4"/>
  <c r="B46" i="48" s="1"/>
  <c r="B4" i="72" s="1"/>
  <c r="B4" i="62"/>
  <c r="B71" i="72" s="1"/>
  <c r="D9" i="53"/>
  <c r="B25" i="72" s="1"/>
  <c r="B24" i="72"/>
  <c r="K120" i="9"/>
  <c r="D7" i="71"/>
  <c r="C6" i="71"/>
  <c r="Y8" i="71"/>
  <c r="Z8" i="71" s="1"/>
  <c r="Y7" i="71"/>
  <c r="Z7" i="71" s="1"/>
  <c r="AA8" i="71"/>
  <c r="AB3" i="71"/>
  <c r="B8" i="71"/>
  <c r="B7" i="71" s="1"/>
  <c r="B6" i="71" s="1"/>
  <c r="B5" i="71" s="1"/>
  <c r="X8" i="71"/>
  <c r="AB8" i="71"/>
  <c r="Y3" i="71"/>
  <c r="Z3" i="71" s="1"/>
  <c r="D8" i="71"/>
  <c r="F8" i="71"/>
  <c r="F7" i="71" s="1"/>
  <c r="F6" i="71" s="1"/>
  <c r="F5" i="71" s="1"/>
  <c r="S7" i="40"/>
  <c r="AB7" i="40"/>
  <c r="T42" i="40" s="1"/>
  <c r="G42" i="40" s="1"/>
  <c r="W7" i="40"/>
  <c r="AF3" i="71"/>
  <c r="P22" i="43" s="1"/>
  <c r="C6" i="67"/>
  <c r="B10" i="70"/>
  <c r="Q71" i="15"/>
  <c r="J57" i="15"/>
  <c r="J55" i="15" s="1"/>
  <c r="J58" i="15" s="1"/>
  <c r="Q50" i="15" s="1"/>
  <c r="I54" i="15"/>
  <c r="K1" i="73"/>
  <c r="B20" i="31"/>
  <c r="B21" i="31" s="1"/>
  <c r="I1" i="73"/>
  <c r="B39" i="1" s="1"/>
  <c r="F51" i="67"/>
  <c r="F65" i="67"/>
  <c r="B12" i="70"/>
  <c r="J57" i="67"/>
  <c r="J55" i="67" s="1"/>
  <c r="J58" i="67" s="1"/>
  <c r="Q50" i="67" s="1"/>
  <c r="L56" i="67"/>
  <c r="I54" i="67"/>
  <c r="M7" i="15"/>
  <c r="J6" i="15" s="1"/>
  <c r="F50" i="15"/>
  <c r="F51" i="15"/>
  <c r="F71" i="15"/>
  <c r="C6" i="15"/>
  <c r="F69" i="67"/>
  <c r="E20" i="43"/>
  <c r="F66" i="67"/>
  <c r="B11" i="70"/>
  <c r="L59" i="15"/>
  <c r="N59" i="15"/>
  <c r="L58" i="15"/>
  <c r="B8" i="70"/>
  <c r="F66" i="15"/>
  <c r="Q71" i="67"/>
  <c r="F64" i="15"/>
  <c r="F70" i="67"/>
  <c r="C27" i="67"/>
  <c r="F71" i="67"/>
  <c r="C27" i="15"/>
  <c r="F65" i="15"/>
  <c r="N59" i="67"/>
  <c r="L59" i="67"/>
  <c r="L58" i="67"/>
  <c r="B13" i="70"/>
  <c r="M7" i="67"/>
  <c r="J6" i="67" s="1"/>
  <c r="F50" i="67"/>
  <c r="F68" i="67"/>
  <c r="F64" i="67"/>
  <c r="F68" i="15"/>
  <c r="G1" i="73"/>
  <c r="C16" i="79"/>
  <c r="C14" i="80"/>
  <c r="C16" i="67"/>
  <c r="C16" i="80"/>
  <c r="C16" i="15"/>
  <c r="B34" i="72" l="1"/>
  <c r="D17" i="53"/>
  <c r="B36" i="72" s="1"/>
  <c r="C15" i="80"/>
  <c r="C18" i="80"/>
  <c r="M16" i="1"/>
  <c r="M11" i="80"/>
  <c r="J10" i="80" s="1"/>
  <c r="J5" i="80" s="1"/>
  <c r="F11" i="80"/>
  <c r="L46" i="79"/>
  <c r="J10" i="39"/>
  <c r="E533" i="3"/>
  <c r="E390" i="3"/>
  <c r="E270" i="3"/>
  <c r="E293" i="3"/>
  <c r="E124" i="3"/>
  <c r="E246" i="3"/>
  <c r="E352" i="3"/>
  <c r="E510" i="3"/>
  <c r="E545" i="3"/>
  <c r="E329" i="3"/>
  <c r="E550" i="3"/>
  <c r="E260" i="3"/>
  <c r="E415" i="3"/>
  <c r="O6" i="3"/>
  <c r="E97" i="3"/>
  <c r="E431" i="3"/>
  <c r="AK6" i="3"/>
  <c r="E229" i="3"/>
  <c r="E296" i="3"/>
  <c r="E172" i="3"/>
  <c r="E563" i="3"/>
  <c r="E278" i="3"/>
  <c r="E69" i="3"/>
  <c r="E574" i="3"/>
  <c r="E285" i="3"/>
  <c r="E385" i="3"/>
  <c r="E509" i="3"/>
  <c r="E201" i="3"/>
  <c r="E16" i="3"/>
  <c r="E434" i="3"/>
  <c r="E239" i="3"/>
  <c r="AN6" i="3"/>
  <c r="E306" i="3"/>
  <c r="E262" i="3"/>
  <c r="D37" i="11"/>
  <c r="D3" i="21"/>
  <c r="E236" i="3"/>
  <c r="Q57" i="79"/>
  <c r="Q66" i="79"/>
  <c r="Q60" i="79"/>
  <c r="Q73" i="79"/>
  <c r="Q61" i="79"/>
  <c r="Q74" i="79"/>
  <c r="E156" i="3"/>
  <c r="AI6" i="3"/>
  <c r="M101" i="77"/>
  <c r="I101" i="77"/>
  <c r="E101" i="77"/>
  <c r="L101" i="77"/>
  <c r="D101" i="77"/>
  <c r="J101" i="77"/>
  <c r="Y11" i="77"/>
  <c r="Y13" i="77" s="1"/>
  <c r="AC11" i="77"/>
  <c r="AC13" i="77" s="1"/>
  <c r="AG11" i="77"/>
  <c r="AG13" i="77" s="1"/>
  <c r="H22" i="77"/>
  <c r="AB11" i="77"/>
  <c r="AB13" i="77" s="1"/>
  <c r="AF11" i="77"/>
  <c r="AF13" i="77" s="1"/>
  <c r="AJ11" i="77"/>
  <c r="AJ13" i="77" s="1"/>
  <c r="E22" i="77"/>
  <c r="J22" i="77"/>
  <c r="B113" i="77"/>
  <c r="K101" i="77"/>
  <c r="G101" i="77"/>
  <c r="C101" i="77"/>
  <c r="H101" i="77"/>
  <c r="N101" i="77"/>
  <c r="F101" i="77"/>
  <c r="AA11" i="77"/>
  <c r="AA13" i="77" s="1"/>
  <c r="AE11" i="77"/>
  <c r="AE13" i="77" s="1"/>
  <c r="AI11" i="77"/>
  <c r="AI13" i="77" s="1"/>
  <c r="F22" i="77"/>
  <c r="Z7" i="77"/>
  <c r="Z11" i="77"/>
  <c r="Z13" i="77" s="1"/>
  <c r="AD11" i="77"/>
  <c r="AD13" i="77" s="1"/>
  <c r="AH11" i="77"/>
  <c r="AH13" i="77" s="1"/>
  <c r="G22" i="77"/>
  <c r="O7" i="1"/>
  <c r="P7" i="1" s="1"/>
  <c r="P16" i="1" s="1"/>
  <c r="C11" i="12" s="1"/>
  <c r="C49" i="79"/>
  <c r="F59" i="79"/>
  <c r="M17" i="79"/>
  <c r="J6" i="79"/>
  <c r="J18" i="79" s="1"/>
  <c r="F11" i="79"/>
  <c r="M11" i="79"/>
  <c r="P28" i="77"/>
  <c r="N28" i="77"/>
  <c r="O28" i="77"/>
  <c r="M28" i="77"/>
  <c r="F59" i="67"/>
  <c r="M71" i="43"/>
  <c r="N71" i="43" s="1"/>
  <c r="K71" i="43"/>
  <c r="J71" i="43" s="1"/>
  <c r="D71" i="43" s="1"/>
  <c r="J77" i="43"/>
  <c r="D77" i="43"/>
  <c r="J73" i="43"/>
  <c r="D73" i="43"/>
  <c r="J70" i="43"/>
  <c r="D70" i="43"/>
  <c r="C5" i="43"/>
  <c r="C30" i="68"/>
  <c r="C48" i="11"/>
  <c r="C30" i="11"/>
  <c r="F48" i="69"/>
  <c r="C30" i="69"/>
  <c r="C48" i="69"/>
  <c r="E516" i="3"/>
  <c r="E382" i="3"/>
  <c r="C38" i="69"/>
  <c r="K22" i="6"/>
  <c r="E31" i="6"/>
  <c r="K23" i="6"/>
  <c r="M23" i="6" s="1"/>
  <c r="I23" i="6" s="1"/>
  <c r="S23" i="6" s="1"/>
  <c r="M20" i="6"/>
  <c r="I20" i="6" s="1"/>
  <c r="S20" i="6" s="1"/>
  <c r="S7" i="1"/>
  <c r="H10" i="39"/>
  <c r="W10" i="40"/>
  <c r="F10" i="40"/>
  <c r="M18" i="9"/>
  <c r="B118" i="9" s="1"/>
  <c r="B14" i="74" s="1"/>
  <c r="B1" i="74" s="1"/>
  <c r="E6" i="6"/>
  <c r="D20" i="12" s="1"/>
  <c r="C20" i="12" s="1"/>
  <c r="K21" i="6"/>
  <c r="K25" i="6"/>
  <c r="M25" i="6" s="1"/>
  <c r="I25" i="6" s="1"/>
  <c r="S25" i="6" s="1"/>
  <c r="E280" i="3"/>
  <c r="E336" i="3"/>
  <c r="E399" i="3"/>
  <c r="X6" i="3"/>
  <c r="AA6" i="3"/>
  <c r="E583" i="3"/>
  <c r="E347" i="3"/>
  <c r="E302" i="3"/>
  <c r="E503" i="3"/>
  <c r="E17" i="3"/>
  <c r="E361" i="3"/>
  <c r="E213" i="3"/>
  <c r="E183" i="3"/>
  <c r="E565" i="3"/>
  <c r="E528" i="3"/>
  <c r="E304" i="3"/>
  <c r="E261" i="3"/>
  <c r="E237" i="3"/>
  <c r="AY6" i="3"/>
  <c r="AY31" i="3" s="1"/>
  <c r="E555" i="3"/>
  <c r="E410" i="3"/>
  <c r="E337" i="3"/>
  <c r="E143" i="3"/>
  <c r="E353" i="3"/>
  <c r="E495" i="3"/>
  <c r="D19" i="11"/>
  <c r="C19" i="11" s="1"/>
  <c r="C20" i="11" s="1"/>
  <c r="D14" i="12"/>
  <c r="E579" i="3"/>
  <c r="E247" i="3"/>
  <c r="E397" i="3"/>
  <c r="I6" i="3"/>
  <c r="E536" i="3"/>
  <c r="E549" i="3"/>
  <c r="C17" i="4"/>
  <c r="B4" i="52" s="1"/>
  <c r="B43" i="72" s="1"/>
  <c r="D3" i="37"/>
  <c r="E569" i="3"/>
  <c r="E314" i="3"/>
  <c r="E586" i="3"/>
  <c r="E453" i="3"/>
  <c r="E368" i="3"/>
  <c r="E244" i="3"/>
  <c r="E196" i="3"/>
  <c r="E191" i="3"/>
  <c r="E99" i="3"/>
  <c r="E188" i="3"/>
  <c r="E151" i="3"/>
  <c r="E423" i="3"/>
  <c r="E388" i="3"/>
  <c r="E511" i="3"/>
  <c r="E350" i="3"/>
  <c r="E263" i="3"/>
  <c r="E245" i="3"/>
  <c r="E130" i="3"/>
  <c r="E134" i="3"/>
  <c r="E254"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78" i="3"/>
  <c r="E301" i="3"/>
  <c r="E185"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E396" i="3"/>
  <c r="E159" i="3"/>
  <c r="E91" i="3"/>
  <c r="E180" i="3"/>
  <c r="E207" i="3"/>
  <c r="E271" i="3"/>
  <c r="E145" i="3"/>
  <c r="E107" i="3"/>
  <c r="E379" i="3"/>
  <c r="E585" i="3"/>
  <c r="U6" i="3"/>
  <c r="E515" i="3"/>
  <c r="E411" i="3"/>
  <c r="E478" i="3"/>
  <c r="E548" i="3"/>
  <c r="E414" i="3"/>
  <c r="E432" i="3"/>
  <c r="E477" i="3"/>
  <c r="E367" i="3"/>
  <c r="E505" i="3"/>
  <c r="E547" i="3"/>
  <c r="AS6"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206" i="3"/>
  <c r="E232" i="3"/>
  <c r="E251" i="3"/>
  <c r="E370" i="3"/>
  <c r="AF6" i="3"/>
  <c r="E303" i="3"/>
  <c r="E61" i="3"/>
  <c r="E221" i="3"/>
  <c r="E252" i="3"/>
  <c r="E204" i="3"/>
  <c r="E164" i="3"/>
  <c r="E327" i="3"/>
  <c r="E576" i="3"/>
  <c r="Z6" i="3"/>
  <c r="AG6" i="3"/>
  <c r="AO6" i="3"/>
  <c r="E448" i="3"/>
  <c r="E485" i="3"/>
  <c r="P6" i="3"/>
  <c r="E400" i="3"/>
  <c r="E443" i="3"/>
  <c r="E345" i="3"/>
  <c r="E558" i="3"/>
  <c r="E557" i="3"/>
  <c r="E581"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Y6" i="3"/>
  <c r="E68" i="3"/>
  <c r="E51" i="3"/>
  <c r="E63" i="3"/>
  <c r="E19" i="3"/>
  <c r="E81" i="3"/>
  <c r="E154" i="3"/>
  <c r="E118" i="3"/>
  <c r="E179" i="3"/>
  <c r="E264" i="3"/>
  <c r="E222" i="3"/>
  <c r="E283" i="3"/>
  <c r="E323" i="3"/>
  <c r="E309" i="3"/>
  <c r="E373" i="3"/>
  <c r="E513" i="3"/>
  <c r="E82" i="3"/>
  <c r="E21" i="3"/>
  <c r="E49" i="3"/>
  <c r="E50" i="3"/>
  <c r="E20" i="3"/>
  <c r="E62" i="3"/>
  <c r="E176" i="3"/>
  <c r="E218" i="3"/>
  <c r="E265" i="3"/>
  <c r="E365" i="3"/>
  <c r="E524" i="3"/>
  <c r="E101" i="3"/>
  <c r="E102" i="3"/>
  <c r="E80" i="3"/>
  <c r="E113" i="3"/>
  <c r="E158" i="3"/>
  <c r="E287" i="3"/>
  <c r="E308" i="3"/>
  <c r="E326" i="3"/>
  <c r="E22" i="3"/>
  <c r="E83" i="3"/>
  <c r="L18" i="9"/>
  <c r="D3" i="34"/>
  <c r="E16" i="6"/>
  <c r="F31" i="6"/>
  <c r="E58" i="40"/>
  <c r="E63" i="39"/>
  <c r="E57" i="40"/>
  <c r="E62" i="39"/>
  <c r="E66" i="39" s="1"/>
  <c r="H6" i="3"/>
  <c r="K19" i="6"/>
  <c r="S6" i="1" s="1"/>
  <c r="K24" i="6"/>
  <c r="M24" i="6" s="1"/>
  <c r="I24" i="6" s="1"/>
  <c r="S24" i="6" s="1"/>
  <c r="K26" i="6"/>
  <c r="M26" i="6" s="1"/>
  <c r="I26" i="6" s="1"/>
  <c r="S26" i="6" s="1"/>
  <c r="O16" i="1"/>
  <c r="AY228" i="3"/>
  <c r="AY287" i="3"/>
  <c r="AY127" i="3"/>
  <c r="AY179" i="3"/>
  <c r="AY541" i="3"/>
  <c r="AY210" i="3"/>
  <c r="AY174" i="3"/>
  <c r="AY493" i="3"/>
  <c r="AY400" i="3"/>
  <c r="AY421" i="3"/>
  <c r="F28" i="12"/>
  <c r="F27" i="11"/>
  <c r="F27" i="68"/>
  <c r="F27" i="69"/>
  <c r="N16" i="1"/>
  <c r="B21" i="1" s="1"/>
  <c r="L16" i="1"/>
  <c r="L109" i="43"/>
  <c r="L102" i="43"/>
  <c r="L105" i="43"/>
  <c r="L104" i="43"/>
  <c r="L106" i="43"/>
  <c r="L107" i="43"/>
  <c r="L103" i="43"/>
  <c r="J104" i="43"/>
  <c r="J105" i="43"/>
  <c r="J103" i="43"/>
  <c r="J106" i="43"/>
  <c r="J107" i="43"/>
  <c r="J102" i="43"/>
  <c r="J109" i="43"/>
  <c r="G105" i="43"/>
  <c r="G102" i="43"/>
  <c r="G103" i="43"/>
  <c r="G109" i="43"/>
  <c r="G107" i="43"/>
  <c r="G104" i="43"/>
  <c r="G106" i="43"/>
  <c r="E102" i="43"/>
  <c r="E106" i="43"/>
  <c r="E103" i="43"/>
  <c r="E107" i="43"/>
  <c r="E104" i="43"/>
  <c r="E105" i="43"/>
  <c r="E109" i="43"/>
  <c r="M109" i="43"/>
  <c r="M102" i="43"/>
  <c r="M106" i="43"/>
  <c r="M103" i="43"/>
  <c r="M104" i="43"/>
  <c r="M105" i="43"/>
  <c r="M107" i="43"/>
  <c r="N103" i="43"/>
  <c r="N106" i="43"/>
  <c r="N107" i="43"/>
  <c r="N102" i="43"/>
  <c r="N105" i="43"/>
  <c r="N104" i="43"/>
  <c r="N109" i="43"/>
  <c r="K107" i="43"/>
  <c r="K104" i="43"/>
  <c r="K106" i="43"/>
  <c r="K103" i="43"/>
  <c r="K102" i="43"/>
  <c r="K105" i="43"/>
  <c r="K109" i="43"/>
  <c r="H102" i="43"/>
  <c r="H103" i="43"/>
  <c r="H104" i="43"/>
  <c r="H109" i="43"/>
  <c r="H106" i="43"/>
  <c r="H107" i="43"/>
  <c r="H105"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4" i="43"/>
  <c r="F102" i="43"/>
  <c r="F105" i="43"/>
  <c r="F109" i="43"/>
  <c r="G47" i="40"/>
  <c r="H47" i="40" s="1"/>
  <c r="AC10" i="39"/>
  <c r="W10" i="39"/>
  <c r="E42" i="40"/>
  <c r="E46" i="40" s="1"/>
  <c r="F46" i="40" s="1"/>
  <c r="AB10" i="39"/>
  <c r="U10" i="39"/>
  <c r="AA7" i="33"/>
  <c r="R48" i="33" s="1"/>
  <c r="S7" i="33"/>
  <c r="E48" i="35"/>
  <c r="S10" i="40"/>
  <c r="AA10" i="40"/>
  <c r="AB7" i="21"/>
  <c r="T48" i="21" s="1"/>
  <c r="G48" i="21" s="1"/>
  <c r="U7" i="21"/>
  <c r="AA7" i="21"/>
  <c r="R48" i="21" s="1"/>
  <c r="S7" i="21"/>
  <c r="E46" i="36"/>
  <c r="U7" i="34"/>
  <c r="AB7" i="34"/>
  <c r="T49" i="34" s="1"/>
  <c r="G49" i="34" s="1"/>
  <c r="M68" i="39"/>
  <c r="L70" i="39"/>
  <c r="U7" i="33"/>
  <c r="AB7" i="33"/>
  <c r="T48" i="33" s="1"/>
  <c r="G48" i="33" s="1"/>
  <c r="W7" i="33"/>
  <c r="AC7" i="33"/>
  <c r="V48" i="33" s="1"/>
  <c r="I48" i="33" s="1"/>
  <c r="E52" i="37"/>
  <c r="AB10" i="40"/>
  <c r="U10" i="40"/>
  <c r="AA10" i="39"/>
  <c r="S10" i="39"/>
  <c r="W7" i="21"/>
  <c r="AC7" i="21"/>
  <c r="V48" i="21" s="1"/>
  <c r="I48" i="21" s="1"/>
  <c r="S7" i="34"/>
  <c r="AA7" i="34"/>
  <c r="R49" i="34" s="1"/>
  <c r="AC7" i="34"/>
  <c r="V49" i="34" s="1"/>
  <c r="I49" i="34" s="1"/>
  <c r="W7" i="34"/>
  <c r="D6" i="71"/>
  <c r="C5" i="71"/>
  <c r="D5" i="71" s="1"/>
  <c r="M17" i="67"/>
  <c r="M17" i="15"/>
  <c r="F59" i="15"/>
  <c r="P24" i="43"/>
  <c r="B66" i="40" s="1"/>
  <c r="P21" i="43"/>
  <c r="C49" i="67"/>
  <c r="G46" i="40"/>
  <c r="H46" i="40" s="1"/>
  <c r="P25" i="43"/>
  <c r="P23" i="43"/>
  <c r="B71" i="39" s="1"/>
  <c r="M20" i="43"/>
  <c r="C43" i="40"/>
  <c r="C42" i="40"/>
  <c r="C49" i="15"/>
  <c r="B40" i="1"/>
  <c r="J18" i="15"/>
  <c r="C32" i="67"/>
  <c r="Q60" i="67"/>
  <c r="Q73" i="67"/>
  <c r="M28" i="43"/>
  <c r="N28" i="43"/>
  <c r="O28" i="43"/>
  <c r="P28" i="43"/>
  <c r="M11" i="67"/>
  <c r="J10" i="67" s="1"/>
  <c r="J5" i="67" s="1"/>
  <c r="F11" i="15"/>
  <c r="M11" i="15"/>
  <c r="J10" i="15" s="1"/>
  <c r="J5" i="15" s="1"/>
  <c r="F11" i="67"/>
  <c r="J18" i="67"/>
  <c r="C32" i="15"/>
  <c r="Q60" i="15"/>
  <c r="Q73" i="15"/>
  <c r="Q61" i="67"/>
  <c r="Q74" i="67"/>
  <c r="Q74" i="15"/>
  <c r="Q61" i="15"/>
  <c r="C17" i="15"/>
  <c r="C19" i="80" l="1"/>
  <c r="C20" i="80" s="1"/>
  <c r="C26" i="80" s="1"/>
  <c r="F24" i="79"/>
  <c r="C24" i="79" s="1"/>
  <c r="F24" i="80"/>
  <c r="C53" i="80"/>
  <c r="C48" i="80" s="1"/>
  <c r="C10" i="80"/>
  <c r="C5" i="80" s="1"/>
  <c r="J26" i="80"/>
  <c r="J24" i="80"/>
  <c r="J10" i="79"/>
  <c r="J5" i="79" s="1"/>
  <c r="J24" i="79" s="1"/>
  <c r="AY474" i="3"/>
  <c r="AY548" i="3"/>
  <c r="AY547" i="3"/>
  <c r="AY305" i="3"/>
  <c r="AY510" i="3"/>
  <c r="AY231" i="3"/>
  <c r="AY306" i="3"/>
  <c r="AY424" i="3"/>
  <c r="AY524" i="3"/>
  <c r="AY316" i="3"/>
  <c r="AY279" i="3"/>
  <c r="AY175" i="3"/>
  <c r="AY296" i="3"/>
  <c r="AY418" i="3"/>
  <c r="AY293" i="3"/>
  <c r="AY248" i="3"/>
  <c r="AY415" i="3"/>
  <c r="AY250" i="3"/>
  <c r="AY523" i="3"/>
  <c r="AY446" i="3"/>
  <c r="AY104" i="3"/>
  <c r="AY201" i="3"/>
  <c r="BC6" i="3"/>
  <c r="AY256" i="3"/>
  <c r="AY587" i="3"/>
  <c r="AY376" i="3"/>
  <c r="AY78" i="3"/>
  <c r="AY471" i="3"/>
  <c r="AY494" i="3"/>
  <c r="AY247" i="3"/>
  <c r="AY188" i="3"/>
  <c r="AY562" i="3"/>
  <c r="AY583" i="3"/>
  <c r="AY208" i="3"/>
  <c r="AY102" i="3"/>
  <c r="AY347" i="3"/>
  <c r="AY30" i="3"/>
  <c r="AY564" i="3"/>
  <c r="AY304" i="3"/>
  <c r="AY351" i="3"/>
  <c r="AY54" i="3"/>
  <c r="AY485" i="3"/>
  <c r="AY172" i="3"/>
  <c r="AY515" i="3"/>
  <c r="AY476" i="3"/>
  <c r="AY361" i="3"/>
  <c r="AY113" i="3"/>
  <c r="AY64" i="3"/>
  <c r="AY532" i="3"/>
  <c r="BM6" i="3"/>
  <c r="AY332" i="3"/>
  <c r="AY177" i="3"/>
  <c r="AY381" i="3"/>
  <c r="AY118" i="3"/>
  <c r="AY45" i="3"/>
  <c r="AY498" i="3"/>
  <c r="AY416" i="3"/>
  <c r="AY367" i="3"/>
  <c r="AY119" i="3"/>
  <c r="AY70" i="3"/>
  <c r="AY517" i="3"/>
  <c r="AY314" i="3"/>
  <c r="AY264" i="3"/>
  <c r="AY187" i="3"/>
  <c r="AY578" i="3"/>
  <c r="AY439" i="3"/>
  <c r="AY364" i="3"/>
  <c r="AY48" i="3"/>
  <c r="AY585" i="3"/>
  <c r="AY145" i="3"/>
  <c r="AY533" i="3"/>
  <c r="AY335" i="3"/>
  <c r="BN6" i="3"/>
  <c r="AY302" i="3"/>
  <c r="AY350" i="3"/>
  <c r="S12" i="1"/>
  <c r="S10" i="1"/>
  <c r="S13" i="1"/>
  <c r="S11" i="1"/>
  <c r="M22" i="6"/>
  <c r="I22" i="6" s="1"/>
  <c r="S22" i="6" s="1"/>
  <c r="S9" i="1"/>
  <c r="AY567" i="3"/>
  <c r="AY413" i="3"/>
  <c r="AY339" i="3"/>
  <c r="AY288" i="3"/>
  <c r="AY22" i="3"/>
  <c r="AY528" i="3"/>
  <c r="AY482" i="3"/>
  <c r="AY216" i="3"/>
  <c r="AY140" i="3"/>
  <c r="AY110" i="3"/>
  <c r="AY537" i="3"/>
  <c r="AY399" i="3"/>
  <c r="AY461" i="3"/>
  <c r="AY566" i="3"/>
  <c r="AY477" i="3"/>
  <c r="AY240" i="3"/>
  <c r="AY164" i="3"/>
  <c r="AY107" i="3"/>
  <c r="AY408" i="3"/>
  <c r="AY359" i="3"/>
  <c r="AY301" i="3"/>
  <c r="AY62" i="3"/>
  <c r="AY545" i="3"/>
  <c r="AY538" i="3"/>
  <c r="AY434" i="3"/>
  <c r="AY320" i="3"/>
  <c r="AY337" i="3"/>
  <c r="AY396" i="3"/>
  <c r="AY267" i="3"/>
  <c r="AY153" i="3"/>
  <c r="AY21" i="3"/>
  <c r="AY81" i="3"/>
  <c r="AY496" i="3"/>
  <c r="AY543" i="3"/>
  <c r="BF6" i="3"/>
  <c r="AY427" i="3"/>
  <c r="AY488" i="3"/>
  <c r="AY349" i="3"/>
  <c r="AY290" i="3"/>
  <c r="AY24" i="3"/>
  <c r="AY554" i="3"/>
  <c r="AY214" i="3"/>
  <c r="AY294" i="3"/>
  <c r="AY138" i="3"/>
  <c r="AY28" i="3"/>
  <c r="AY108" i="3"/>
  <c r="BK6" i="3"/>
  <c r="AY504" i="3"/>
  <c r="AY550" i="3"/>
  <c r="AY459" i="3"/>
  <c r="AY323" i="3"/>
  <c r="AY213" i="3"/>
  <c r="AY273" i="3"/>
  <c r="AY159" i="3"/>
  <c r="AY27" i="3"/>
  <c r="AY86" i="3"/>
  <c r="AY512" i="3"/>
  <c r="AY405" i="3"/>
  <c r="AY466" i="3"/>
  <c r="AY331" i="3"/>
  <c r="AY221" i="3"/>
  <c r="AY280" i="3"/>
  <c r="AY167" i="3"/>
  <c r="AY35" i="3"/>
  <c r="AY94" i="3"/>
  <c r="AY542" i="3"/>
  <c r="AY506" i="3"/>
  <c r="AY458" i="3"/>
  <c r="AY344" i="3"/>
  <c r="AY234" i="3"/>
  <c r="AY158" i="3"/>
  <c r="AY101" i="3"/>
  <c r="BG6" i="3"/>
  <c r="AY430" i="3"/>
  <c r="AY388" i="3"/>
  <c r="AY109" i="3"/>
  <c r="AY190" i="3"/>
  <c r="AY465" i="3"/>
  <c r="AY409" i="3"/>
  <c r="AY297" i="3"/>
  <c r="AY176" i="3"/>
  <c r="AY467" i="3"/>
  <c r="BS6" i="3"/>
  <c r="AY36" i="3"/>
  <c r="AY244" i="3"/>
  <c r="AY82" i="3"/>
  <c r="AY132" i="3"/>
  <c r="AY292" i="3"/>
  <c r="AY220" i="3"/>
  <c r="AY486" i="3"/>
  <c r="AY199" i="3"/>
  <c r="AY355" i="3"/>
  <c r="AY404" i="3"/>
  <c r="BO6" i="3"/>
  <c r="AY53" i="3"/>
  <c r="AY182" i="3"/>
  <c r="AY126" i="3"/>
  <c r="AY239" i="3"/>
  <c r="AY389" i="3"/>
  <c r="AY93" i="3"/>
  <c r="AY150" i="3"/>
  <c r="AY226" i="3"/>
  <c r="AY340" i="3"/>
  <c r="AY454" i="3"/>
  <c r="AY525" i="3"/>
  <c r="AY518" i="3"/>
  <c r="AY23" i="3"/>
  <c r="AY155" i="3"/>
  <c r="AY59" i="3"/>
  <c r="AY131" i="3"/>
  <c r="AY58" i="3"/>
  <c r="AY268" i="3"/>
  <c r="AY371" i="3"/>
  <c r="AY318" i="3"/>
  <c r="AY428" i="3"/>
  <c r="AY106" i="3"/>
  <c r="AY245" i="3"/>
  <c r="AY395" i="3"/>
  <c r="AY342" i="3"/>
  <c r="AY452" i="3"/>
  <c r="AY549" i="3"/>
  <c r="AY97" i="3"/>
  <c r="AY44" i="3"/>
  <c r="AY154" i="3"/>
  <c r="AY283" i="3"/>
  <c r="AY230" i="3"/>
  <c r="AY360" i="3"/>
  <c r="AY56" i="3"/>
  <c r="AY166" i="3"/>
  <c r="AY295" i="3"/>
  <c r="AY242" i="3"/>
  <c r="AY353" i="3"/>
  <c r="AY348" i="3"/>
  <c r="AY475" i="3"/>
  <c r="AY462" i="3"/>
  <c r="AY398" i="3"/>
  <c r="BQ6" i="3"/>
  <c r="AY534" i="3"/>
  <c r="AY495"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191" i="3"/>
  <c r="AY147" i="3"/>
  <c r="AY425" i="3"/>
  <c r="AY481" i="3"/>
  <c r="AY89" i="3"/>
  <c r="AY146" i="3"/>
  <c r="AY222" i="3"/>
  <c r="AY40" i="3"/>
  <c r="AY356" i="3"/>
  <c r="AY435" i="3"/>
  <c r="AY51" i="3"/>
  <c r="AY115" i="3"/>
  <c r="AY276" i="3"/>
  <c r="AY225" i="3"/>
  <c r="AY470" i="3"/>
  <c r="AY180" i="3"/>
  <c r="AY358" i="3"/>
  <c r="AY433" i="3"/>
  <c r="AY61" i="3"/>
  <c r="AY133" i="3"/>
  <c r="AY397" i="3"/>
  <c r="AY202" i="3"/>
  <c r="AY259" i="3"/>
  <c r="AY333" i="3"/>
  <c r="AY472" i="3"/>
  <c r="AY411" i="3"/>
  <c r="AY571" i="3"/>
  <c r="AY501" i="3"/>
  <c r="AY582" i="3"/>
  <c r="AY65" i="3"/>
  <c r="AY194" i="3"/>
  <c r="AY137" i="3"/>
  <c r="AY251" i="3"/>
  <c r="AY380" i="3"/>
  <c r="AY329" i="3"/>
  <c r="AY312" i="3"/>
  <c r="AY468" i="3"/>
  <c r="AY426" i="3"/>
  <c r="AY407" i="3"/>
  <c r="AY14" i="3"/>
  <c r="AY565" i="3"/>
  <c r="AY570"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559" i="3"/>
  <c r="AY508" i="3"/>
  <c r="AY556" i="3"/>
  <c r="AY577" i="3"/>
  <c r="AY112" i="3"/>
  <c r="AY49" i="3"/>
  <c r="AY32" i="3"/>
  <c r="AY205" i="3"/>
  <c r="AY142" i="3"/>
  <c r="AY122" i="3"/>
  <c r="AY298" i="3"/>
  <c r="AY235" i="3"/>
  <c r="AY218" i="3"/>
  <c r="AY385" i="3"/>
  <c r="AY352" i="3"/>
  <c r="AY321" i="3"/>
  <c r="AY336"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87"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4" i="3"/>
  <c r="BE6" i="3"/>
  <c r="AY92" i="3"/>
  <c r="AY76" i="3"/>
  <c r="AY33" i="3"/>
  <c r="AY185" i="3"/>
  <c r="AY165" i="3"/>
  <c r="AY125" i="3"/>
  <c r="AY278" i="3"/>
  <c r="AY262" i="3"/>
  <c r="AY219" i="3"/>
  <c r="AY374" i="3"/>
  <c r="BH6" i="3"/>
  <c r="AY7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83" i="3"/>
  <c r="AY66" i="3"/>
  <c r="H22" i="6"/>
  <c r="F109" i="77"/>
  <c r="F107" i="77"/>
  <c r="F105" i="77"/>
  <c r="F103" i="77"/>
  <c r="F106" i="77"/>
  <c r="F104" i="77"/>
  <c r="F102" i="77"/>
  <c r="H109" i="77"/>
  <c r="H107" i="77"/>
  <c r="H105" i="77"/>
  <c r="H103" i="77"/>
  <c r="H106" i="77"/>
  <c r="H104" i="77"/>
  <c r="H102" i="77"/>
  <c r="G107" i="77"/>
  <c r="G105" i="77"/>
  <c r="G103" i="77"/>
  <c r="G109" i="77"/>
  <c r="G106" i="77"/>
  <c r="G104" i="77"/>
  <c r="G102" i="77"/>
  <c r="D118" i="77"/>
  <c r="E118" i="77" s="1"/>
  <c r="F118" i="77" s="1"/>
  <c r="D117" i="77"/>
  <c r="E117" i="77" s="1"/>
  <c r="F117" i="77" s="1"/>
  <c r="G117" i="77" s="1"/>
  <c r="H117" i="77" s="1"/>
  <c r="D116" i="77"/>
  <c r="E116" i="77" s="1"/>
  <c r="F116" i="77" s="1"/>
  <c r="G116" i="77" s="1"/>
  <c r="H116" i="77" s="1"/>
  <c r="D115" i="77"/>
  <c r="E115" i="77" s="1"/>
  <c r="F115" i="77" s="1"/>
  <c r="G115" i="77" s="1"/>
  <c r="H115" i="77" s="1"/>
  <c r="I118" i="77"/>
  <c r="J118" i="77" s="1"/>
  <c r="K118" i="77" s="1"/>
  <c r="L118" i="77" s="1"/>
  <c r="M118" i="77" s="1"/>
  <c r="I116" i="77"/>
  <c r="J116" i="77" s="1"/>
  <c r="K116" i="77" s="1"/>
  <c r="L116" i="77" s="1"/>
  <c r="M116" i="77" s="1"/>
  <c r="G118" i="77"/>
  <c r="H118" i="77" s="1"/>
  <c r="B118" i="77"/>
  <c r="C118" i="77" s="1"/>
  <c r="B117" i="77"/>
  <c r="C117" i="77" s="1"/>
  <c r="B116" i="77"/>
  <c r="C116" i="77" s="1"/>
  <c r="B115" i="77"/>
  <c r="I117" i="77"/>
  <c r="J117" i="77" s="1"/>
  <c r="K117" i="77" s="1"/>
  <c r="L117" i="77" s="1"/>
  <c r="M117" i="77" s="1"/>
  <c r="I115" i="77"/>
  <c r="J115" i="77" s="1"/>
  <c r="K115" i="77" s="1"/>
  <c r="L115" i="77" s="1"/>
  <c r="M115" i="77" s="1"/>
  <c r="D22" i="77"/>
  <c r="C21" i="77" s="1"/>
  <c r="J109" i="77"/>
  <c r="J107" i="77"/>
  <c r="J105" i="77"/>
  <c r="J103" i="77"/>
  <c r="J106" i="77"/>
  <c r="J104" i="77"/>
  <c r="J102" i="77"/>
  <c r="L109" i="77"/>
  <c r="L107" i="77"/>
  <c r="L105" i="77"/>
  <c r="L103" i="77"/>
  <c r="L106" i="77"/>
  <c r="L104" i="77"/>
  <c r="L102" i="77"/>
  <c r="I109" i="77"/>
  <c r="I107" i="77"/>
  <c r="I105" i="77"/>
  <c r="I103" i="77"/>
  <c r="I106" i="77"/>
  <c r="I104" i="77"/>
  <c r="I102" i="77"/>
  <c r="D10" i="68"/>
  <c r="C10" i="68" s="1"/>
  <c r="N109" i="77"/>
  <c r="N107" i="77"/>
  <c r="N105" i="77"/>
  <c r="N103" i="77"/>
  <c r="N106" i="77"/>
  <c r="N104" i="77"/>
  <c r="N102" i="77"/>
  <c r="C107" i="77"/>
  <c r="C105" i="77"/>
  <c r="C103" i="77"/>
  <c r="C109" i="77"/>
  <c r="C106" i="77"/>
  <c r="C104" i="77"/>
  <c r="C102" i="77"/>
  <c r="K107" i="77"/>
  <c r="K105" i="77"/>
  <c r="K103" i="77"/>
  <c r="K109" i="77"/>
  <c r="K106" i="77"/>
  <c r="K104" i="77"/>
  <c r="K102" i="77"/>
  <c r="D109" i="77"/>
  <c r="D107" i="77"/>
  <c r="D105" i="77"/>
  <c r="D103" i="77"/>
  <c r="D106" i="77"/>
  <c r="D104" i="77"/>
  <c r="D102" i="77"/>
  <c r="E109" i="77"/>
  <c r="E107" i="77"/>
  <c r="E105" i="77"/>
  <c r="E103" i="77"/>
  <c r="E106" i="77"/>
  <c r="E104" i="77"/>
  <c r="E102" i="77"/>
  <c r="M109" i="77"/>
  <c r="M107" i="77"/>
  <c r="M105" i="77"/>
  <c r="M103" i="77"/>
  <c r="M106" i="77"/>
  <c r="M104" i="77"/>
  <c r="M102" i="77"/>
  <c r="E6" i="70"/>
  <c r="E7" i="70"/>
  <c r="J26" i="79"/>
  <c r="C53" i="79"/>
  <c r="C48" i="79" s="1"/>
  <c r="C10" i="79"/>
  <c r="C5" i="79" s="1"/>
  <c r="G20" i="43"/>
  <c r="C20" i="43" s="1"/>
  <c r="G20" i="77"/>
  <c r="E41" i="77" s="1"/>
  <c r="C41" i="77" s="1"/>
  <c r="E70" i="43"/>
  <c r="B68" i="43" s="1"/>
  <c r="C24" i="43" s="1"/>
  <c r="D10" i="69"/>
  <c r="C10" i="69" s="1"/>
  <c r="C8" i="69" s="1"/>
  <c r="C5" i="69" s="1"/>
  <c r="D10" i="11"/>
  <c r="C10" i="11" s="1"/>
  <c r="B24" i="1"/>
  <c r="B23" i="1"/>
  <c r="AQ6" i="1"/>
  <c r="T6" i="1"/>
  <c r="AR6" i="1"/>
  <c r="M21" i="6"/>
  <c r="I21" i="6" s="1"/>
  <c r="S8" i="1"/>
  <c r="S16" i="1" s="1"/>
  <c r="AQ7" i="1"/>
  <c r="AR7" i="1"/>
  <c r="T7" i="1"/>
  <c r="AC6" i="3"/>
  <c r="E6" i="3" s="1"/>
  <c r="C8" i="74"/>
  <c r="C7" i="74"/>
  <c r="D17" i="12"/>
  <c r="C17" i="12" s="1"/>
  <c r="M19" i="6"/>
  <c r="K27" i="6"/>
  <c r="D19" i="6"/>
  <c r="D26" i="6"/>
  <c r="C18" i="4"/>
  <c r="D8" i="6"/>
  <c r="D23" i="6"/>
  <c r="D14" i="6"/>
  <c r="D25" i="6"/>
  <c r="D22" i="6"/>
  <c r="R22" i="6" s="1"/>
  <c r="D24" i="6"/>
  <c r="D6" i="6"/>
  <c r="D9" i="6"/>
  <c r="D10" i="6"/>
  <c r="L19" i="9"/>
  <c r="D29" i="6"/>
  <c r="M19" i="9"/>
  <c r="C118" i="9" s="1"/>
  <c r="C14" i="74" s="1"/>
  <c r="B2" i="74" s="1"/>
  <c r="D15" i="6"/>
  <c r="D21" i="6"/>
  <c r="D20" i="6"/>
  <c r="D5" i="6"/>
  <c r="D12" i="6"/>
  <c r="D11" i="6"/>
  <c r="D13" i="6"/>
  <c r="D28" i="6"/>
  <c r="E61" i="40"/>
  <c r="H26" i="6"/>
  <c r="H24" i="6"/>
  <c r="H20" i="6"/>
  <c r="E47" i="40"/>
  <c r="F47" i="40" s="1"/>
  <c r="C29" i="68"/>
  <c r="D27" i="68" s="1"/>
  <c r="F45" i="68"/>
  <c r="C47" i="68"/>
  <c r="D45" i="68" s="1"/>
  <c r="C47" i="69"/>
  <c r="D45" i="69" s="1"/>
  <c r="F45" i="69"/>
  <c r="C29" i="69"/>
  <c r="D27" i="69" s="1"/>
  <c r="C47" i="11"/>
  <c r="D45" i="11" s="1"/>
  <c r="C29" i="11"/>
  <c r="D27" i="11" s="1"/>
  <c r="C28" i="11"/>
  <c r="C27" i="11" s="1"/>
  <c r="C15" i="12"/>
  <c r="C12" i="12"/>
  <c r="C115" i="43"/>
  <c r="D113" i="43" s="1"/>
  <c r="S4" i="43"/>
  <c r="S2" i="43"/>
  <c r="S6" i="43"/>
  <c r="C23" i="43"/>
  <c r="C21" i="43" s="1"/>
  <c r="S7" i="43"/>
  <c r="S5" i="43"/>
  <c r="S3" i="43"/>
  <c r="I47" i="40"/>
  <c r="J47" i="40" s="1"/>
  <c r="I53" i="34"/>
  <c r="J53" i="34" s="1"/>
  <c r="F52" i="37"/>
  <c r="N68" i="39"/>
  <c r="M70" i="39"/>
  <c r="R50" i="34"/>
  <c r="E49" i="34"/>
  <c r="I52" i="21"/>
  <c r="J52" i="21" s="1"/>
  <c r="I52" i="33"/>
  <c r="J52" i="33" s="1"/>
  <c r="I53" i="33"/>
  <c r="J53" i="33" s="1"/>
  <c r="G52" i="33"/>
  <c r="H52" i="33" s="1"/>
  <c r="G53" i="33"/>
  <c r="H53" i="33" s="1"/>
  <c r="G53" i="34"/>
  <c r="H53" i="34" s="1"/>
  <c r="G54" i="34"/>
  <c r="H54" i="34" s="1"/>
  <c r="F46" i="36"/>
  <c r="R49" i="21"/>
  <c r="E48" i="21"/>
  <c r="G52" i="21"/>
  <c r="H52" i="21" s="1"/>
  <c r="G53" i="21"/>
  <c r="H53" i="21" s="1"/>
  <c r="F48" i="35"/>
  <c r="G48" i="35" s="1"/>
  <c r="H48" i="35" s="1"/>
  <c r="I48" i="35" s="1"/>
  <c r="J48" i="35" s="1"/>
  <c r="K48" i="35" s="1"/>
  <c r="L48" i="35" s="1"/>
  <c r="M48" i="35" s="1"/>
  <c r="N48" i="35" s="1"/>
  <c r="O48" i="35" s="1"/>
  <c r="J7" i="35"/>
  <c r="F7" i="35"/>
  <c r="R49" i="33"/>
  <c r="E48" i="33"/>
  <c r="B55" i="40"/>
  <c r="F55" i="40" s="1"/>
  <c r="B56" i="40"/>
  <c r="F56" i="40" s="1"/>
  <c r="B58" i="40"/>
  <c r="F58" i="40" s="1"/>
  <c r="B60" i="40"/>
  <c r="F60" i="40" s="1"/>
  <c r="B54" i="40"/>
  <c r="F54" i="40" s="1"/>
  <c r="B57" i="40"/>
  <c r="F57" i="40" s="1"/>
  <c r="B53" i="40"/>
  <c r="F53" i="40" s="1"/>
  <c r="B51" i="40"/>
  <c r="F51" i="40" s="1"/>
  <c r="B59" i="40"/>
  <c r="F59" i="40" s="1"/>
  <c r="F61" i="40"/>
  <c r="B2" i="40" s="1"/>
  <c r="B3" i="40" s="1"/>
  <c r="B52" i="40"/>
  <c r="F52" i="40"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C17" i="79"/>
  <c r="C14" i="67"/>
  <c r="C17" i="67"/>
  <c r="C29" i="12" l="1"/>
  <c r="D28" i="12" s="1"/>
  <c r="J53" i="80"/>
  <c r="M59" i="80"/>
  <c r="C38" i="80"/>
  <c r="C24" i="80"/>
  <c r="C23" i="80"/>
  <c r="C66" i="80"/>
  <c r="C60" i="80"/>
  <c r="C18" i="67"/>
  <c r="C15" i="67"/>
  <c r="R9" i="1"/>
  <c r="R13" i="1"/>
  <c r="R12" i="1"/>
  <c r="R10" i="1"/>
  <c r="R11" i="1"/>
  <c r="AQ11" i="1"/>
  <c r="T11" i="1"/>
  <c r="AR11" i="1"/>
  <c r="AQ10" i="1"/>
  <c r="T10" i="1"/>
  <c r="AR10" i="1"/>
  <c r="AR13" i="1"/>
  <c r="T13" i="1"/>
  <c r="AQ13" i="1"/>
  <c r="AQ12" i="1"/>
  <c r="T12" i="1"/>
  <c r="AR12" i="1"/>
  <c r="AR9" i="1"/>
  <c r="T9" i="1"/>
  <c r="AQ9" i="1"/>
  <c r="H23" i="6"/>
  <c r="R23" i="6" s="1"/>
  <c r="H25" i="6"/>
  <c r="R25" i="6" s="1"/>
  <c r="E2" i="70"/>
  <c r="F50" i="69"/>
  <c r="D19" i="68"/>
  <c r="D37" i="68" s="1"/>
  <c r="B29" i="1"/>
  <c r="C8" i="68"/>
  <c r="F50" i="11"/>
  <c r="C115" i="77"/>
  <c r="D113" i="77" s="1"/>
  <c r="S6" i="77"/>
  <c r="S2" i="77"/>
  <c r="S7" i="77"/>
  <c r="S4" i="77"/>
  <c r="S3" i="77"/>
  <c r="S5" i="77"/>
  <c r="C23" i="77"/>
  <c r="C18" i="15"/>
  <c r="C15" i="15"/>
  <c r="F50" i="68"/>
  <c r="M59" i="79"/>
  <c r="J53" i="79"/>
  <c r="C66" i="79"/>
  <c r="C60" i="79"/>
  <c r="C38" i="79"/>
  <c r="E41" i="43"/>
  <c r="C41" i="43" s="1"/>
  <c r="C39" i="43" s="1"/>
  <c r="C20" i="77"/>
  <c r="T3" i="43"/>
  <c r="V3" i="43" s="1"/>
  <c r="T7" i="43"/>
  <c r="V7" i="43" s="1"/>
  <c r="T6" i="43"/>
  <c r="V6" i="43" s="1"/>
  <c r="T4" i="43"/>
  <c r="V4" i="43" s="1"/>
  <c r="C38" i="77"/>
  <c r="C39" i="77"/>
  <c r="T5" i="43"/>
  <c r="V5" i="43" s="1"/>
  <c r="C29" i="43"/>
  <c r="C30" i="43" s="1"/>
  <c r="E30" i="43" s="1"/>
  <c r="D19" i="69"/>
  <c r="D37" i="69" s="1"/>
  <c r="C37" i="69" s="1"/>
  <c r="C33" i="69" s="1"/>
  <c r="C42" i="69" s="1"/>
  <c r="F34" i="11"/>
  <c r="F11" i="12"/>
  <c r="F34" i="68"/>
  <c r="M59" i="67"/>
  <c r="J53" i="15"/>
  <c r="J53" i="67"/>
  <c r="M59" i="15"/>
  <c r="T2" i="43"/>
  <c r="V2" i="43" s="1"/>
  <c r="T14" i="43"/>
  <c r="V14" i="43" s="1"/>
  <c r="T12" i="43"/>
  <c r="V12" i="43" s="1"/>
  <c r="C36" i="43"/>
  <c r="T10" i="43"/>
  <c r="V10" i="43" s="1"/>
  <c r="T16" i="43"/>
  <c r="V16" i="43" s="1"/>
  <c r="T8" i="43"/>
  <c r="V8" i="43" s="1"/>
  <c r="T11" i="43"/>
  <c r="V11" i="43" s="1"/>
  <c r="C35" i="43"/>
  <c r="T9" i="43"/>
  <c r="V9" i="43" s="1"/>
  <c r="C37" i="43"/>
  <c r="T15" i="43"/>
  <c r="V15" i="43" s="1"/>
  <c r="C34" i="43"/>
  <c r="C33" i="43"/>
  <c r="T13" i="43"/>
  <c r="V13" i="43" s="1"/>
  <c r="AR8" i="1"/>
  <c r="AQ8" i="1"/>
  <c r="T8" i="1"/>
  <c r="H21" i="6"/>
  <c r="R21" i="6" s="1"/>
  <c r="S21" i="6"/>
  <c r="C19" i="68"/>
  <c r="C24" i="68" s="1"/>
  <c r="M27" i="6"/>
  <c r="I19" i="6"/>
  <c r="R20" i="6"/>
  <c r="R7" i="1" s="1"/>
  <c r="D30" i="6"/>
  <c r="D27" i="6"/>
  <c r="D16" i="6"/>
  <c r="R24" i="6"/>
  <c r="R26" i="6"/>
  <c r="D7" i="74"/>
  <c r="D8" i="74"/>
  <c r="C4" i="52"/>
  <c r="B45" i="72" s="1"/>
  <c r="A10" i="51"/>
  <c r="B9" i="72" s="1"/>
  <c r="A7" i="51"/>
  <c r="B7" i="72" s="1"/>
  <c r="AC7" i="35"/>
  <c r="V38" i="35" s="1"/>
  <c r="I38" i="35" s="1"/>
  <c r="W7" i="35"/>
  <c r="E52" i="21"/>
  <c r="F52" i="21" s="1"/>
  <c r="E53" i="21"/>
  <c r="F53" i="21" s="1"/>
  <c r="E53" i="33"/>
  <c r="F53" i="33" s="1"/>
  <c r="E52" i="33"/>
  <c r="F52" i="33" s="1"/>
  <c r="AA7" i="35"/>
  <c r="R38" i="35" s="1"/>
  <c r="S7" i="35"/>
  <c r="C48" i="21"/>
  <c r="C49" i="21"/>
  <c r="B2" i="21" s="1"/>
  <c r="B3" i="21" s="1"/>
  <c r="G46" i="36"/>
  <c r="C50" i="34"/>
  <c r="B2" i="34" s="1"/>
  <c r="B3" i="34" s="1"/>
  <c r="C49" i="34"/>
  <c r="O68" i="39"/>
  <c r="O70" i="39" s="1"/>
  <c r="N70" i="39"/>
  <c r="J7" i="39" s="1"/>
  <c r="G52" i="37"/>
  <c r="C49" i="33"/>
  <c r="B2" i="33" s="1"/>
  <c r="B3" i="33" s="1"/>
  <c r="C48" i="33"/>
  <c r="I53" i="21"/>
  <c r="J53" i="21" s="1"/>
  <c r="E53" i="34"/>
  <c r="F53" i="34" s="1"/>
  <c r="E54" i="34"/>
  <c r="F54" i="34" s="1"/>
  <c r="F7" i="39"/>
  <c r="H7" i="39"/>
  <c r="I54" i="34"/>
  <c r="J54" i="34" s="1"/>
  <c r="H7" i="35"/>
  <c r="F41" i="68"/>
  <c r="C60" i="15"/>
  <c r="C66" i="15"/>
  <c r="C26" i="69"/>
  <c r="D22" i="69" s="1"/>
  <c r="C44" i="69"/>
  <c r="D41" i="69" s="1"/>
  <c r="C23" i="69"/>
  <c r="C44" i="68"/>
  <c r="D41" i="68" s="1"/>
  <c r="C26" i="68"/>
  <c r="D22" i="68" s="1"/>
  <c r="C26" i="12"/>
  <c r="D25" i="12" s="1"/>
  <c r="C44" i="11"/>
  <c r="D41" i="11" s="1"/>
  <c r="C23" i="11"/>
  <c r="C24" i="11"/>
  <c r="C25" i="11"/>
  <c r="C26" i="11"/>
  <c r="D22" i="11" s="1"/>
  <c r="C38" i="67"/>
  <c r="C38" i="15"/>
  <c r="C66" i="67"/>
  <c r="C60" i="67"/>
  <c r="M21" i="67"/>
  <c r="C14" i="79"/>
  <c r="F35" i="67"/>
  <c r="Q52" i="80" l="1"/>
  <c r="F1" i="80"/>
  <c r="C29" i="80"/>
  <c r="C19" i="67"/>
  <c r="C20" i="67" s="1"/>
  <c r="C26" i="67" s="1"/>
  <c r="E29" i="43"/>
  <c r="C15" i="79"/>
  <c r="C18" i="79"/>
  <c r="T16" i="1"/>
  <c r="J20" i="67"/>
  <c r="F63" i="67"/>
  <c r="C62" i="67" s="1"/>
  <c r="C34" i="67"/>
  <c r="C19" i="15"/>
  <c r="C20" i="15" s="1"/>
  <c r="C26" i="15" s="1"/>
  <c r="F1" i="79"/>
  <c r="Q52" i="79"/>
  <c r="C19" i="69"/>
  <c r="C20" i="69" s="1"/>
  <c r="C25" i="69" s="1"/>
  <c r="C38" i="43"/>
  <c r="E38" i="43" s="1"/>
  <c r="C33" i="77"/>
  <c r="E33" i="77" s="1"/>
  <c r="C37" i="68"/>
  <c r="T5" i="77"/>
  <c r="V5" i="77" s="1"/>
  <c r="T2" i="77"/>
  <c r="V2" i="77" s="1"/>
  <c r="C37" i="77"/>
  <c r="E37" i="77" s="1"/>
  <c r="T16" i="77"/>
  <c r="V16" i="77" s="1"/>
  <c r="T15" i="77"/>
  <c r="V15" i="77" s="1"/>
  <c r="T11" i="77"/>
  <c r="V11" i="77" s="1"/>
  <c r="T14" i="77"/>
  <c r="V14" i="77" s="1"/>
  <c r="T4" i="77"/>
  <c r="V4" i="77" s="1"/>
  <c r="T9" i="77"/>
  <c r="V9" i="77" s="1"/>
  <c r="C36" i="77"/>
  <c r="G36" i="77" s="1"/>
  <c r="I36" i="77" s="1"/>
  <c r="T6" i="77"/>
  <c r="V6" i="77" s="1"/>
  <c r="T7" i="77"/>
  <c r="V7" i="77" s="1"/>
  <c r="C29" i="77"/>
  <c r="E29" i="77" s="1"/>
  <c r="T12" i="77"/>
  <c r="V12" i="77" s="1"/>
  <c r="C35" i="77"/>
  <c r="E35" i="77" s="1"/>
  <c r="T8" i="77"/>
  <c r="V8" i="77" s="1"/>
  <c r="T10" i="77"/>
  <c r="V10" i="77" s="1"/>
  <c r="T3" i="77"/>
  <c r="V3" i="77" s="1"/>
  <c r="T13" i="77"/>
  <c r="V13" i="77" s="1"/>
  <c r="C34" i="77"/>
  <c r="G34" i="77" s="1"/>
  <c r="I34" i="77" s="1"/>
  <c r="G38" i="77"/>
  <c r="I38" i="77" s="1"/>
  <c r="E38" i="77"/>
  <c r="G37" i="77"/>
  <c r="I37" i="77" s="1"/>
  <c r="G39" i="77"/>
  <c r="I39" i="77" s="1"/>
  <c r="E39" i="77"/>
  <c r="F1" i="67"/>
  <c r="Q52" i="67"/>
  <c r="C14" i="12"/>
  <c r="C16" i="12" s="1"/>
  <c r="C21" i="12" s="1"/>
  <c r="C22" i="12" s="1"/>
  <c r="L56" i="15"/>
  <c r="F1" i="15"/>
  <c r="Q52" i="15"/>
  <c r="C34" i="68"/>
  <c r="C36" i="68"/>
  <c r="C36" i="11"/>
  <c r="C37" i="11"/>
  <c r="C34" i="11"/>
  <c r="G34" i="43"/>
  <c r="I34" i="43" s="1"/>
  <c r="E34" i="43"/>
  <c r="E37" i="43"/>
  <c r="G37" i="43"/>
  <c r="I37" i="43" s="1"/>
  <c r="E35" i="43"/>
  <c r="G35" i="43"/>
  <c r="I35" i="43" s="1"/>
  <c r="G39" i="43"/>
  <c r="I39" i="43" s="1"/>
  <c r="E39" i="43"/>
  <c r="G33" i="43"/>
  <c r="I33" i="43" s="1"/>
  <c r="E33" i="43"/>
  <c r="E36" i="43"/>
  <c r="G36" i="43"/>
  <c r="I36" i="43" s="1"/>
  <c r="D31" i="6"/>
  <c r="I6" i="6" s="1"/>
  <c r="C39" i="69"/>
  <c r="C43" i="69" s="1"/>
  <c r="C41" i="69" s="1"/>
  <c r="H19" i="6"/>
  <c r="I27" i="6"/>
  <c r="S19" i="6"/>
  <c r="S27" i="6" s="1"/>
  <c r="W7" i="39"/>
  <c r="AC7" i="39"/>
  <c r="V47" i="39" s="1"/>
  <c r="I47" i="39" s="1"/>
  <c r="AB7" i="35"/>
  <c r="T38" i="35" s="1"/>
  <c r="G38" i="35" s="1"/>
  <c r="U7" i="35"/>
  <c r="U7" i="39"/>
  <c r="AB7" i="39"/>
  <c r="T47" i="39" s="1"/>
  <c r="G47" i="39" s="1"/>
  <c r="S7" i="39"/>
  <c r="AA7" i="39"/>
  <c r="R47" i="39" s="1"/>
  <c r="H46" i="36"/>
  <c r="R39" i="35"/>
  <c r="E38" i="35"/>
  <c r="I43" i="35"/>
  <c r="J43" i="35" s="1"/>
  <c r="I42" i="35"/>
  <c r="J42" i="35" s="1"/>
  <c r="H52" i="37"/>
  <c r="J59" i="15"/>
  <c r="J60" i="15" s="1"/>
  <c r="C22" i="11"/>
  <c r="C31" i="11" s="1"/>
  <c r="AE9" i="1"/>
  <c r="AE6" i="1"/>
  <c r="AE7" i="1"/>
  <c r="C57" i="80" l="1"/>
  <c r="C36" i="80"/>
  <c r="J19" i="80"/>
  <c r="Q49" i="80"/>
  <c r="C33" i="80"/>
  <c r="J14" i="80"/>
  <c r="C13" i="80"/>
  <c r="C23" i="67"/>
  <c r="C29" i="67" s="1"/>
  <c r="C19" i="79"/>
  <c r="C20" i="79" s="1"/>
  <c r="C26" i="79" s="1"/>
  <c r="C28" i="69"/>
  <c r="C27" i="69" s="1"/>
  <c r="G38" i="43"/>
  <c r="I38" i="43" s="1"/>
  <c r="C27" i="43" s="1"/>
  <c r="C23" i="15"/>
  <c r="C29" i="15" s="1"/>
  <c r="C24" i="69"/>
  <c r="C22" i="69" s="1"/>
  <c r="G33" i="77"/>
  <c r="I33" i="77" s="1"/>
  <c r="C30" i="77"/>
  <c r="E30" i="77" s="1"/>
  <c r="G35" i="77"/>
  <c r="I35" i="77" s="1"/>
  <c r="E34" i="77"/>
  <c r="E36" i="77"/>
  <c r="C38" i="11"/>
  <c r="C35" i="11"/>
  <c r="C35" i="68"/>
  <c r="C38" i="68"/>
  <c r="C26" i="43"/>
  <c r="B2" i="43" s="1"/>
  <c r="I5" i="6"/>
  <c r="C46" i="69"/>
  <c r="C45" i="69" s="1"/>
  <c r="C49" i="69" s="1"/>
  <c r="C51" i="69" s="1"/>
  <c r="R19" i="6"/>
  <c r="R8" i="1" s="1"/>
  <c r="H27" i="6"/>
  <c r="I52" i="37"/>
  <c r="J52" i="37" s="1"/>
  <c r="K52" i="37" s="1"/>
  <c r="L52" i="37" s="1"/>
  <c r="M52" i="37" s="1"/>
  <c r="N52" i="37" s="1"/>
  <c r="O52" i="37" s="1"/>
  <c r="F7" i="37" s="1"/>
  <c r="C38" i="35"/>
  <c r="C39" i="35"/>
  <c r="B2" i="35" s="1"/>
  <c r="B3" i="35" s="1"/>
  <c r="I46" i="36"/>
  <c r="J46" i="36" s="1"/>
  <c r="K46" i="36" s="1"/>
  <c r="L46" i="36" s="1"/>
  <c r="M46" i="36" s="1"/>
  <c r="N46" i="36" s="1"/>
  <c r="O46" i="36" s="1"/>
  <c r="G42" i="35"/>
  <c r="H42" i="35" s="1"/>
  <c r="G43" i="35"/>
  <c r="H43" i="35" s="1"/>
  <c r="F7" i="36"/>
  <c r="H7" i="37"/>
  <c r="E43" i="35"/>
  <c r="F43" i="35" s="1"/>
  <c r="E42" i="35"/>
  <c r="F42" i="35" s="1"/>
  <c r="H7" i="36"/>
  <c r="R48" i="39"/>
  <c r="E47" i="39"/>
  <c r="G51" i="39"/>
  <c r="H51" i="39" s="1"/>
  <c r="G52" i="39"/>
  <c r="H52" i="39" s="1"/>
  <c r="I51" i="39"/>
  <c r="J51" i="39" s="1"/>
  <c r="I52" i="39"/>
  <c r="J52" i="39" s="1"/>
  <c r="Q48" i="15"/>
  <c r="F41" i="79"/>
  <c r="B6" i="76"/>
  <c r="E6" i="76"/>
  <c r="F41" i="15"/>
  <c r="F41" i="80"/>
  <c r="F69" i="79" l="1"/>
  <c r="J29" i="79"/>
  <c r="F69" i="15"/>
  <c r="J29" i="15"/>
  <c r="J29" i="80"/>
  <c r="F69" i="80"/>
  <c r="C23" i="79"/>
  <c r="C29" i="79" s="1"/>
  <c r="C36" i="79" s="1"/>
  <c r="C75" i="80"/>
  <c r="Q70" i="80"/>
  <c r="C37" i="80"/>
  <c r="C56" i="80"/>
  <c r="C65" i="80" s="1"/>
  <c r="C64" i="80"/>
  <c r="C61" i="80"/>
  <c r="J13" i="80"/>
  <c r="J23" i="80" s="1"/>
  <c r="J22" i="80"/>
  <c r="C33" i="67"/>
  <c r="C31" i="67" s="1"/>
  <c r="C13" i="67"/>
  <c r="C57" i="67"/>
  <c r="J59" i="67"/>
  <c r="J60" i="67" s="1"/>
  <c r="C36" i="67"/>
  <c r="J14" i="67"/>
  <c r="J19" i="67"/>
  <c r="J17" i="67" s="1"/>
  <c r="Q49" i="67"/>
  <c r="C31" i="69"/>
  <c r="C52" i="69" s="1"/>
  <c r="B2" i="69" s="1"/>
  <c r="B3" i="69" s="1"/>
  <c r="J14" i="15"/>
  <c r="C36" i="15"/>
  <c r="C13" i="15"/>
  <c r="J19" i="15"/>
  <c r="C57" i="15"/>
  <c r="Q49" i="15"/>
  <c r="C33" i="15"/>
  <c r="C33" i="11"/>
  <c r="C42" i="11" s="1"/>
  <c r="C27" i="77"/>
  <c r="C26" i="77"/>
  <c r="C33" i="68"/>
  <c r="C39" i="68" s="1"/>
  <c r="B3" i="43"/>
  <c r="R27" i="6"/>
  <c r="R6" i="1"/>
  <c r="U7" i="36"/>
  <c r="AB7" i="36"/>
  <c r="T36" i="36" s="1"/>
  <c r="G36" i="36" s="1"/>
  <c r="C48" i="39"/>
  <c r="C47" i="39"/>
  <c r="U7" i="37"/>
  <c r="AB7" i="37"/>
  <c r="T42" i="37" s="1"/>
  <c r="G42" i="37" s="1"/>
  <c r="J7" i="36"/>
  <c r="J7" i="37"/>
  <c r="E52" i="39"/>
  <c r="F52" i="39" s="1"/>
  <c r="E51" i="39"/>
  <c r="F51" i="39" s="1"/>
  <c r="AA7" i="36"/>
  <c r="R36" i="36" s="1"/>
  <c r="S7" i="36"/>
  <c r="S7" i="37"/>
  <c r="AA7" i="37"/>
  <c r="R42" i="37" s="1"/>
  <c r="M21" i="79"/>
  <c r="F35" i="15"/>
  <c r="M21" i="80"/>
  <c r="F35" i="80"/>
  <c r="M21" i="15"/>
  <c r="F35" i="79"/>
  <c r="E7" i="76"/>
  <c r="J14" i="79" l="1"/>
  <c r="J13" i="79" s="1"/>
  <c r="J23" i="79" s="1"/>
  <c r="C13" i="79"/>
  <c r="C75" i="79" s="1"/>
  <c r="Q49" i="79"/>
  <c r="C33" i="79"/>
  <c r="C57" i="79"/>
  <c r="C61" i="79" s="1"/>
  <c r="J19" i="79"/>
  <c r="J20" i="80"/>
  <c r="J17" i="80" s="1"/>
  <c r="J16" i="80" s="1"/>
  <c r="J25" i="80" s="1"/>
  <c r="F63" i="80"/>
  <c r="C62" i="80" s="1"/>
  <c r="C34" i="80"/>
  <c r="C31" i="80" s="1"/>
  <c r="C30" i="80" s="1"/>
  <c r="C39" i="80" s="1"/>
  <c r="C80" i="80" s="1"/>
  <c r="C79" i="80" s="1"/>
  <c r="C59" i="80"/>
  <c r="C58" i="80" s="1"/>
  <c r="C67" i="80" s="1"/>
  <c r="C68" i="80" s="1"/>
  <c r="C61" i="67"/>
  <c r="C59" i="67" s="1"/>
  <c r="C64" i="67"/>
  <c r="J13" i="67"/>
  <c r="J23" i="67" s="1"/>
  <c r="J22" i="67"/>
  <c r="Q48" i="67"/>
  <c r="L46" i="67"/>
  <c r="C75" i="67"/>
  <c r="C56" i="67"/>
  <c r="C65" i="67" s="1"/>
  <c r="Q70" i="67"/>
  <c r="C37" i="67"/>
  <c r="C30" i="67" s="1"/>
  <c r="C39" i="67" s="1"/>
  <c r="C61" i="15"/>
  <c r="C64" i="15"/>
  <c r="Q70" i="15"/>
  <c r="C75" i="15"/>
  <c r="C56" i="15"/>
  <c r="C65" i="15" s="1"/>
  <c r="C37" i="15"/>
  <c r="J13" i="15"/>
  <c r="J23" i="15" s="1"/>
  <c r="J22" i="15"/>
  <c r="C39" i="11"/>
  <c r="C43" i="11" s="1"/>
  <c r="C41" i="11" s="1"/>
  <c r="C56" i="79"/>
  <c r="C65" i="79" s="1"/>
  <c r="J22" i="79"/>
  <c r="J20" i="79"/>
  <c r="J17" i="79" s="1"/>
  <c r="F63" i="79"/>
  <c r="C62" i="79" s="1"/>
  <c r="C59" i="79" s="1"/>
  <c r="C34" i="79"/>
  <c r="C31" i="79" s="1"/>
  <c r="C34" i="15"/>
  <c r="C31" i="15" s="1"/>
  <c r="F63" i="15"/>
  <c r="C62" i="15" s="1"/>
  <c r="J20" i="15"/>
  <c r="J17" i="15" s="1"/>
  <c r="R16" i="1"/>
  <c r="E2" i="76"/>
  <c r="B2" i="77"/>
  <c r="C42" i="68"/>
  <c r="C46" i="68"/>
  <c r="C45" i="68" s="1"/>
  <c r="C43" i="68"/>
  <c r="C57" i="69"/>
  <c r="C56" i="69" s="1"/>
  <c r="R37" i="36"/>
  <c r="E36" i="36"/>
  <c r="R43" i="37"/>
  <c r="E42" i="37"/>
  <c r="W7" i="37"/>
  <c r="AC7" i="37"/>
  <c r="V42" i="37" s="1"/>
  <c r="I42" i="37" s="1"/>
  <c r="G46" i="37"/>
  <c r="H46" i="37" s="1"/>
  <c r="G47" i="37"/>
  <c r="H47" i="37" s="1"/>
  <c r="G40" i="36"/>
  <c r="H40" i="36" s="1"/>
  <c r="W7" i="36"/>
  <c r="AC7" i="36"/>
  <c r="V36" i="36" s="1"/>
  <c r="I36" i="36" s="1"/>
  <c r="B59" i="39"/>
  <c r="F59" i="39" s="1"/>
  <c r="B60" i="39"/>
  <c r="F60" i="39" s="1"/>
  <c r="B62" i="39"/>
  <c r="F62" i="39" s="1"/>
  <c r="B56" i="39"/>
  <c r="F56" i="39" s="1"/>
  <c r="F66" i="39" s="1"/>
  <c r="B2" i="39" s="1"/>
  <c r="B3" i="39" s="1"/>
  <c r="B63" i="39"/>
  <c r="F63" i="39" s="1"/>
  <c r="B57" i="39"/>
  <c r="F57" i="39" s="1"/>
  <c r="B61" i="39"/>
  <c r="F61" i="39" s="1"/>
  <c r="B64" i="39"/>
  <c r="F64" i="39" s="1"/>
  <c r="B58" i="39"/>
  <c r="F58" i="39" s="1"/>
  <c r="B65" i="39"/>
  <c r="F65" i="39" s="1"/>
  <c r="B7" i="76"/>
  <c r="L51" i="67"/>
  <c r="C46" i="11" l="1"/>
  <c r="C45" i="11" s="1"/>
  <c r="C30" i="15"/>
  <c r="C39" i="15" s="1"/>
  <c r="C40" i="15" s="1"/>
  <c r="C64" i="79"/>
  <c r="C58" i="79" s="1"/>
  <c r="C67" i="79" s="1"/>
  <c r="C68" i="79" s="1"/>
  <c r="C71" i="79" s="1"/>
  <c r="C37" i="79"/>
  <c r="Q70" i="79"/>
  <c r="C71" i="80"/>
  <c r="Q69" i="80"/>
  <c r="Q68" i="80" s="1"/>
  <c r="C40" i="80"/>
  <c r="J16" i="67"/>
  <c r="J25" i="67" s="1"/>
  <c r="Q67" i="67"/>
  <c r="L57" i="67"/>
  <c r="L60" i="67" s="1"/>
  <c r="Q57" i="67" s="1"/>
  <c r="Q69" i="67"/>
  <c r="Q68" i="67" s="1"/>
  <c r="C40" i="67"/>
  <c r="C80" i="67"/>
  <c r="C79" i="67" s="1"/>
  <c r="C58" i="67"/>
  <c r="C67" i="67" s="1"/>
  <c r="C68" i="67" s="1"/>
  <c r="C59" i="15"/>
  <c r="C58" i="15" s="1"/>
  <c r="C67" i="15" s="1"/>
  <c r="C68" i="15" s="1"/>
  <c r="C71" i="15" s="1"/>
  <c r="C41" i="68"/>
  <c r="C49" i="68" s="1"/>
  <c r="C51" i="68" s="1"/>
  <c r="C30" i="79"/>
  <c r="C39" i="79" s="1"/>
  <c r="Q69" i="79" s="1"/>
  <c r="J16" i="79"/>
  <c r="J25" i="79" s="1"/>
  <c r="J16" i="15"/>
  <c r="J25" i="15" s="1"/>
  <c r="C49" i="11"/>
  <c r="C51" i="11" s="1"/>
  <c r="C52" i="11" s="1"/>
  <c r="B2" i="11" s="1"/>
  <c r="B3" i="11" s="1"/>
  <c r="L57" i="15"/>
  <c r="L60" i="15" s="1"/>
  <c r="L46" i="15" s="1"/>
  <c r="B2" i="76"/>
  <c r="C6" i="68" s="1"/>
  <c r="B3" i="77"/>
  <c r="C36" i="36"/>
  <c r="C37" i="36"/>
  <c r="B2" i="36" s="1"/>
  <c r="B3" i="36" s="1"/>
  <c r="I40" i="36"/>
  <c r="J40" i="36" s="1"/>
  <c r="I41" i="36"/>
  <c r="J41" i="36" s="1"/>
  <c r="G41" i="36"/>
  <c r="H41" i="36" s="1"/>
  <c r="I47" i="37"/>
  <c r="J47" i="37" s="1"/>
  <c r="I46" i="37"/>
  <c r="J46" i="37" s="1"/>
  <c r="E47" i="37"/>
  <c r="F47" i="37" s="1"/>
  <c r="E46" i="37"/>
  <c r="F46" i="37" s="1"/>
  <c r="E40" i="36"/>
  <c r="F40" i="36" s="1"/>
  <c r="E41" i="36"/>
  <c r="F41" i="36" s="1"/>
  <c r="C42" i="37"/>
  <c r="C43" i="37"/>
  <c r="B2" i="37" s="1"/>
  <c r="B3" i="37" s="1"/>
  <c r="L51" i="79"/>
  <c r="L51" i="80"/>
  <c r="L51" i="15"/>
  <c r="C80" i="15" l="1"/>
  <c r="C79" i="15" s="1"/>
  <c r="Q69" i="15"/>
  <c r="Q68" i="15" s="1"/>
  <c r="Q67" i="15"/>
  <c r="Q66" i="67"/>
  <c r="Q68" i="79"/>
  <c r="Q67" i="80"/>
  <c r="Q47" i="80"/>
  <c r="Q53" i="80" s="1"/>
  <c r="Q65" i="80"/>
  <c r="Q75" i="80" s="1"/>
  <c r="Q56" i="80"/>
  <c r="Q62" i="80" s="1"/>
  <c r="C43" i="80"/>
  <c r="B2" i="80"/>
  <c r="C83" i="80"/>
  <c r="C82" i="80" s="1"/>
  <c r="C46" i="80"/>
  <c r="C71" i="67"/>
  <c r="C45" i="67"/>
  <c r="C46" i="67" s="1"/>
  <c r="D2" i="67"/>
  <c r="Q56" i="67"/>
  <c r="Q62" i="67" s="1"/>
  <c r="C83" i="67"/>
  <c r="C82" i="67" s="1"/>
  <c r="C43" i="67"/>
  <c r="Q47" i="67"/>
  <c r="Q53" i="67" s="1"/>
  <c r="Q65" i="67"/>
  <c r="C40" i="79"/>
  <c r="C80" i="79"/>
  <c r="C79" i="79" s="1"/>
  <c r="Q66" i="15"/>
  <c r="Q67" i="79"/>
  <c r="Q57" i="15"/>
  <c r="B2" i="15"/>
  <c r="C8" i="12" s="1"/>
  <c r="Q65" i="15"/>
  <c r="Q47" i="15"/>
  <c r="Q53" i="15" s="1"/>
  <c r="C46" i="15"/>
  <c r="Q56" i="15"/>
  <c r="C43" i="15"/>
  <c r="C83" i="15"/>
  <c r="C82" i="15" s="1"/>
  <c r="B3" i="76"/>
  <c r="C7" i="68"/>
  <c r="C5" i="68" s="1"/>
  <c r="C56" i="11"/>
  <c r="C57" i="11" s="1"/>
  <c r="AO6" i="1"/>
  <c r="B3" i="80" l="1"/>
  <c r="D8" i="12"/>
  <c r="Q75" i="67"/>
  <c r="B2" i="67"/>
  <c r="B3" i="67"/>
  <c r="B2" i="79"/>
  <c r="F8" i="12" s="1"/>
  <c r="C83" i="79"/>
  <c r="C82" i="79" s="1"/>
  <c r="Q56" i="79"/>
  <c r="Q62" i="79" s="1"/>
  <c r="C46" i="79"/>
  <c r="C43" i="79"/>
  <c r="Q65" i="79"/>
  <c r="Q75" i="79" s="1"/>
  <c r="Q47" i="79"/>
  <c r="Q53" i="79" s="1"/>
  <c r="Q75" i="15"/>
  <c r="B6" i="70"/>
  <c r="B3" i="15"/>
  <c r="Q62" i="15"/>
  <c r="C23" i="68"/>
  <c r="C20" i="68"/>
  <c r="C25" i="68" s="1"/>
  <c r="AO7" i="1"/>
  <c r="AO9" i="1"/>
  <c r="C4" i="12" l="1"/>
  <c r="C23" i="12" s="1"/>
  <c r="C27" i="12" s="1"/>
  <c r="C25" i="12" s="1"/>
  <c r="B9" i="70"/>
  <c r="B7" i="70"/>
  <c r="B3" i="79"/>
  <c r="C28" i="68"/>
  <c r="C27" i="68" s="1"/>
  <c r="C22" i="68"/>
  <c r="C31" i="12" l="1"/>
  <c r="C30" i="12"/>
  <c r="C28" i="12" s="1"/>
  <c r="B2" i="70"/>
  <c r="B3" i="70" s="1"/>
  <c r="C31" i="68"/>
  <c r="C52" i="68" s="1"/>
  <c r="B2" i="68" s="1"/>
  <c r="C19" i="9"/>
  <c r="C32" i="12" l="1"/>
  <c r="B2" i="12" s="1"/>
  <c r="C57" i="68"/>
  <c r="C56" i="68" s="1"/>
  <c r="C102" i="9"/>
  <c r="C21" i="9"/>
  <c r="B3" i="68"/>
  <c r="D19" i="9"/>
  <c r="C20" i="9"/>
  <c r="D102" i="9" l="1"/>
  <c r="D22" i="9"/>
  <c r="D21" i="9"/>
  <c r="G19" i="9"/>
  <c r="B3" i="12"/>
  <c r="C103" i="9"/>
  <c r="D20" i="9"/>
  <c r="G21" i="9" l="1"/>
  <c r="E20" i="78"/>
  <c r="F20" i="78" s="1"/>
  <c r="D103" i="9"/>
  <c r="G20" i="9"/>
  <c r="C32" i="9" s="1"/>
  <c r="C35" i="9" s="1"/>
  <c r="C34" i="9" s="1"/>
  <c r="E19" i="78" l="1"/>
  <c r="E18" i="78" l="1"/>
  <c r="F18" i="78" s="1"/>
  <c r="F21" i="78" s="1"/>
  <c r="D118" i="9"/>
  <c r="D4" i="52" s="1"/>
  <c r="B47" i="72" s="1"/>
  <c r="H118" i="9"/>
  <c r="H119" i="9" s="1"/>
  <c r="H5" i="52" s="1"/>
  <c r="F118" i="9"/>
  <c r="F119" i="9" s="1"/>
  <c r="F5" i="52" s="1"/>
  <c r="B53" i="72" s="1"/>
  <c r="C104" i="9" l="1"/>
  <c r="F4" i="52"/>
  <c r="B51" i="72" s="1"/>
  <c r="G118" i="9"/>
  <c r="G4" i="52" s="1"/>
  <c r="B52" i="72" s="1"/>
  <c r="H101" i="9"/>
  <c r="I118" i="9"/>
  <c r="D119" i="9"/>
  <c r="D5" i="52" s="1"/>
  <c r="B49" i="72" s="1"/>
  <c r="D14" i="74"/>
  <c r="H4" i="52"/>
  <c r="E14" i="74" l="1"/>
  <c r="F14" i="74"/>
  <c r="B5" i="74"/>
  <c r="I4" i="52"/>
  <c r="E118" i="9"/>
  <c r="E4" i="52" s="1"/>
  <c r="B48" i="72" s="1"/>
  <c r="H102" i="9"/>
  <c r="D7" i="53" s="1"/>
  <c r="B21" i="72" s="1"/>
  <c r="C105" i="9"/>
  <c r="H107" i="9"/>
  <c r="M49" i="9" s="1"/>
  <c r="D45" i="9"/>
  <c r="M48" i="9"/>
  <c r="D5" i="53"/>
  <c r="L66" i="9" l="1"/>
  <c r="M66" i="9" s="1"/>
  <c r="L64" i="9"/>
  <c r="M64" i="9" s="1"/>
  <c r="L65" i="9"/>
  <c r="M65" i="9" s="1"/>
  <c r="L63" i="9"/>
  <c r="M63" i="9" s="1"/>
  <c r="L67" i="9"/>
  <c r="M67" i="9" s="1"/>
  <c r="L68" i="9"/>
  <c r="M68" i="9" s="1"/>
  <c r="B20" i="72"/>
  <c r="D6" i="53"/>
  <c r="B22" i="72" s="1"/>
  <c r="D53" i="9"/>
  <c r="C93" i="9"/>
  <c r="C86" i="9" s="1"/>
  <c r="C85" i="9"/>
  <c r="C72" i="9"/>
  <c r="D52" i="9"/>
  <c r="C78" i="9"/>
  <c r="C73" i="9" s="1"/>
  <c r="C64" i="9"/>
  <c r="C63" i="9" s="1"/>
  <c r="C67" i="9" s="1"/>
  <c r="D55" i="9"/>
  <c r="M53" i="9" s="1"/>
  <c r="C5" i="74"/>
  <c r="D5" i="74"/>
  <c r="D122" i="9"/>
  <c r="H108" i="9"/>
  <c r="D15" i="53" s="1"/>
  <c r="B31" i="72" s="1"/>
  <c r="D13" i="53"/>
  <c r="M69" i="9" l="1"/>
  <c r="N69" i="9" s="1"/>
  <c r="C95" i="9"/>
  <c r="G14" i="74"/>
  <c r="B6" i="74" s="1"/>
  <c r="D123" i="9"/>
  <c r="D9" i="52" s="1"/>
  <c r="D8" i="52"/>
  <c r="D59" i="9"/>
  <c r="M55" i="9" s="1"/>
  <c r="C68" i="9"/>
  <c r="D54" i="9" s="1"/>
  <c r="C96" i="9"/>
  <c r="E96" i="9" s="1"/>
  <c r="E97" i="9" s="1"/>
  <c r="C79" i="9"/>
  <c r="D14" i="53"/>
  <c r="B32" i="72" s="1"/>
  <c r="B30" i="72"/>
  <c r="C97" i="9" l="1"/>
  <c r="D58" i="9" s="1"/>
  <c r="D56" i="9" s="1"/>
  <c r="M54" i="9" s="1"/>
  <c r="N57" i="9" s="1"/>
  <c r="N58" i="9" s="1"/>
  <c r="C80" i="9"/>
  <c r="E80" i="9" s="1"/>
  <c r="E81" i="9" s="1"/>
  <c r="D6" i="74"/>
  <c r="C6" i="74"/>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<sst xmlns="http://schemas.openxmlformats.org/spreadsheetml/2006/main" count="8475" uniqueCount="3110">
  <si>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</si>
  <si>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</si>
  <si>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</si>
  <si>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</si>
  <si>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</si>
  <si>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</si>
  <si>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</si>
  <si>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</si>
  <si>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</si>
  <si>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</si>
  <si>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</si>
  <si>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</si>
  <si>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</si>
  <si>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</si>
  <si>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</si>
  <si>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</si>
  <si>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</si>
  <si>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</si>
  <si>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</si>
  <si>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</si>
  <si>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</si>
  <si>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</si>
  <si>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</si>
  <si>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</si>
  <si>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</si>
  <si>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</si>
  <si>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</si>
  <si>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</si>
  <si>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</si>
  <si>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</si>
  <si>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</si>
  <si>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</si>
  <si>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</si>
  <si>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</si>
  <si>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</si>
  <si>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</si>
  <si>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</si>
  <si>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</si>
  <si>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</si>
  <si>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</si>
  <si>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</si>
  <si>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</si>
  <si>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</si>
  <si>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</si>
  <si>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</si>
  <si>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</si>
  <si>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</si>
  <si>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</si>
  <si>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</si>
  <si>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</si>
  <si>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</si>
  <si>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</si>
  <si>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</si>
  <si>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</si>
  <si>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</si>
  <si>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</si>
  <si>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</si>
  <si>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</si>
  <si>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</si>
  <si>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</si>
  <si>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</si>
  <si>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</si>
  <si>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</si>
  <si>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</si>
  <si>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</si>
  <si>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</si>
  <si>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</si>
  <si>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</si>
  <si>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</si>
  <si>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</si>
  <si>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</si>
  <si>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</si>
  <si>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</si>
  <si>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</si>
  <si>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</si>
  <si>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</si>
  <si>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</si>
  <si>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</si>
  <si>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</si>
  <si>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</si>
  <si>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</si>
  <si>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</si>
  <si>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</si>
  <si>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</si>
  <si>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</si>
  <si>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</si>
  <si>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</si>
  <si>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</si>
  <si>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</si>
  <si>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</si>
  <si>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</si>
  <si>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</si>
  <si>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</si>
  <si>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</si>
  <si>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</si>
  <si>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</si>
  <si>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</si>
  <si>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</si>
  <si>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</si>
  <si>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</si>
  <si>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</si>
  <si>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</si>
  <si>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</si>
  <si>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</si>
  <si>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</si>
  <si>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</si>
  <si>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</si>
  <si>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</si>
  <si>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</si>
  <si>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</si>
  <si>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</si>
  <si>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</si>
  <si>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</si>
  <si>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</si>
  <si>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</si>
  <si>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</si>
  <si>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</si>
  <si>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</si>
  <si>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</si>
  <si>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</si>
  <si>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</si>
  <si>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</si>
  <si>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</si>
  <si>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</si>
  <si>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</si>
  <si>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</si>
  <si>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</si>
  <si>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</si>
  <si>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</si>
  <si>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</si>
  <si>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</si>
  <si>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</si>
  <si>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</si>
  <si>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</si>
  <si>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</si>
  <si>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</si>
  <si>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</si>
  <si>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</si>
  <si>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</si>
  <si>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</si>
  <si>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</si>
  <si>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</si>
  <si>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</si>
  <si>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</si>
  <si>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</si>
  <si>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</si>
  <si>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</si>
  <si>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</si>
  <si>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</si>
  <si>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</si>
  <si>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</si>
  <si>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</si>
  <si>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</si>
  <si>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</si>
  <si>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</si>
  <si>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</si>
  <si>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</si>
  <si>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</si>
  <si>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</si>
  <si>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</si>
  <si>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</si>
  <si>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</si>
  <si>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</si>
  <si>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</si>
  <si>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</si>
  <si>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</si>
  <si>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</si>
  <si>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</si>
  <si>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</si>
  <si>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</si>
  <si>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</si>
  <si>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</si>
  <si>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</si>
  <si>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</si>
  <si>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</si>
  <si>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</si>
  <si>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</si>
  <si>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</si>
  <si>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</si>
  <si>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</si>
  <si>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</si>
  <si>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</si>
  <si>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</si>
  <si>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</si>
  <si>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</si>
  <si>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</si>
  <si>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</si>
  <si>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</si>
  <si>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</si>
  <si>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</si>
  <si>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</si>
  <si>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</si>
  <si>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</si>
  <si>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</si>
  <si>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</si>
  <si>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</si>
  <si>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</si>
  <si>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</si>
  <si>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</si>
  <si>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</si>
  <si>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</si>
  <si>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</si>
  <si>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</si>
  <si>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</si>
  <si>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</si>
  <si>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</si>
  <si>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</si>
  <si>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</si>
  <si>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</si>
  <si>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</si>
  <si>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</si>
  <si>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</si>
  <si>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</si>
  <si>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</si>
  <si>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</si>
  <si>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</si>
  <si>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</si>
  <si>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</si>
  <si>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</si>
  <si>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</si>
  <si>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</si>
  <si>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</si>
  <si>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</si>
  <si>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</si>
  <si>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</si>
  <si>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</si>
  <si>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</si>
  <si>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</si>
  <si>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</si>
  <si>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</si>
  <si>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</si>
  <si>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</si>
  <si>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</si>
  <si>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</si>
  <si>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</si>
  <si>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</si>
  <si>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</si>
  <si>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</si>
  <si>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</si>
  <si>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</si>
  <si>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</si>
  <si>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</si>
  <si>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</si>
  <si>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</si>
  <si>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</si>
  <si>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</si>
  <si>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</si>
  <si>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</si>
  <si>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</si>
  <si>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</si>
  <si>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</si>
  <si>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</si>
  <si>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</si>
  <si>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</si>
  <si>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</si>
  <si>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</si>
  <si>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</si>
  <si>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</si>
  <si>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</si>
  <si>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</si>
  <si>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</si>
  <si>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</si>
  <si>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</si>
  <si>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</si>
  <si>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</si>
  <si>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</si>
  <si>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</si>
  <si>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</si>
  <si>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</si>
  <si>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</si>
  <si>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</si>
  <si>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</si>
  <si>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</si>
  <si>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</si>
  <si>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</si>
  <si>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</si>
  <si>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</si>
  <si>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</si>
  <si>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</si>
  <si>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</si>
  <si>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</si>
  <si>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</si>
  <si>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</si>
  <si>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</si>
  <si>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</si>
  <si>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</si>
  <si>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</si>
  <si>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</si>
  <si>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</si>
  <si>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</si>
  <si>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</si>
  <si>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</si>
  <si>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</si>
  <si>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</si>
  <si>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</si>
  <si>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</si>
  <si>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</si>
  <si>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</si>
  <si>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</si>
  <si>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</si>
  <si>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</si>
  <si>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</si>
  <si>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</si>
  <si>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</si>
  <si>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</si>
  <si>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</si>
  <si>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</si>
  <si>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</si>
  <si>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</si>
  <si>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</si>
  <si>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</si>
  <si>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</si>
  <si>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</si>
  <si>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</si>
  <si>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</si>
  <si>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</si>
  <si>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</si>
  <si>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</si>
  <si>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</si>
  <si>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</si>
  <si>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</si>
  <si>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</si>
  <si>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</si>
  <si>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</si>
  <si>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</si>
  <si>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</si>
  <si>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</si>
  <si>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</si>
  <si>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</si>
  <si>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</si>
  <si>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</si>
  <si>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</si>
  <si>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</si>
  <si>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</si>
  <si>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</si>
  <si>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</si>
  <si>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</si>
  <si>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</si>
  <si>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</si>
  <si>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</si>
  <si>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</si>
  <si>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</si>
  <si>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</si>
  <si>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</si>
  <si>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</si>
  <si>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</si>
  <si>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</si>
  <si>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</si>
  <si>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</si>
  <si>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</si>
  <si>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</si>
  <si>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</si>
  <si>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</si>
  <si>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</si>
  <si>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</si>
  <si>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</si>
  <si>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</si>
  <si>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</si>
  <si>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</si>
  <si>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</si>
  <si>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</si>
  <si>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</si>
  <si>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</si>
  <si>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</si>
  <si>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</si>
  <si>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</si>
  <si>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</si>
  <si>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</si>
  <si>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</si>
  <si>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</si>
  <si>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</si>
  <si>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</si>
  <si>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</si>
  <si>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</si>
  <si>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</si>
  <si>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</si>
  <si>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</si>
  <si>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</si>
  <si>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</si>
  <si>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</si>
  <si>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</si>
  <si>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</si>
  <si>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</si>
  <si>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</si>
  <si>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</si>
  <si>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</si>
  <si>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</si>
  <si>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</si>
  <si>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</si>
  <si>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</si>
  <si>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</si>
  <si>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</si>
  <si>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</si>
  <si>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</si>
  <si>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</si>
  <si>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</si>
  <si>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</si>
  <si>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</si>
  <si>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</si>
  <si>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</si>
  <si>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</si>
  <si>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</si>
  <si>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</si>
  <si>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</si>
  <si>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</si>
  <si>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</si>
  <si>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</si>
  <si>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</si>
  <si>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</si>
  <si>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</si>
  <si>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</si>
  <si>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</si>
  <si>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</si>
  <si>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</si>
  <si>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</si>
  <si>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</si>
  <si>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</si>
  <si>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</si>
  <si>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</si>
  <si>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</si>
  <si>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</si>
  <si>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</si>
  <si>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</si>
  <si>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</si>
  <si>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</si>
  <si>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</si>
  <si>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</si>
  <si>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</si>
  <si>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</si>
  <si>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</si>
  <si>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</si>
  <si>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</si>
  <si>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</si>
  <si>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</si>
  <si>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</si>
  <si>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</si>
  <si>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</si>
  <si>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</si>
  <si>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</si>
  <si>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</si>
  <si>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</si>
  <si>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</si>
  <si>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</si>
  <si>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</si>
  <si>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</si>
  <si>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</si>
  <si>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</si>
  <si>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</si>
  <si>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</si>
  <si>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</si>
  <si>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</si>
  <si>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</si>
  <si>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</si>
  <si>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</si>
  <si>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</si>
  <si>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</si>
  <si>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</si>
  <si>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</si>
  <si>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</si>
  <si>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</si>
  <si>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</si>
  <si>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</si>
  <si>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</si>
  <si>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</si>
  <si>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</si>
  <si>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</si>
  <si>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</si>
  <si>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</si>
  <si>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</si>
  <si>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</si>
  <si>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</si>
  <si>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</si>
  <si>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</si>
  <si>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</si>
  <si>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</si>
  <si>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</si>
  <si>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</si>
  <si>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</si>
  <si>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</si>
  <si>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</si>
  <si>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</si>
  <si>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</si>
  <si>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</si>
  <si>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</si>
  <si>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</si>
  <si>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</si>
  <si>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</si>
  <si>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</si>
  <si>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</si>
  <si>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</si>
  <si>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</si>
  <si>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</si>
  <si>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</si>
  <si>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</si>
  <si>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</si>
  <si>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</si>
  <si>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</si>
  <si>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</si>
  <si>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</si>
  <si>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</si>
  <si>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</si>
  <si>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</si>
  <si>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</si>
  <si>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</si>
  <si>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</si>
  <si>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</si>
  <si>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</si>
  <si>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</si>
  <si>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</si>
  <si>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</si>
  <si>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</si>
  <si>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</si>
  <si>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</si>
  <si>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</si>
  <si>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</si>
  <si>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</si>
  <si>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</si>
  <si>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</si>
  <si>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</si>
  <si>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</si>
  <si>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</si>
  <si>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</si>
  <si>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</si>
  <si>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</si>
  <si>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</si>
  <si>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</si>
  <si>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</si>
  <si>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</si>
  <si>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</si>
  <si>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</si>
  <si>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</si>
  <si>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</si>
  <si>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</si>
  <si>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</si>
  <si>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</si>
  <si>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</si>
  <si>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</si>
  <si>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</si>
  <si>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</si>
  <si>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</si>
  <si>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</si>
  <si>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</si>
  <si>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</si>
  <si>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</si>
  <si>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</si>
  <si>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</si>
  <si>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</si>
  <si>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</si>
  <si>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</si>
  <si>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</si>
  <si>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</si>
  <si>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</si>
  <si>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</si>
  <si>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</si>
  <si>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</si>
  <si>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</si>
  <si>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</si>
  <si>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</si>
  <si>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</si>
  <si>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</si>
  <si>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</si>
  <si>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</si>
  <si>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</si>
  <si>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</si>
  <si>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</si>
  <si>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</si>
  <si>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</si>
  <si>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</si>
  <si>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</si>
  <si>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</si>
  <si>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</si>
  <si>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</si>
  <si>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</si>
  <si>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</si>
  <si>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</si>
  <si>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</si>
  <si>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</si>
  <si>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</si>
  <si>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</si>
  <si>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</si>
  <si>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</si>
  <si>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</si>
  <si>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</si>
  <si>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</si>
  <si>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</si>
  <si>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</si>
  <si>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</si>
  <si>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</si>
  <si>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</si>
  <si>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</si>
  <si>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</si>
  <si>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</si>
  <si>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</si>
  <si>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</si>
  <si>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</si>
  <si>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</si>
  <si>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</si>
  <si>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</si>
  <si>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</si>
  <si>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</si>
  <si>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</si>
  <si>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</si>
  <si>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</si>
  <si>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</si>
  <si>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</si>
  <si>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</si>
  <si>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</si>
  <si>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</si>
  <si>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</si>
  <si>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</si>
  <si>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</si>
  <si>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</si>
  <si>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</si>
  <si>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</si>
  <si>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</si>
  <si>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</si>
  <si>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</si>
  <si>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</si>
  <si>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</si>
  <si>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</si>
  <si>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</si>
  <si>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</si>
  <si>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</si>
  <si>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</si>
  <si>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</si>
  <si>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</si>
  <si>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</si>
  <si>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</si>
  <si>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</si>
  <si>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</si>
  <si>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</si>
  <si>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</si>
  <si>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</si>
  <si>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</si>
  <si>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</si>
  <si>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</si>
  <si>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</si>
  <si>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</si>
  <si>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</si>
  <si>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</si>
  <si>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</si>
  <si>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</si>
  <si>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</si>
  <si>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</si>
  <si>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</si>
  <si>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</si>
  <si>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</si>
  <si>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</si>
  <si>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</si>
  <si>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</si>
  <si>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</si>
  <si>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</si>
  <si>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</si>
  <si>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</si>
  <si>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</si>
  <si>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</si>
  <si>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</si>
  <si>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</si>
  <si>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</si>
  <si>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</si>
  <si>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</si>
  <si>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</si>
  <si>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</si>
  <si>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</si>
  <si>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</si>
  <si>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</si>
  <si>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</si>
  <si>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</si>
  <si>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</si>
  <si>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</si>
  <si>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</si>
  <si>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</si>
  <si>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</si>
  <si>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</si>
  <si>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</si>
  <si>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</si>
  <si>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</si>
  <si>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</si>
  <si>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</si>
  <si>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</si>
  <si>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</si>
  <si>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</si>
  <si>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</si>
  <si>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</si>
  <si>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</si>
  <si>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</si>
  <si>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</si>
  <si>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</si>
  <si>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</si>
  <si>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</si>
  <si>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</si>
  <si>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</si>
  <si>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</si>
  <si>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</si>
  <si>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</si>
  <si>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</si>
  <si>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</si>
  <si>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</si>
  <si>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</si>
  <si>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</si>
  <si>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</si>
  <si>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</si>
  <si>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</si>
  <si>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</si>
  <si>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</si>
  <si>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</si>
  <si>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</si>
  <si>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</si>
  <si>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</si>
  <si>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</si>
  <si>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</si>
  <si>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</si>
  <si>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</si>
  <si>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</si>
  <si>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</si>
  <si>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</si>
  <si>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</si>
  <si>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</si>
  <si>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</si>
  <si>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</si>
  <si>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</si>
  <si>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</si>
  <si>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</si>
  <si>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</si>
  <si>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</si>
  <si>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</si>
  <si>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</si>
  <si>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</si>
  <si>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</si>
  <si>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</si>
  <si>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</si>
  <si>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</si>
  <si>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</si>
  <si>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</si>
  <si>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</si>
  <si>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</si>
  <si>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</si>
  <si>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</si>
  <si>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</si>
  <si>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</si>
  <si>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</si>
  <si>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</si>
  <si>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</si>
  <si>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</si>
  <si>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</si>
  <si>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</si>
  <si>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</si>
  <si>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</si>
  <si>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</si>
  <si>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</si>
  <si>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</si>
  <si>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</si>
  <si>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</si>
  <si>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</si>
  <si>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</si>
  <si>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</si>
  <si>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</si>
  <si>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</si>
  <si>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</si>
  <si>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</si>
  <si>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</si>
  <si>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</si>
  <si>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</si>
  <si>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</si>
  <si>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</si>
  <si>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</si>
  <si>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</si>
  <si>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</si>
  <si>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</si>
  <si>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</si>
  <si>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</si>
  <si>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</si>
  <si>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</si>
  <si>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</si>
  <si>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</si>
  <si>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</si>
  <si>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</si>
  <si>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</si>
  <si>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</si>
  <si>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</si>
  <si>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</si>
  <si>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</si>
  <si>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</si>
  <si>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</si>
  <si>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</si>
  <si>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</si>
  <si>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</si>
  <si>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</si>
  <si>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</si>
  <si>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</si>
  <si>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</si>
  <si>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</si>
  <si>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</si>
  <si>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</si>
  <si>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</si>
  <si>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</si>
  <si>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</si>
  <si>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</si>
  <si>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</si>
  <si>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</si>
  <si>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</si>
  <si>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</si>
  <si>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</si>
  <si>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</si>
  <si>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</si>
  <si>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</si>
  <si>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</si>
  <si>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</si>
  <si>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</si>
  <si>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</si>
  <si>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</si>
  <si>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</si>
  <si>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</si>
  <si>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</si>
  <si>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</si>
  <si>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</si>
  <si>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</si>
  <si>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</si>
  <si>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</si>
  <si>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</si>
  <si>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</si>
  <si>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</si>
  <si>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</si>
  <si>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</si>
  <si>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</si>
  <si>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</si>
  <si>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</si>
  <si>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</si>
  <si>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</si>
  <si>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</si>
  <si>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</si>
  <si>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</si>
  <si>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</si>
  <si>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</si>
  <si>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</si>
  <si>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</si>
  <si>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</si>
  <si>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</si>
  <si>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</si>
  <si>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</si>
  <si>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</si>
  <si>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</si>
  <si>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</si>
  <si>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</si>
  <si>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</si>
  <si>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</si>
  <si>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</si>
  <si>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</si>
  <si>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</si>
  <si>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</si>
  <si>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</si>
  <si>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</si>
  <si>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</si>
  <si>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</si>
  <si>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</si>
  <si>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</si>
  <si>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</si>
  <si>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</si>
  <si>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</si>
  <si>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</si>
  <si>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</si>
  <si>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</si>
  <si>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</si>
  <si>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</si>
  <si>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</si>
  <si>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</si>
  <si>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</si>
  <si>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</si>
  <si>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</si>
  <si>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</si>
  <si>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</si>
  <si>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</si>
  <si>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</si>
  <si>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</si>
  <si>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</si>
  <si>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</si>
  <si>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</si>
  <si>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</si>
  <si>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</si>
  <si>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</si>
  <si>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</si>
  <si>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</si>
  <si>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</si>
  <si>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</si>
  <si>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</si>
  <si>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</si>
  <si>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</si>
  <si>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</si>
  <si>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</si>
  <si>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</si>
  <si>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</si>
  <si>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</si>
  <si>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</si>
  <si>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</si>
  <si>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</si>
  <si>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</si>
  <si>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</si>
  <si>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</si>
  <si>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</si>
  <si>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</si>
  <si>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</si>
  <si>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</si>
  <si>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</si>
  <si>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</si>
  <si>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</si>
  <si>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</si>
  <si>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</si>
  <si>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</si>
  <si>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</si>
  <si>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</si>
  <si>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</si>
  <si>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</si>
  <si>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</si>
  <si>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</si>
  <si>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</si>
  <si>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</si>
  <si>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</si>
  <si>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</si>
  <si>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</si>
  <si>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</si>
  <si>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</si>
  <si>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</si>
  <si>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</si>
  <si>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</si>
  <si>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</si>
  <si>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</si>
  <si>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</si>
  <si>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</si>
  <si>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</si>
  <si>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</si>
  <si>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</si>
  <si>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</si>
  <si>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</si>
  <si>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</si>
  <si>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</si>
  <si>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</si>
  <si>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</si>
  <si>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</si>
  <si>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</si>
  <si>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</si>
  <si>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</si>
  <si>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</si>
  <si>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</si>
  <si>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</si>
  <si>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</si>
  <si>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</si>
  <si>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</si>
  <si>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</si>
  <si>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</si>
  <si>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</si>
  <si>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</si>
  <si>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</si>
  <si>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</si>
  <si>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</si>
  <si>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</si>
  <si>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</si>
  <si>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</si>
  <si>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</si>
  <si>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</si>
  <si>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</si>
  <si>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</si>
  <si>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</si>
  <si>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</si>
  <si>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</si>
  <si>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</si>
  <si>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</si>
  <si>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</si>
  <si>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</si>
  <si>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</si>
  <si>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</si>
  <si>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</si>
  <si>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</si>
  <si>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</si>
  <si>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</si>
  <si>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</si>
  <si>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</si>
  <si>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</si>
  <si>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</si>
  <si>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</si>
  <si>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</si>
  <si>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</si>
  <si>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</si>
  <si>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</si>
  <si>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</si>
  <si>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</si>
  <si>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</si>
  <si>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</si>
  <si>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</si>
  <si>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</si>
  <si>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</si>
  <si>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</si>
  <si>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</si>
  <si>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</si>
  <si>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</si>
  <si>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</si>
  <si>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</si>
  <si>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</si>
  <si>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</si>
  <si>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</si>
  <si>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</si>
  <si>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</si>
  <si>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</si>
  <si>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</si>
  <si>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</si>
  <si>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</si>
  <si>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</si>
  <si>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</si>
  <si>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</si>
  <si>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</si>
  <si>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</si>
  <si>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</si>
  <si>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</si>
  <si>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</si>
  <si>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</si>
  <si>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</si>
  <si>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</si>
  <si>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</si>
  <si>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</si>
  <si>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</si>
  <si>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</si>
  <si>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</si>
  <si>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</si>
  <si>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</si>
  <si>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</si>
  <si>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</si>
  <si>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</si>
  <si>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</si>
  <si>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</si>
  <si>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</si>
  <si>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</si>
  <si>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</si>
  <si>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</si>
  <si>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</si>
  <si>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</si>
  <si>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</si>
  <si>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</si>
  <si>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</si>
  <si>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</si>
  <si>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</si>
  <si>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</si>
  <si>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</si>
  <si>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</si>
  <si>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</si>
  <si>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</si>
  <si>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</si>
  <si>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</si>
  <si>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</si>
  <si>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</si>
  <si>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</si>
  <si>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</si>
  <si>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</si>
  <si>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</si>
  <si>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</si>
  <si>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</si>
  <si>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</si>
  <si>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</si>
  <si>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</si>
  <si>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</si>
  <si>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</si>
  <si>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</si>
  <si>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</si>
  <si>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</si>
  <si>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</si>
  <si>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</si>
  <si>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</si>
  <si>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</si>
  <si>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</si>
  <si>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</si>
  <si>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</si>
  <si>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</si>
  <si>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</si>
  <si>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</si>
  <si>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</si>
  <si>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</si>
  <si>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</si>
  <si>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</si>
  <si>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</si>
  <si>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</si>
  <si>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</si>
  <si>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</si>
  <si>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</si>
  <si>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</si>
  <si>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</si>
  <si>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</si>
  <si>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</si>
  <si>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</si>
  <si>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</si>
  <si>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</si>
  <si>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</si>
  <si>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</si>
  <si>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</si>
  <si>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</si>
  <si>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</si>
  <si>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</si>
  <si>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</si>
  <si>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</si>
  <si>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</si>
  <si>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</si>
  <si>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</si>
  <si>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</si>
  <si>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</si>
  <si>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</si>
  <si>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</si>
  <si>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</si>
  <si>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</si>
  <si>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</si>
  <si>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</si>
  <si>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</si>
  <si>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</si>
  <si>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</si>
  <si>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</si>
  <si>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</si>
  <si>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</si>
  <si>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</si>
  <si>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</si>
  <si>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</si>
  <si>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</si>
  <si>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</si>
  <si>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</si>
  <si>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</si>
  <si>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</si>
  <si>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</si>
  <si>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</si>
  <si>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</si>
  <si>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</si>
  <si>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</si>
  <si>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</si>
  <si>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</si>
  <si>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</si>
  <si>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</si>
  <si>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</si>
  <si>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</si>
  <si>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</si>
  <si>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</si>
  <si>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</si>
  <si>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</si>
  <si>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</si>
  <si>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</si>
  <si>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</si>
  <si>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</si>
  <si>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</si>
  <si>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</si>
  <si>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</si>
  <si>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</si>
  <si>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</si>
  <si>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</si>
  <si>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</si>
  <si>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</si>
  <si>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</si>
  <si>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</si>
  <si>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</si>
  <si>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</si>
  <si>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</si>
  <si>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</si>
  <si>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</si>
  <si>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</si>
  <si>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</si>
  <si>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</si>
  <si>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</si>
  <si>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</si>
  <si>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</si>
  <si>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</si>
  <si>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</si>
  <si>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</si>
  <si>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</si>
  <si>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</si>
  <si>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</si>
  <si>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</si>
  <si>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</si>
  <si>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</si>
  <si>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</si>
  <si>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</si>
  <si>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</si>
  <si>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</si>
  <si>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</si>
  <si>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</si>
  <si>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</si>
  <si>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</si>
  <si>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</si>
  <si>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</si>
  <si>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</si>
  <si>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</si>
  <si>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</si>
  <si>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</si>
  <si>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</si>
  <si>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</si>
  <si>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</si>
  <si>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</si>
  <si>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</si>
  <si>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</si>
  <si>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</si>
  <si>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</si>
  <si>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</si>
  <si>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</si>
  <si>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</si>
  <si>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</si>
  <si>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</si>
  <si>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</si>
  <si>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</si>
  <si>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</si>
  <si>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</si>
  <si>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</si>
  <si>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</si>
  <si>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</si>
  <si>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</si>
  <si>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</si>
  <si>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</si>
  <si>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</si>
  <si>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</si>
  <si>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</si>
  <si>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</si>
  <si>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</si>
  <si>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</si>
  <si>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</si>
  <si>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</si>
  <si>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</si>
  <si>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</si>
  <si>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</si>
  <si>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</si>
  <si>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</si>
  <si>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</si>
  <si>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</si>
  <si>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</si>
  <si>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</si>
  <si>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</si>
  <si>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</si>
  <si>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</si>
  <si>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</si>
  <si>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</si>
  <si>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</si>
  <si>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</si>
  <si>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</si>
  <si>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</si>
  <si>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</si>
  <si>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</si>
  <si>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</si>
  <si>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</si>
  <si>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</si>
  <si>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</si>
  <si>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</si>
  <si>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</si>
  <si>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</si>
  <si>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</si>
  <si>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</si>
  <si>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</si>
  <si>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</si>
  <si>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</si>
  <si>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</si>
  <si>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</si>
  <si>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</si>
  <si>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</si>
  <si>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</si>
  <si>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</si>
  <si>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</si>
  <si>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</si>
  <si>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</si>
  <si>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</si>
  <si>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</si>
  <si>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</si>
  <si>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</si>
  <si>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</si>
  <si>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</si>
  <si>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</si>
  <si>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</si>
  <si>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</si>
  <si>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</si>
  <si>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</si>
  <si>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</si>
  <si>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</si>
  <si>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</si>
  <si>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</si>
  <si>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</si>
  <si>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</si>
  <si>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</si>
  <si>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</si>
  <si>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</si>
  <si>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</si>
  <si>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</si>
  <si>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</si>
  <si>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</si>
  <si>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</si>
  <si>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</si>
  <si>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</si>
  <si>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</si>
  <si>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</si>
  <si>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</si>
  <si>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</si>
  <si>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</si>
  <si>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</si>
  <si>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</si>
  <si>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</si>
  <si>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</si>
  <si>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</si>
  <si>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</si>
  <si>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</si>
  <si>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</si>
  <si>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</si>
  <si>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</si>
  <si>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</si>
  <si>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</si>
  <si>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</si>
  <si>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</si>
  <si>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</si>
  <si>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</si>
  <si>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</si>
  <si>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</si>
  <si>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</si>
  <si>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</si>
  <si>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</si>
  <si>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</si>
  <si>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</si>
  <si>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</si>
  <si>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</si>
  <si>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</si>
  <si>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</si>
  <si>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</si>
  <si>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</si>
  <si>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</si>
  <si>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</si>
  <si>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</si>
  <si>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</si>
  <si>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</si>
  <si>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</si>
  <si>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</si>
  <si>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</si>
  <si>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</si>
  <si>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</si>
  <si>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</si>
  <si>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</si>
  <si>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</si>
  <si>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</si>
  <si>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</si>
  <si>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</si>
  <si>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</si>
  <si>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</si>
  <si>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</si>
  <si>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</si>
  <si>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</si>
  <si>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</si>
  <si>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</si>
  <si>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</si>
  <si>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</si>
  <si>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</si>
  <si>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</si>
  <si>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</si>
  <si>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</si>
  <si>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</si>
  <si>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</si>
  <si>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</si>
  <si>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</si>
  <si>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</si>
  <si>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</si>
  <si>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</si>
  <si>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</si>
  <si>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</si>
  <si>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</si>
  <si>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</si>
  <si>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</si>
  <si>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</si>
  <si>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</si>
  <si>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</si>
  <si>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</si>
  <si>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</si>
  <si>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</si>
  <si>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</si>
  <si>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</si>
  <si>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</si>
  <si>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</si>
  <si>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</si>
  <si>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</si>
  <si>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</si>
  <si>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</si>
  <si>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</si>
  <si>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</si>
  <si>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</si>
  <si>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</si>
  <si>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</si>
  <si>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</si>
  <si>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</si>
  <si>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</si>
  <si>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</si>
  <si>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</si>
  <si>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</si>
  <si>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</si>
  <si>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</si>
  <si>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</si>
  <si>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</si>
  <si>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</si>
  <si>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</si>
  <si>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</si>
  <si>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</si>
  <si>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</si>
  <si>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</si>
  <si>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</si>
  <si>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</si>
  <si>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</si>
  <si>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</si>
  <si>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</si>
  <si>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</si>
  <si>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</si>
  <si>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</si>
  <si>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</si>
  <si>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</si>
  <si>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</si>
  <si>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</si>
  <si>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</si>
  <si>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</si>
  <si>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</si>
  <si>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</si>
  <si>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</si>
  <si>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</si>
  <si>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</si>
  <si>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</si>
  <si>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</si>
  <si>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</si>
  <si>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</si>
  <si>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</si>
  <si>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</si>
  <si>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</si>
  <si>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</si>
  <si>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</si>
  <si>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</si>
  <si>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</si>
  <si>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</si>
  <si>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</si>
  <si>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</si>
  <si>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</si>
  <si>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</si>
  <si>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</si>
  <si>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</si>
  <si>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</si>
  <si>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</si>
  <si>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</si>
  <si>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</si>
  <si>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</si>
  <si>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</si>
  <si>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</si>
  <si>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</si>
  <si>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</si>
  <si>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</si>
  <si>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</si>
  <si>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</si>
  <si>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</si>
  <si>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</si>
  <si>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</si>
  <si>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</si>
  <si>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</si>
  <si>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</si>
  <si>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</si>
  <si>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</si>
  <si>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</si>
  <si>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</si>
  <si>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</si>
  <si>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</si>
  <si>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</si>
  <si>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</si>
  <si>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</si>
  <si>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</si>
  <si>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</si>
  <si>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</si>
  <si>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</si>
  <si>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</si>
  <si>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</si>
  <si>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</si>
  <si>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</si>
  <si>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</si>
  <si>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</si>
  <si>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</si>
  <si>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</si>
  <si>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</si>
  <si>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</si>
  <si>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</si>
  <si>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</si>
  <si>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</si>
  <si>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</si>
  <si>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</si>
  <si>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</si>
  <si>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</si>
  <si>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</si>
  <si>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</si>
  <si>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</si>
  <si>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</si>
  <si>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</si>
  <si>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</si>
  <si>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</si>
  <si>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</si>
  <si>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</si>
  <si>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</si>
  <si>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</si>
  <si>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</si>
  <si>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</si>
  <si>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</si>
  <si>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</si>
  <si>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</si>
  <si>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</si>
  <si>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</si>
  <si>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</si>
  <si>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</si>
  <si>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</si>
  <si>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</si>
  <si>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</si>
  <si>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</si>
  <si>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</si>
  <si>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</si>
  <si>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</si>
  <si>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</si>
  <si>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</si>
  <si>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</si>
  <si>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</si>
  <si>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</si>
  <si>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</si>
  <si>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</si>
  <si>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</si>
  <si>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</si>
  <si>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</si>
  <si>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</si>
  <si>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</si>
  <si>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</si>
  <si>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</si>
  <si>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</si>
  <si>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</si>
  <si>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</si>
  <si>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</si>
  <si>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</si>
  <si>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</si>
  <si>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</si>
  <si>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</si>
  <si>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</si>
  <si>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</si>
  <si>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</si>
  <si>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</si>
  <si>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</si>
  <si>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</si>
  <si>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</si>
  <si>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</si>
  <si>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</si>
  <si>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</si>
  <si>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</si>
  <si>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</si>
  <si>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</si>
  <si>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</si>
  <si>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</si>
  <si>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</si>
  <si>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</si>
  <si>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</si>
  <si>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</si>
  <si>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</si>
  <si>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</si>
  <si>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</si>
  <si>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</si>
  <si>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</si>
  <si>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</si>
  <si>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</si>
  <si>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</si>
  <si>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</si>
  <si>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</si>
  <si>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</si>
  <si>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</si>
  <si>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</si>
  <si>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</si>
  <si>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</si>
  <si>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</si>
  <si>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</si>
  <si>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</si>
  <si>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</si>
  <si>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</si>
  <si>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</si>
  <si>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</si>
  <si>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</si>
  <si>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</si>
  <si>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</si>
  <si>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</si>
  <si>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</si>
  <si>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</si>
  <si>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</si>
  <si>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</si>
  <si>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</si>
  <si>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</si>
  <si>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</si>
  <si>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</si>
  <si>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</si>
  <si>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</si>
  <si>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</si>
  <si>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</si>
  <si>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</si>
  <si>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</si>
  <si>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</si>
  <si>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</si>
  <si>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</si>
  <si>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</si>
  <si>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</si>
  <si>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</si>
  <si>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</si>
  <si>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</si>
  <si>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</si>
  <si>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</si>
  <si>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</si>
  <si>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</si>
  <si>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</si>
  <si>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</si>
  <si>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</si>
  <si>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</si>
  <si>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</si>
  <si>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</si>
  <si>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</si>
  <si>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</si>
  <si>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</si>
  <si>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</si>
  <si>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</si>
  <si>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</si>
  <si>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</si>
  <si>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</si>
  <si>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</si>
  <si>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</si>
  <si>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</si>
  <si>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</si>
  <si>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</si>
  <si>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</si>
  <si>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</si>
  <si>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</si>
  <si>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</si>
  <si>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</si>
  <si>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</si>
  <si>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</si>
  <si>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</si>
  <si>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</si>
  <si>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</si>
  <si>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</si>
  <si>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</si>
  <si>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</si>
  <si>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</si>
  <si>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</si>
  <si>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</si>
  <si>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</si>
  <si>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</si>
  <si>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</si>
  <si>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</si>
  <si>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</si>
  <si>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</si>
  <si>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</si>
  <si>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</si>
  <si>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</si>
  <si>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</si>
  <si>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</si>
  <si>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</si>
  <si>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</si>
  <si>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</si>
  <si>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</si>
  <si>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</si>
  <si>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</si>
  <si>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</si>
  <si>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</si>
  <si>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</si>
  <si>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</si>
  <si>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</si>
  <si>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</si>
  <si>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</si>
  <si>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</si>
  <si>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</si>
  <si>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</si>
  <si>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</si>
  <si>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</si>
  <si>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</si>
  <si>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</si>
  <si>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</si>
  <si>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</si>
  <si>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</si>
  <si>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</si>
  <si>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</si>
  <si>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</si>
  <si>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</si>
  <si>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</si>
  <si>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</si>
  <si>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</si>
  <si>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</si>
  <si>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</si>
  <si>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</si>
  <si>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</si>
  <si>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</si>
  <si>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</si>
  <si>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</si>
  <si>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</si>
  <si>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</si>
  <si>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</si>
  <si>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</si>
  <si>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</si>
  <si>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</si>
  <si>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</si>
  <si>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</si>
  <si>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</si>
  <si>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</si>
  <si>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</si>
  <si>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</si>
  <si>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</si>
  <si>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</si>
  <si>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</si>
  <si>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</si>
  <si>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</si>
  <si>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</si>
  <si>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</si>
  <si>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</si>
  <si>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</si>
  <si>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</si>
  <si>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</si>
  <si>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</si>
  <si>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</si>
  <si>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</si>
  <si>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</si>
  <si>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</si>
  <si>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</si>
  <si>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</si>
  <si>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</si>
  <si>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</si>
  <si>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</si>
  <si>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</si>
  <si>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</si>
  <si>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</si>
  <si>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</si>
  <si>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</si>
  <si>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</si>
  <si>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</si>
  <si>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</si>
  <si>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</si>
  <si>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</si>
  <si>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</si>
  <si>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</si>
  <si>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</si>
  <si>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</si>
  <si>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</si>
  <si>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</si>
  <si>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</si>
  <si>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</si>
  <si>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</si>
  <si>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</si>
  <si>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</si>
  <si>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</si>
  <si>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</si>
  <si>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</si>
  <si>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</si>
  <si>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</si>
  <si>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</si>
  <si>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</si>
  <si>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</si>
  <si>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</si>
  <si>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</si>
  <si>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</si>
  <si>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</si>
  <si>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</si>
  <si>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</si>
  <si>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</si>
  <si>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</si>
  <si>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</si>
  <si>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</si>
  <si>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</si>
  <si>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</si>
  <si>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</si>
  <si>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</si>
  <si>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</si>
  <si>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</si>
  <si>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</si>
  <si>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</si>
  <si>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</si>
  <si>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</si>
  <si>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</si>
  <si>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</si>
  <si>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</si>
  <si>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</si>
  <si>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</si>
  <si>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</si>
  <si>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</si>
  <si>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</si>
  <si>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</si>
  <si>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</si>
  <si>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</si>
  <si>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</si>
  <si>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</si>
  <si>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</si>
  <si>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</si>
  <si>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</si>
  <si>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</si>
  <si>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</si>
  <si>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</si>
  <si>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</si>
  <si>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</si>
  <si>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</si>
  <si>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</si>
  <si>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</si>
  <si>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</si>
  <si>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</si>
  <si>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</si>
  <si>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</si>
  <si>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</si>
  <si>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</si>
  <si>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</si>
  <si>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</si>
  <si>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</si>
  <si>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</si>
  <si>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</si>
  <si>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</si>
  <si>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</si>
  <si>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</si>
  <si>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</si>
  <si>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</si>
  <si>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</si>
  <si>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</si>
  <si>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</si>
  <si>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</si>
  <si>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</si>
  <si>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</si>
  <si>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</si>
  <si>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</si>
  <si>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</si>
  <si>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</si>
  <si>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</si>
  <si>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</si>
  <si>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</si>
  <si>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</si>
  <si>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</si>
  <si>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</si>
  <si>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</si>
  <si>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</si>
  <si>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</si>
  <si>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</si>
  <si>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</si>
  <si>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</si>
  <si>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</si>
  <si>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</si>
  <si>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</si>
  <si>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</si>
  <si>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</si>
  <si>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</si>
  <si>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</si>
  <si>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</si>
  <si>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</si>
  <si>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</si>
  <si>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</si>
  <si>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</si>
  <si>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</si>
  <si>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</si>
  <si>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</si>
  <si>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</si>
  <si>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</si>
  <si>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</si>
  <si>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</si>
  <si>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</si>
  <si>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</si>
  <si>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</si>
  <si>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</si>
  <si>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</si>
  <si>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</si>
  <si>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</si>
  <si>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</si>
  <si>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</si>
  <si>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</si>
  <si>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</si>
  <si>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</si>
  <si>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</si>
  <si>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</si>
  <si>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</si>
  <si>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</si>
  <si>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</si>
  <si>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</si>
  <si>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</si>
  <si>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</si>
  <si>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</si>
  <si>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</si>
  <si>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</si>
  <si>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</si>
  <si>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</si>
  <si>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</si>
  <si>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</si>
  <si>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</si>
  <si>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</si>
  <si>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</si>
  <si>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</si>
  <si>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</si>
  <si>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</si>
  <si>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</si>
  <si>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</si>
  <si>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</si>
  <si>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</si>
  <si>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</si>
  <si>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</si>
  <si>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</si>
  <si>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</si>
  <si>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</si>
  <si>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</si>
  <si>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</si>
  <si>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</si>
  <si>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</si>
  <si>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</si>
  <si>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</si>
  <si>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</si>
  <si>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</si>
  <si>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</si>
  <si>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</si>
  <si>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</si>
  <si>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</si>
  <si>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</si>
  <si>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</si>
  <si>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</si>
  <si>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</si>
  <si>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</si>
  <si>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</si>
  <si>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</si>
  <si>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</si>
  <si>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</si>
  <si>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</si>
  <si>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</si>
  <si>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</si>
  <si>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</si>
  <si>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</si>
  <si>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</si>
  <si>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</si>
  <si>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</si>
  <si>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</si>
  <si>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</si>
  <si>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</si>
  <si>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</si>
  <si>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</si>
  <si>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</si>
  <si>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</si>
  <si>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</si>
  <si>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</si>
  <si>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</si>
  <si>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</si>
  <si>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</si>
  <si>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</si>
  <si>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</si>
  <si>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</si>
  <si>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</si>
  <si>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</si>
  <si>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</si>
  <si>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</si>
  <si>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</si>
  <si>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</si>
  <si>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</si>
  <si>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</si>
  <si>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</si>
  <si>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</si>
  <si>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</si>
  <si>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</si>
  <si>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</si>
  <si>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</si>
  <si>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</si>
  <si>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</si>
  <si>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</si>
  <si>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</si>
  <si>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</si>
  <si>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</si>
  <si>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</si>
  <si>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</si>
  <si>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</si>
  <si>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</si>
  <si>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</si>
  <si>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</si>
  <si>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</si>
  <si>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</si>
  <si>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</si>
  <si>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</si>
  <si>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</si>
  <si>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</si>
  <si>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</si>
  <si>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</si>
  <si>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</si>
  <si>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</si>
  <si>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</si>
  <si>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</si>
  <si>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</si>
  <si>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</si>
  <si>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</si>
  <si>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</si>
  <si>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</si>
  <si>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</si>
  <si>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</si>
  <si>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</si>
  <si>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</si>
  <si>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</si>
  <si>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</si>
  <si>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</si>
  <si>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</si>
  <si>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</si>
  <si>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</si>
  <si>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</si>
  <si>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</si>
  <si>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</si>
  <si>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</si>
  <si>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</si>
  <si>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</si>
  <si>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</si>
  <si>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</si>
  <si>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</si>
  <si>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</si>
  <si>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</si>
  <si>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</si>
  <si>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</si>
  <si>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</si>
  <si>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</si>
  <si>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</si>
  <si>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</si>
  <si>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</si>
  <si>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</si>
  <si>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</si>
  <si>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</si>
  <si>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</si>
  <si>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</si>
  <si>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</si>
  <si>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</si>
  <si>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</si>
  <si>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</si>
  <si>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</si>
  <si>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</si>
  <si>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</si>
  <si>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</si>
  <si>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</si>
  <si>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</si>
  <si>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</si>
  <si>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</si>
  <si>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</si>
  <si>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</si>
  <si>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</si>
  <si>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</si>
  <si>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</si>
  <si>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</si>
  <si>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</si>
  <si>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</si>
  <si>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</si>
  <si>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</si>
  <si>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</si>
  <si>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</si>
  <si>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</si>
  <si>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</si>
  <si>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</si>
  <si>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</si>
  <si>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</si>
  <si>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</si>
  <si>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</si>
  <si>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</si>
  <si>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</si>
  <si>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</si>
  <si>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</si>
  <si>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</si>
  <si>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</si>
  <si>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</si>
  <si>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</si>
  <si>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</si>
  <si>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</si>
  <si>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</si>
  <si>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</si>
  <si>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</si>
  <si>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</si>
  <si>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</si>
  <si>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</si>
  <si>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</si>
  <si>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</si>
  <si>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</si>
  <si>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</si>
  <si>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</si>
  <si>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</si>
  <si>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</si>
  <si>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</si>
  <si>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</si>
  <si>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</si>
  <si>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</si>
  <si>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</si>
  <si>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</si>
  <si>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</si>
  <si>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</si>
  <si>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</si>
  <si>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</si>
  <si>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</si>
  <si>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</si>
  <si>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</si>
  <si>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</si>
  <si>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</si>
  <si>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</si>
  <si>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</si>
  <si>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</si>
  <si>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</si>
  <si>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</si>
  <si>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</si>
  <si>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</si>
  <si>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</si>
  <si>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</si>
  <si>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</si>
  <si>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</si>
  <si>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</si>
  <si>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</si>
  <si>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</si>
  <si>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</si>
  <si>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</si>
  <si>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</si>
  <si>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</si>
  <si>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</si>
  <si>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</si>
  <si>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</si>
  <si>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</si>
  <si>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</si>
  <si>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</si>
  <si>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</si>
  <si>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</si>
  <si>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</si>
  <si>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</si>
  <si>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</si>
  <si>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</si>
  <si>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</si>
  <si>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</si>
  <si>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</si>
  <si>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</si>
  <si>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</si>
  <si>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</si>
  <si>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</si>
  <si>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</si>
  <si>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</si>
  <si>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</si>
  <si>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</si>
  <si>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</si>
  <si>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</si>
  <si>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</si>
  <si>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</si>
  <si>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</si>
  <si>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</si>
  <si>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</si>
  <si>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</si>
  <si>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</si>
  <si>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</si>
  <si>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</si>
  <si>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</si>
  <si>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</si>
  <si>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</si>
  <si>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</si>
  <si>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</si>
  <si>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</si>
  <si>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</si>
  <si>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</si>
  <si>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</si>
  <si>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</si>
  <si>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</si>
  <si>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</si>
  <si>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</si>
  <si>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</si>
  <si>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</si>
  <si>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</si>
  <si>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</si>
  <si>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</si>
  <si>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</si>
  <si>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</si>
  <si>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</si>
  <si>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</si>
  <si>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</si>
  <si>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</si>
  <si>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</si>
  <si>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</si>
  <si>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</si>
  <si>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</si>
  <si>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</si>
  <si>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</si>
  <si>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</si>
  <si>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</si>
  <si>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</si>
  <si>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</si>
  <si>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</si>
  <si>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</si>
  <si>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</si>
  <si>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</si>
  <si>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</si>
  <si>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</si>
  <si>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</si>
  <si>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</si>
  <si>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</si>
  <si>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</si>
  <si>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</si>
  <si>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</si>
  <si>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</si>
  <si>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</si>
  <si>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</si>
  <si>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</si>
  <si>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</si>
  <si>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</si>
  <si>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</si>
  <si>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</si>
  <si>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</si>
  <si>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</si>
  <si>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</si>
  <si>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</si>
  <si>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</si>
  <si>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</si>
  <si>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</si>
  <si>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</si>
  <si>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</si>
  <si>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</si>
  <si>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</si>
  <si>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</si>
  <si>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</si>
  <si>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</si>
  <si>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</si>
  <si>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</si>
  <si>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</si>
  <si>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</si>
  <si>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</si>
  <si>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</si>
  <si>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</si>
  <si>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</si>
  <si>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</si>
  <si>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</si>
  <si>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</si>
  <si>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</si>
  <si>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</si>
  <si>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</si>
  <si>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</si>
  <si>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</si>
  <si>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</si>
  <si>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</si>
  <si>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</si>
  <si>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</si>
  <si>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</si>
  <si>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</si>
  <si>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</si>
  <si>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</si>
  <si>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</si>
  <si>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</si>
  <si>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</si>
  <si>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</si>
  <si>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</si>
  <si>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</si>
  <si>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</si>
  <si>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</si>
  <si>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</si>
  <si>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</si>
  <si>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</si>
  <si>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</si>
  <si>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</si>
  <si>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</si>
  <si>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</si>
  <si>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</si>
  <si>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</si>
  <si>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</si>
  <si>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</si>
  <si>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</si>
  <si>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</si>
  <si>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</si>
  <si>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</si>
  <si>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</si>
  <si>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</si>
  <si>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</si>
  <si>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</si>
  <si>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</si>
  <si>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</si>
  <si>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</si>
  <si>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</si>
  <si>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</si>
  <si>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</si>
  <si>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</si>
  <si>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</si>
  <si>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</si>
  <si>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</si>
  <si>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</si>
  <si>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</si>
  <si>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</si>
  <si>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</si>
  <si>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</si>
  <si>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</si>
  <si>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</si>
  <si>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</si>
  <si>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</si>
  <si>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</si>
  <si>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</si>
  <si>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</si>
  <si>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</si>
  <si>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</si>
  <si>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</si>
  <si>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</si>
  <si>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</si>
  <si>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</si>
  <si>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</si>
  <si>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</si>
  <si>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</si>
  <si>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</si>
  <si>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</si>
  <si>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</si>
  <si>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</si>
  <si>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</si>
  <si>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</si>
  <si>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</si>
  <si>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</si>
  <si>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</si>
  <si>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</si>
  <si>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</si>
  <si>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</si>
  <si>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</si>
  <si>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</si>
  <si>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</si>
  <si>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</si>
  <si>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</si>
  <si>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</si>
  <si>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</si>
  <si>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</si>
  <si>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</si>
  <si>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</si>
  <si>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</si>
  <si>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</si>
  <si>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</si>
  <si>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</si>
  <si>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</si>
  <si>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</si>
  <si>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</si>
  <si>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</si>
  <si>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</si>
  <si>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</si>
  <si>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</si>
  <si>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</si>
  <si>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</si>
  <si>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</si>
  <si>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</si>
  <si>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</si>
  <si>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</si>
  <si>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</si>
  <si>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</si>
  <si>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</si>
  <si>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</si>
  <si>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</si>
  <si>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</si>
  <si>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</si>
  <si>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</si>
  <si>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</si>
  <si>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</si>
  <si>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</si>
  <si>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</si>
  <si>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</si>
  <si>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</si>
  <si>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</si>
  <si>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</si>
  <si>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</si>
  <si>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</si>
  <si>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</si>
  <si>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</si>
  <si>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</si>
  <si>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</si>
  <si>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</si>
  <si>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</si>
  <si>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</si>
  <si>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</si>
  <si>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</si>
  <si>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</si>
  <si>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</si>
  <si>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</si>
  <si>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</si>
  <si>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</si>
  <si>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</si>
  <si>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</si>
  <si>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</si>
  <si>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</si>
  <si>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</si>
  <si>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</si>
  <si>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</si>
  <si>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</si>
  <si>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</si>
  <si>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</si>
  <si>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</si>
  <si>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</si>
  <si>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</si>
  <si>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</si>
  <si>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</si>
  <si>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</si>
  <si>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</si>
  <si>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</si>
  <si>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</si>
  <si>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</si>
  <si>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</si>
  <si>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</si>
  <si>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</si>
  <si>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</si>
  <si>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</si>
  <si>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</si>
  <si>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</si>
  <si>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</si>
  <si>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</si>
  <si>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</si>
  <si>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</si>
  <si>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</si>
  <si>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</si>
  <si>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</si>
  <si>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</si>
  <si>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</si>
  <si>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</si>
  <si>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</si>
  <si>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</si>
  <si>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</si>
  <si>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</si>
  <si>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</si>
  <si>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</si>
  <si>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</si>
  <si>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</si>
  <si>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</si>
  <si>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</si>
  <si>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</si>
  <si>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</si>
  <si>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</si>
  <si>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</si>
  <si>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</si>
  <si>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</si>
  <si>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</si>
  <si>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</si>
  <si>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</si>
  <si>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</si>
  <si>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</si>
  <si>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</si>
  <si>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</si>
  <si>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</si>
  <si>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</si>
  <si>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</si>
  <si>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</si>
  <si>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</si>
  <si>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</si>
  <si>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</si>
  <si>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</si>
  <si>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</si>
  <si>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</si>
  <si>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</si>
  <si>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</si>
  <si>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</si>
  <si>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</si>
  <si>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</si>
  <si>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</si>
  <si>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</si>
  <si>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</si>
  <si>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</si>
  <si>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</si>
  <si>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</si>
  <si>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</si>
  <si>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</si>
  <si>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</si>
  <si>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</si>
  <si>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</si>
  <si>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</si>
  <si>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</si>
  <si>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</si>
  <si>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</si>
  <si>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</si>
  <si>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</si>
  <si>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</si>
  <si>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</si>
  <si>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</si>
  <si>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</si>
  <si>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</si>
  <si>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</si>
  <si>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</si>
  <si>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</si>
  <si>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</si>
  <si>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</si>
  <si>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</si>
  <si>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</si>
  <si>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</si>
  <si>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</si>
  <si>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</si>
  <si>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</si>
  <si>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</si>
  <si>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</si>
  <si>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</si>
  <si>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</si>
  <si>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</si>
  <si>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</si>
  <si>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</si>
  <si>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</si>
  <si>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</si>
  <si>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</si>
  <si>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</si>
  <si>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</si>
  <si>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</si>
  <si>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</si>
  <si>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</si>
  <si>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</si>
  <si>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</si>
  <si>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</si>
  <si>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</si>
  <si>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</si>
  <si>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</si>
  <si>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</si>
  <si>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</si>
  <si>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</si>
  <si>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</si>
  <si>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</si>
  <si>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</si>
  <si>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</si>
  <si>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</si>
  <si>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</si>
  <si>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</si>
  <si>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</si>
  <si>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</si>
  <si>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</si>
  <si>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</si>
  <si>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</si>
  <si>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</si>
  <si>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</si>
  <si>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</si>
  <si>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</si>
  <si>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</si>
  <si>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</si>
  <si>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</si>
  <si>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</si>
  <si>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</si>
  <si>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</si>
  <si>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</si>
  <si>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</si>
  <si>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</si>
  <si>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</si>
  <si>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</si>
  <si>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</si>
  <si>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</si>
  <si>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</si>
  <si>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</si>
  <si>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</si>
  <si>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</si>
  <si>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</si>
  <si>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</si>
  <si>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</si>
  <si>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</si>
  <si>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</si>
  <si>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</si>
  <si>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</si>
  <si>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</si>
  <si>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</si>
  <si>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</si>
  <si>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</si>
  <si>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</si>
  <si>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</si>
  <si>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</si>
  <si>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</si>
  <si>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</si>
  <si>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</si>
  <si>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</si>
  <si>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</si>
  <si>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</si>
  <si>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</si>
  <si>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</si>
  <si>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</si>
  <si>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</si>
  <si>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</si>
  <si>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</si>
  <si>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</si>
  <si>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</si>
  <si>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</si>
  <si>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</si>
  <si>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</si>
  <si>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</si>
  <si>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</si>
  <si>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</si>
  <si>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</si>
  <si>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</si>
  <si>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</si>
  <si>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</si>
  <si>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</si>
  <si>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</si>
  <si>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</si>
  <si>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</si>
  <si>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</si>
  <si>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</si>
  <si>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</si>
  <si>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</si>
  <si>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</si>
  <si>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</si>
  <si>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</si>
  <si>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</si>
  <si>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</si>
  <si>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</si>
  <si>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</si>
  <si>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</si>
  <si>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</si>
  <si>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</si>
  <si>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</si>
  <si>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</si>
  <si>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</si>
  <si>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</si>
  <si>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</si>
  <si>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</si>
  <si>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</si>
  <si>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</si>
  <si>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</si>
  <si>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</si>
  <si>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</si>
  <si>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</si>
  <si>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</si>
  <si>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</si>
  <si>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</si>
  <si>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</si>
  <si>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</si>
  <si>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</si>
  <si>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</si>
  <si>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</si>
  <si>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</si>
  <si>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</si>
  <si>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</si>
  <si>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</si>
  <si>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</si>
  <si>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</si>
  <si>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</si>
  <si>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</si>
  <si>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</si>
  <si>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</si>
  <si>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</si>
  <si>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</si>
  <si>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</si>
  <si>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</si>
  <si>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</si>
  <si>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</si>
  <si>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</si>
  <si>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</si>
  <si>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</si>
  <si>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</si>
  <si>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</si>
  <si>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</si>
  <si>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</si>
  <si>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</si>
  <si>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</si>
  <si>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</si>
  <si>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</si>
  <si>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</si>
  <si>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</si>
  <si>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</si>
  <si>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</si>
  <si>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</si>
  <si>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</si>
  <si>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</si>
  <si>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</si>
  <si>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</si>
  <si>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</si>
  <si>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</si>
  <si>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</si>
  <si>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</si>
  <si>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</si>
  <si>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</si>
  <si>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</si>
  <si>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</si>
  <si>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</si>
  <si>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</si>
  <si>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</si>
  <si>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</si>
  <si>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</si>
  <si>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</si>
  <si>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</si>
  <si>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</si>
  <si>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</si>
  <si>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</si>
  <si>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</si>
  <si>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</si>
  <si>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</si>
  <si>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</si>
  <si>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</si>
  <si>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</si>
  <si>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</si>
  <si>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</si>
  <si>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</si>
  <si>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</si>
  <si>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</si>
  <si>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</si>
  <si>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</si>
  <si>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</si>
  <si>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</si>
  <si>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</si>
  <si>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</si>
  <si>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</si>
  <si>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</si>
  <si>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</si>
  <si>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</si>
  <si>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</si>
  <si>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</si>
  <si>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</si>
  <si>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</si>
  <si>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</si>
  <si>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</si>
  <si>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</si>
  <si>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</si>
  <si>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</si>
  <si>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</si>
  <si>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</si>
  <si>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</si>
  <si>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</si>
  <si>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</si>
  <si>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</si>
  <si>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</si>
  <si>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</si>
  <si>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</si>
  <si>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</si>
  <si>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</si>
  <si>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</si>
  <si>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</si>
  <si>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</si>
  <si>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</si>
  <si>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</si>
  <si>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</si>
  <si>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</si>
  <si>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</si>
  <si>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</si>
  <si>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</si>
  <si>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</si>
  <si>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</si>
  <si>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</si>
  <si>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</si>
  <si>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</si>
  <si>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</si>
  <si>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</si>
  <si>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</si>
  <si>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</si>
  <si>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</si>
  <si>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</si>
  <si>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</si>
  <si>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</si>
  <si>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</si>
  <si>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</si>
  <si>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</si>
  <si>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</si>
  <si>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</si>
  <si>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</si>
  <si>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</si>
  <si>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</si>
  <si>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</si>
  <si>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</si>
  <si>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</si>
  <si>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</si>
  <si>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</si>
  <si>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</si>
  <si>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</si>
  <si>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</si>
  <si>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</si>
  <si>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</si>
  <si>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</si>
  <si>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</si>
  <si>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</si>
  <si>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</si>
  <si>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</si>
  <si>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</si>
  <si>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</si>
  <si>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</si>
  <si>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</si>
  <si>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</si>
  <si>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</si>
  <si>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</si>
  <si>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</si>
  <si>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</si>
  <si>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</si>
  <si>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</si>
  <si>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</si>
  <si>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</si>
  <si>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</si>
  <si>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</si>
  <si>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</si>
  <si>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</si>
  <si>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</si>
  <si>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</si>
  <si>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</si>
  <si>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</si>
  <si>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</si>
  <si>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</si>
  <si>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</si>
  <si>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</si>
  <si>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</si>
  <si>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</si>
  <si>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</si>
  <si>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</si>
  <si>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</si>
  <si>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</si>
  <si>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</si>
  <si>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</si>
  <si>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</si>
  <si>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</si>
  <si>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</si>
  <si>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</si>
  <si>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</si>
  <si>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</si>
  <si>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</si>
  <si>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</si>
  <si>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</si>
  <si>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</si>
  <si>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</si>
  <si>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</si>
  <si>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</si>
  <si>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</si>
  <si>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</si>
  <si>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</si>
  <si>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</si>
  <si>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</si>
  <si>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</si>
  <si>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</si>
  <si>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</si>
  <si>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</si>
  <si>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</si>
  <si>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</si>
  <si>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</si>
  <si>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</si>
  <si>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</si>
  <si>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</si>
  <si>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</si>
  <si>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</si>
  <si>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</si>
  <si>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</si>
  <si>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</si>
  <si>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</si>
  <si>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</si>
  <si>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</si>
  <si>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</si>
  <si>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</si>
  <si>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</si>
  <si>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</si>
  <si>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</si>
  <si>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</si>
  <si>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</si>
  <si>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</si>
  <si>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</si>
  <si>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</si>
  <si>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</si>
  <si>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</si>
  <si>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</si>
  <si>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</si>
  <si>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</si>
  <si>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</si>
  <si>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</si>
  <si>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</si>
  <si>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</si>
  <si>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</si>
  <si>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</si>
  <si>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</si>
  <si>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</si>
  <si>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</si>
  <si>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</si>
  <si>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</si>
  <si>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</si>
  <si>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</si>
  <si>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</si>
  <si>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</si>
  <si>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</si>
  <si>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</si>
  <si>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</si>
  <si>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</si>
  <si>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</si>
  <si>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</si>
  <si>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</si>
  <si>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</si>
  <si>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</si>
  <si>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</si>
  <si>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</si>
  <si>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</si>
  <si>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</si>
  <si>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</si>
  <si>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</si>
  <si>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</si>
  <si>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</si>
  <si>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</si>
  <si>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</si>
  <si>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</si>
  <si>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</si>
  <si>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</si>
  <si>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</si>
  <si>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</si>
  <si>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</si>
  <si>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</si>
  <si>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</si>
  <si>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</si>
  <si>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</si>
  <si>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</si>
  <si>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</si>
  <si>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</si>
  <si>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</si>
  <si>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</si>
  <si>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</si>
  <si>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</si>
  <si>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</si>
  <si>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</si>
  <si>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</si>
  <si>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</si>
  <si>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</si>
  <si>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</si>
  <si>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</si>
  <si>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</si>
  <si>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</si>
  <si>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</si>
  <si>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</si>
  <si>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</si>
  <si>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</si>
  <si>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</si>
  <si>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</si>
  <si>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</si>
  <si>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</si>
  <si>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</si>
  <si>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</si>
  <si>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</si>
  <si>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</si>
  <si>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</si>
  <si>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</si>
  <si>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</si>
  <si>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</si>
  <si>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</si>
  <si>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</si>
  <si>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</si>
  <si>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</si>
  <si>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</si>
  <si>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</si>
  <si>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</si>
  <si>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</si>
  <si>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</si>
  <si>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</si>
  <si>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</si>
  <si>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</si>
  <si>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</si>
  <si>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</si>
  <si>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</si>
  <si>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</si>
  <si>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</si>
  <si>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</si>
  <si>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</si>
  <si>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</si>
  <si>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</si>
  <si>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</si>
  <si>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</si>
  <si>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</si>
  <si>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</si>
  <si>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</si>
  <si>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</si>
  <si>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</si>
  <si>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</si>
  <si>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</si>
  <si>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</si>
  <si>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</si>
  <si>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</si>
  <si>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</si>
  <si>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</si>
  <si>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</si>
  <si>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</si>
  <si>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</si>
  <si>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</si>
  <si>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</si>
  <si>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</si>
  <si>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</si>
  <si>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</si>
  <si>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</si>
  <si>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</si>
  <si>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</si>
  <si>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</si>
  <si>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</si>
  <si>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</si>
  <si>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</si>
  <si>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</si>
  <si>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</si>
  <si>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</si>
  <si>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</si>
  <si>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</si>
  <si>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</si>
  <si>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</si>
  <si>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</si>
  <si>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</si>
  <si>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</si>
  <si>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</si>
  <si>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</si>
  <si>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</si>
  <si>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</si>
  <si>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</si>
  <si>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</si>
  <si>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</si>
  <si>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</si>
  <si>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</si>
  <si>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</si>
  <si>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</si>
  <si>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</si>
  <si>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</si>
  <si>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</si>
  <si>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</si>
  <si>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</si>
  <si>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</si>
  <si>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</si>
  <si>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</si>
  <si>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</si>
  <si>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</si>
  <si>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</si>
  <si>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</si>
  <si>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</si>
  <si>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</si>
  <si>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</si>
  <si>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</si>
  <si>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</si>
  <si>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</si>
  <si>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</si>
  <si>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</si>
  <si>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</si>
  <si>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</si>
  <si>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</si>
  <si>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</si>
  <si>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</si>
  <si>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</si>
  <si>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</si>
  <si>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</si>
  <si>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</si>
  <si>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</si>
  <si>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</si>
  <si>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</si>
  <si>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</si>
  <si>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</si>
  <si>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</si>
  <si>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</si>
  <si>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</si>
  <si>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</si>
  <si>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</si>
  <si>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</si>
  <si>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</si>
  <si>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</si>
  <si>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</si>
  <si>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</si>
  <si>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</si>
  <si>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</si>
  <si>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</si>
  <si>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</si>
  <si>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</si>
  <si>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</si>
  <si>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</si>
  <si>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</si>
  <si>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</si>
  <si>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</si>
  <si>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</si>
  <si>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</si>
  <si>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</si>
  <si>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</si>
  <si>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</si>
  <si>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</si>
  <si>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</si>
  <si>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</si>
  <si>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</si>
  <si>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</si>
  <si>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</si>
  <si>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</si>
  <si>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</si>
  <si>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</si>
  <si>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</si>
  <si>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</si>
  <si>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</si>
  <si>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</si>
  <si>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</si>
  <si>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</si>
  <si>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</si>
  <si>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</si>
  <si>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</si>
  <si>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</si>
  <si>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</si>
  <si>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</si>
  <si>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</si>
  <si>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</si>
  <si>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</si>
  <si>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</si>
  <si>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</si>
  <si>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</si>
  <si>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</si>
  <si>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</si>
  <si>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</si>
  <si>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</si>
  <si>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</si>
  <si>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</si>
  <si>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</si>
  <si>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</si>
  <si>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</si>
  <si>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</si>
  <si>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</si>
  <si>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</si>
  <si>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</si>
  <si>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核定资产</t>
  </si>
  <si>
    <t>房地产市场价值</t>
  </si>
  <si>
    <t>北京市</t>
  </si>
  <si>
    <t>通电</t>
  </si>
  <si>
    <t>地下</t>
  </si>
  <si>
    <t>是</t>
  </si>
  <si>
    <t>地上</t>
  </si>
  <si>
    <t>车库</t>
  </si>
  <si>
    <t>有</t>
  </si>
  <si>
    <t>无</t>
  </si>
  <si>
    <t>500米范围内</t>
  </si>
  <si>
    <t>与级别开发程度一致</t>
  </si>
  <si>
    <t>容积率修正</t>
  </si>
  <si>
    <t>较好</t>
  </si>
  <si>
    <t>好</t>
  </si>
  <si>
    <t>出让</t>
  </si>
  <si>
    <t>商务金融用地（办公类）</t>
  </si>
  <si>
    <t>基准地价修正商业</t>
  </si>
  <si>
    <t>基准地价修正商业</t>
    <phoneticPr fontId="16" type="noConversion"/>
  </si>
  <si>
    <t>商务金融用地（商业类）</t>
  </si>
  <si>
    <t>不临58条商业街</t>
  </si>
  <si>
    <t>部分缴纳</t>
  </si>
  <si>
    <t>已包含在土地取得成本中</t>
  </si>
  <si>
    <t>在建</t>
  </si>
  <si>
    <t>成本法</t>
  </si>
  <si>
    <t>假设开发法</t>
  </si>
  <si>
    <t>自定义</t>
  </si>
  <si>
    <t>按房产原值计税</t>
  </si>
  <si>
    <t>钢混</t>
  </si>
  <si>
    <t>非生产用房</t>
  </si>
  <si>
    <t>收益法地下商业</t>
  </si>
  <si>
    <t>已部分缴纳</t>
  </si>
  <si>
    <t>地块</t>
  </si>
  <si>
    <t>B办公楼</t>
  </si>
  <si>
    <t>B办公楼</t>
    <phoneticPr fontId="3" type="noConversion"/>
  </si>
  <si>
    <t>A、C、D办公楼</t>
    <phoneticPr fontId="3" type="noConversion"/>
  </si>
  <si>
    <t>A、C、D办公楼</t>
  </si>
  <si>
    <t>收益法地下商业</t>
    <phoneticPr fontId="16" type="noConversion"/>
  </si>
  <si>
    <t>收益法B</t>
  </si>
  <si>
    <t>收益法B</t>
    <phoneticPr fontId="16" type="noConversion"/>
  </si>
  <si>
    <t>收益法ACD</t>
  </si>
  <si>
    <t>收益法ACD</t>
    <phoneticPr fontId="16" type="noConversion"/>
  </si>
  <si>
    <t>按公示增长率计算</t>
  </si>
  <si>
    <t>合并</t>
    <phoneticPr fontId="140" type="noConversion"/>
  </si>
  <si>
    <t>差额</t>
    <phoneticPr fontId="140" type="noConversion"/>
  </si>
  <si>
    <t>/</t>
    <phoneticPr fontId="140" type="noConversion"/>
  </si>
  <si>
    <t>总价（万元）</t>
    <phoneticPr fontId="140" type="noConversion"/>
  </si>
  <si>
    <t>合计（万元）</t>
    <phoneticPr fontId="140" type="noConversion"/>
  </si>
  <si>
    <t>总价</t>
  </si>
  <si>
    <t>房地产抵押价值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</si>
</sst>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34998626667073579"/>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6" fontId="79" fillId="0" borderId="1"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protection locked="0"/>
    </xf>
    <xf numFmtId="10" fontId="104" fillId="5" borderId="53" xfId="0" applyNumberFormat="1" applyFont="1" applyFill="1" applyBorder="1" applyAlignment="1" applyProtection="1">
      <alignment horizontal="center" vertical="center"/>
      <protection locked="0"/>
    </xf>
    <xf numFmtId="10" fontId="46" fillId="5" borderId="61" xfId="0" applyNumberFormat="1" applyFont="1" applyFill="1" applyBorder="1" applyAlignment="1" applyProtection="1">
      <alignment horizontal="center" vertical="center"/>
      <protection locked="0"/>
    </xf>
    <xf numFmtId="0" fontId="22" fillId="2" borderId="24" xfId="0" applyFont="1" applyFill="1" applyBorder="1" applyAlignment="1" applyProtection="1">
      <alignment horizontal="center" vertical="center"/>
      <protection locked="0"/>
    </xf>
    <xf numFmtId="0" fontId="79" fillId="7" borderId="0" xfId="0" applyFont="1" applyFill="1" applyProtection="1">
      <alignment vertical="center"/>
      <protection locked="0"/>
    </xf>
    <xf numFmtId="0" fontId="0" fillId="0" borderId="1" xfId="0" applyBorder="1" applyAlignment="1">
      <alignment horizontal="center" vertical="center"/>
    </xf>
    <xf numFmtId="0" fontId="98" fillId="0" borderId="1" xfId="0" applyFont="1" applyBorder="1" applyAlignment="1">
      <alignment horizontal="center" vertical="center"/>
    </xf>
    <xf numFmtId="0" fontId="0" fillId="20" borderId="1" xfId="0" applyFill="1" applyBorder="1" applyAlignment="1">
      <alignment horizontal="center" vertical="center"/>
    </xf>
    <xf numFmtId="0" fontId="98" fillId="21" borderId="1" xfId="0" applyFont="1" applyFill="1" applyBorder="1" applyAlignment="1">
      <alignment horizontal="center" vertical="center"/>
    </xf>
    <xf numFmtId="0" fontId="0" fillId="21" borderId="1" xfId="0" applyFill="1" applyBorder="1" applyAlignment="1">
      <alignment horizontal="center" vertical="center"/>
    </xf>
    <xf numFmtId="0" fontId="99" fillId="0" borderId="1" xfId="0" applyFont="1" applyBorder="1" applyAlignment="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20" borderId="13" xfId="0" applyFill="1" applyBorder="1" applyAlignment="1">
      <alignment horizontal="center" vertical="center"/>
    </xf>
    <xf numFmtId="0" fontId="0" fillId="20" borderId="2" xfId="0" applyFill="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684610</xdr:colOff>
      <xdr:row>9</xdr:row>
      <xdr:rowOff>133141</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9523810" cy="16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0197;&#22826;&#24191;&#22330;/&#20998;&#24320;&#31639;/60.55&#20159;/&#12304;313&#12305;&#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0197;&#22826;&#24191;&#22330;/&#20998;&#24320;&#31639;/60.55&#20159;/&#12304;314&#12305;&#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地下商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基准地价修正商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112295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B"/>
      <sheetName val="经济技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524216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北京市出让国有建设用地使用权及在建建筑物房地产市场价值预评估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受贵公司委托，我公司对北京市出让国有建设用地使用权及在建建筑物房地产抵押价值进行了预评估。</v>
      </c>
    </row>
    <row r="7" spans="1:2" s="1362" customFormat="1">
      <c r="A7" s="1360" t="s">
        <v>1231</v>
      </c>
      <c r="B7" s="1361" t="str">
        <f>'预评函-1'!A7</f>
        <v>估价对象为北京市出让国有建设用地使用权及在建建筑物房地产，为所有。根据《国有土地使用证》[]，估价对象（分摊）出让国有建设用地使用权面积为18643.39平方米，建筑面积为160498.87平方米。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出让国有建设用地使用权及在建建筑物房地产,属开发建设的，该项目尚在开发建设中。根据《国有土地使用证》[]，估价对象（分摊）出让国有建设用地使用权面积为18643.39平方米，规划建筑面积为160498.87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为估价委托人了解估价对象房地产市场价值提供参考依据。</v>
      </c>
    </row>
    <row r="12" spans="1:2" s="1362" customFormat="1">
      <c r="A12" s="1360" t="s">
        <v>1193</v>
      </c>
      <c r="B12" s="1361" t="str">
        <f>'预评函-1'!A15</f>
        <v>2020年11月6日</v>
      </c>
    </row>
    <row r="13" spans="1:2" s="1362" customFormat="1">
      <c r="A13" s="1360" t="s">
        <v>1194</v>
      </c>
      <c r="B13" s="1361" t="str">
        <f>'预评函-1'!A18</f>
        <v>本次估价的“房地产价值”是指在正常市场情况下，在价值时点2020年11月6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v>
      </c>
    </row>
    <row r="16" spans="1:2" s="1362" customFormat="1">
      <c r="A16" s="1360" t="s">
        <v>1197</v>
      </c>
      <c r="B16" s="1361" t="str">
        <f>'预评函-1'!A21</f>
        <v>——</v>
      </c>
    </row>
    <row r="17" spans="1:2" s="1362" customFormat="1">
      <c r="A17" s="1360" t="s">
        <v>1198</v>
      </c>
      <c r="B17" s="1361" t="str">
        <f>'预评函-1'!A22</f>
        <v>——</v>
      </c>
    </row>
    <row r="18" spans="1:2" s="1356" customFormat="1" ht="15" thickBot="1">
      <c r="A18" s="1363" t="s">
        <v>1199</v>
      </c>
      <c r="B18" s="1364" t="str">
        <f>'预评函-1'!A24</f>
        <v>本次评估采用的主估价方法为成本法和假设开发法。</v>
      </c>
    </row>
    <row r="19" spans="1:2" s="1359" customFormat="1" ht="15" thickTop="1">
      <c r="A19" s="1357" t="s">
        <v>1200</v>
      </c>
      <c r="B19" s="135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2" customFormat="1">
      <c r="A20" s="1360" t="s">
        <v>1201</v>
      </c>
      <c r="B20" s="1361">
        <f ca="1">'预评函-2'!D5</f>
        <v>559563</v>
      </c>
    </row>
    <row r="21" spans="1:2" s="1362" customFormat="1">
      <c r="A21" s="1360" t="s">
        <v>1202</v>
      </c>
      <c r="B21" s="1361">
        <f ca="1">'预评函-2'!D7</f>
        <v>34864</v>
      </c>
    </row>
    <row r="22" spans="1:2" s="1362" customFormat="1">
      <c r="A22" s="1360" t="s">
        <v>1203</v>
      </c>
      <c r="B22" s="1361" t="str">
        <f ca="1">'预评函-2'!D6</f>
        <v>伍拾伍亿玖仟伍佰陆拾叁万元整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559563</v>
      </c>
    </row>
    <row r="31" spans="1:2" s="1362" customFormat="1">
      <c r="A31" s="1360" t="s">
        <v>1241</v>
      </c>
      <c r="B31" s="1361">
        <f ca="1">'预评函-2'!D15</f>
        <v>34864</v>
      </c>
    </row>
    <row r="32" spans="1:2" s="1362" customFormat="1">
      <c r="A32" s="1360" t="s">
        <v>1208</v>
      </c>
      <c r="B32" s="1361" t="str">
        <f ca="1">'预评函-2'!D14</f>
        <v>伍拾伍亿玖仟伍佰陆拾叁万元整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北京市出让国有建设用地使用权及在建建筑物房地产</v>
      </c>
    </row>
    <row r="42" spans="1:2" s="1362" customFormat="1">
      <c r="A42" s="1360" t="s">
        <v>1255</v>
      </c>
      <c r="B42" s="1361" t="str">
        <f>'预评函-3'!B2</f>
        <v>建筑面积</v>
      </c>
    </row>
    <row r="43" spans="1:2" s="1362" customFormat="1">
      <c r="A43" s="1360" t="s">
        <v>1256</v>
      </c>
      <c r="B43" s="1361">
        <f>'预评函-3'!B4</f>
        <v>160498.87</v>
      </c>
    </row>
    <row r="44" spans="1:2" s="1362" customFormat="1">
      <c r="A44" s="1360" t="s">
        <v>1240</v>
      </c>
      <c r="B44" s="1361" t="str">
        <f>'预评函-3'!C2</f>
        <v>(分摊)土地面积</v>
      </c>
    </row>
    <row r="45" spans="1:2" s="1362" customFormat="1">
      <c r="A45" s="1360" t="s">
        <v>1212</v>
      </c>
      <c r="B45" s="1361">
        <f>'预评函-3'!C4</f>
        <v>18643.39</v>
      </c>
    </row>
    <row r="46" spans="1:2" s="1362" customFormat="1">
      <c r="A46" s="1360" t="s">
        <v>1238</v>
      </c>
      <c r="B46" s="1361" t="str">
        <f>'预评函-3'!D2</f>
        <v>出让国有建设用地使用权价值</v>
      </c>
    </row>
    <row r="47" spans="1:2" s="1362" customFormat="1">
      <c r="A47" s="1360" t="s">
        <v>1213</v>
      </c>
      <c r="B47" s="1361" t="e">
        <f ca="1">'预评函-3'!D4</f>
        <v>#REF!</v>
      </c>
    </row>
    <row r="48" spans="1:2" s="1362" customFormat="1">
      <c r="A48" s="1360" t="s">
        <v>1214</v>
      </c>
      <c r="B48" s="1361" t="e">
        <f ca="1">'预评函-3'!E4</f>
        <v>#REF!</v>
      </c>
    </row>
    <row r="49" spans="1:2" s="1362" customFormat="1">
      <c r="A49" s="1360" t="s">
        <v>1215</v>
      </c>
      <c r="B49" s="1361" t="e">
        <f ca="1">'预评函-3'!D5</f>
        <v>#REF!</v>
      </c>
    </row>
    <row r="50" spans="1:2" s="1362" customFormat="1">
      <c r="A50" s="1360" t="s">
        <v>1239</v>
      </c>
      <c r="B50" s="1361" t="str">
        <f>'预评函-3'!F2</f>
        <v>在建建筑物价值</v>
      </c>
    </row>
    <row r="51" spans="1:2" s="1362" customFormat="1">
      <c r="A51" s="1360" t="s">
        <v>1216</v>
      </c>
      <c r="B51" s="1361" t="e">
        <f ca="1">'预评函-3'!F4</f>
        <v>#REF!</v>
      </c>
    </row>
    <row r="52" spans="1:2" s="1362" customFormat="1">
      <c r="A52" s="1360" t="s">
        <v>1217</v>
      </c>
      <c r="B52" s="1361" t="e">
        <f ca="1">'预评函-3'!G4</f>
        <v>#REF!</v>
      </c>
    </row>
    <row r="53" spans="1:2" s="1362" customFormat="1">
      <c r="A53" s="1360" t="s">
        <v>1245</v>
      </c>
      <c r="B53" s="1361" t="e">
        <f ca="1">'预评函-3'!F5</f>
        <v>#REF!</v>
      </c>
    </row>
    <row r="54" spans="1:2" s="1362" customFormat="1">
      <c r="A54" s="1360" t="s">
        <v>1263</v>
      </c>
      <c r="B54" s="1361" t="str">
        <f>'预评函-3'!A8</f>
        <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
      </c>
    </row>
    <row r="58" spans="1:2" s="1359" customFormat="1" ht="15" thickTop="1">
      <c r="A58" s="1357" t="s">
        <v>1218</v>
      </c>
      <c r="B58" s="1358" t="str">
        <f>'预评函-4'!A12</f>
        <v>2.本次评估设定估价对象房地产权属无争议，未被查封或者以其他形式限制其房地产权利，未设定抵押权等他项权利，不涉及第三方权利义务。</v>
      </c>
    </row>
    <row r="59" spans="1:2" s="1362" customFormat="1">
      <c r="A59" s="1360" t="s">
        <v>1219</v>
      </c>
      <c r="B59" s="1361" t="str">
        <f>'预评函-4'!A13</f>
        <v>——</v>
      </c>
    </row>
    <row r="60" spans="1:2" s="1362" customFormat="1">
      <c r="A60" s="1360" t="s">
        <v>1220</v>
      </c>
      <c r="B60" s="1361" t="str">
        <f>'预评函-4'!A14</f>
        <v>——</v>
      </c>
    </row>
    <row r="61" spans="1:2" s="1362" customFormat="1">
      <c r="A61" s="1360" t="s">
        <v>1221</v>
      </c>
      <c r="B61" s="1361" t="str">
        <f>'预评函-4'!A15</f>
        <v>——</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v>
      </c>
    </row>
    <row r="65" spans="1:2" s="1362" customFormat="1">
      <c r="A65" s="1360" t="s">
        <v>1224</v>
      </c>
      <c r="B65" s="13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8" sqref="C18"/>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3038</v>
      </c>
      <c r="C17" s="1731"/>
    </row>
    <row r="18" spans="1:3">
      <c r="A18" s="1730" t="s">
        <v>1732</v>
      </c>
      <c r="B18" s="1730" t="s">
        <v>3078</v>
      </c>
      <c r="C18" s="1731"/>
    </row>
    <row r="19" spans="1:3">
      <c r="A19" s="1730" t="s">
        <v>1733</v>
      </c>
      <c r="B19" s="1730" t="s">
        <v>3099</v>
      </c>
      <c r="C19" s="1731"/>
    </row>
    <row r="20" spans="1:3">
      <c r="A20" s="1730" t="s">
        <v>1734</v>
      </c>
      <c r="B20" s="1730" t="s">
        <v>3101</v>
      </c>
      <c r="C20" s="1731"/>
    </row>
    <row r="21" spans="1:3">
      <c r="A21" s="1730" t="s">
        <v>1735</v>
      </c>
      <c r="B21" s="1730" t="s">
        <v>3097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3095</v>
      </c>
      <c r="B27" s="1730" t="s">
        <v>757</v>
      </c>
      <c r="C27" s="1731"/>
    </row>
    <row r="28" spans="1:3">
      <c r="A28" s="1730" t="s">
        <v>3094</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28"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8"/>
      <c r="B54" s="1738" t="s">
        <v>832</v>
      </c>
      <c r="C54" s="1735" t="s">
        <v>1248</v>
      </c>
    </row>
    <row r="55" spans="1:4">
      <c r="A55" s="3128"/>
      <c r="B55" s="1738" t="s">
        <v>833</v>
      </c>
      <c r="C55" s="1735" t="s">
        <v>1249</v>
      </c>
    </row>
    <row r="56" spans="1:4">
      <c r="A56" s="3128"/>
      <c r="B56" s="1738" t="s">
        <v>834</v>
      </c>
      <c r="C56" s="1735" t="s">
        <v>1253</v>
      </c>
    </row>
    <row r="57" spans="1:4">
      <c r="A57" s="3128"/>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8" sqref="H8"/>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3"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2913</v>
      </c>
      <c r="B1" s="3129"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130"/>
      <c r="D1" s="3130"/>
      <c r="E1" s="3130"/>
      <c r="F1" s="3130"/>
      <c r="G1" s="3130"/>
      <c r="H1" s="3130"/>
      <c r="I1" s="3131"/>
      <c r="J1" s="2695"/>
      <c r="K1" s="2590"/>
      <c r="L1" s="2591"/>
      <c r="M1" s="2591"/>
      <c r="N1" s="2592"/>
      <c r="O1" s="1760"/>
      <c r="P1" s="2592"/>
      <c r="Q1" s="2592"/>
      <c r="R1" s="2592"/>
      <c r="S1" s="186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929"/>
      <c r="U1" s="1929"/>
      <c r="V1" s="1929"/>
      <c r="W1" s="1929"/>
      <c r="X1" s="1929"/>
      <c r="Y1" s="1929"/>
      <c r="Z1" s="1929"/>
      <c r="AA1" s="1929"/>
      <c r="AB1" s="1929"/>
    </row>
    <row r="2" spans="1:28">
      <c r="A2" s="2589" t="s">
        <v>2914</v>
      </c>
      <c r="B2" s="2593"/>
      <c r="C2" s="2594"/>
      <c r="D2" s="2897"/>
      <c r="E2" s="2887"/>
      <c r="F2" s="2887"/>
      <c r="G2" s="2888"/>
      <c r="H2" s="2888"/>
      <c r="I2" s="2888"/>
      <c r="J2" s="2695"/>
      <c r="K2" s="2590"/>
      <c r="L2" s="2591"/>
      <c r="M2" s="2591"/>
      <c r="N2" s="2592"/>
      <c r="O2" s="1760"/>
      <c r="P2" s="2592"/>
      <c r="Q2" s="2592"/>
      <c r="R2" s="2592"/>
      <c r="S2" s="1867" t="str">
        <f>IF(B10="北京市","北京市",C10)&amp;F10&amp;IF(结果表!G1="在建","出让国有建设用地使用权及在建建筑物房地产",IF(结果表!G1="土地","出让国有建设用地使用权","房地产"))</f>
        <v>北京市出让国有建设用地使用权及在建建筑物房地产</v>
      </c>
      <c r="T2" s="1929"/>
      <c r="U2" s="1929"/>
      <c r="V2" s="1929"/>
      <c r="W2" s="1929"/>
      <c r="X2" s="1929"/>
      <c r="Y2" s="1929"/>
      <c r="Z2" s="1929"/>
      <c r="AA2" s="1929"/>
      <c r="AB2" s="1929"/>
    </row>
    <row r="3" spans="1:28">
      <c r="A3" s="306" t="s">
        <v>2915</v>
      </c>
      <c r="B3" s="2595"/>
      <c r="C3" s="2596" t="s">
        <v>2916</v>
      </c>
      <c r="D3" s="2595">
        <v>44141</v>
      </c>
      <c r="E3" s="2888"/>
      <c r="F3" s="2888"/>
      <c r="G3" s="2888"/>
      <c r="H3" s="2888"/>
      <c r="I3" s="2888"/>
      <c r="J3" s="2695"/>
      <c r="K3" s="2590"/>
      <c r="L3" s="2591"/>
      <c r="M3" s="2591"/>
      <c r="N3" s="2592"/>
      <c r="O3" s="1760"/>
      <c r="P3" s="2592"/>
      <c r="Q3" s="2592"/>
      <c r="R3" s="2592"/>
      <c r="S3" s="1867"/>
      <c r="T3" s="1929"/>
      <c r="U3" s="1929"/>
      <c r="V3" s="1929"/>
      <c r="W3" s="1929"/>
      <c r="X3" s="1929"/>
      <c r="Y3" s="1929"/>
      <c r="Z3" s="1929"/>
      <c r="AA3" s="1929"/>
      <c r="AB3" s="1929"/>
    </row>
    <row r="4" spans="1:28" ht="13.5" thickBot="1">
      <c r="A4" s="1247" t="s">
        <v>2917</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0"/>
      <c r="P4" s="2592"/>
      <c r="Q4" s="2592"/>
      <c r="R4" s="2592"/>
      <c r="S4" s="1867"/>
      <c r="T4" s="1929"/>
      <c r="U4" s="1929"/>
      <c r="V4" s="1929"/>
      <c r="W4" s="1929"/>
      <c r="X4" s="1929"/>
      <c r="Y4" s="1929"/>
      <c r="Z4" s="1929"/>
      <c r="AA4" s="1929"/>
      <c r="AB4" s="1929"/>
    </row>
    <row r="5" spans="1:28" ht="13.5" thickTop="1">
      <c r="A5" s="2601" t="s">
        <v>2918</v>
      </c>
      <c r="B5" s="2602"/>
      <c r="C5" s="2603"/>
      <c r="D5" s="2604"/>
      <c r="E5" s="2889"/>
      <c r="F5" s="2889"/>
      <c r="G5" s="2889"/>
      <c r="H5" s="2889"/>
      <c r="I5" s="2889"/>
      <c r="J5" s="2663"/>
      <c r="K5" s="2600" t="str">
        <f>IF(F4="——","",IF(H4="——",F4&amp;"（注册号："&amp;G4&amp;")",CONCATENATE(F4,"（注册号：",G4,")、",H4,"（注册号：",I4,")")))</f>
        <v>（注册号：0)、（注册号：0)</v>
      </c>
      <c r="L5" s="2591"/>
      <c r="M5" s="2591"/>
      <c r="N5" s="2592"/>
      <c r="O5" s="1760"/>
      <c r="P5" s="2592"/>
      <c r="Q5" s="2592"/>
      <c r="R5" s="2592"/>
      <c r="S5" s="1929"/>
      <c r="T5" s="1929"/>
      <c r="U5" s="1929"/>
      <c r="V5" s="1929"/>
      <c r="W5" s="1929"/>
      <c r="X5" s="1929"/>
      <c r="Y5" s="1929"/>
      <c r="Z5" s="1929"/>
      <c r="AA5" s="1929"/>
      <c r="AB5" s="1929"/>
    </row>
    <row r="6" spans="1:28">
      <c r="A6" s="2605" t="s">
        <v>2919</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2920</v>
      </c>
      <c r="B7" s="2609"/>
      <c r="C7" s="2607"/>
      <c r="D7" s="2608"/>
      <c r="E7" s="2887"/>
      <c r="F7" s="2889"/>
      <c r="G7" s="2889"/>
      <c r="H7" s="2889"/>
      <c r="I7" s="2889"/>
      <c r="J7" s="2663"/>
      <c r="K7" s="2840"/>
      <c r="L7" s="2837"/>
      <c r="M7" s="2837"/>
      <c r="N7" s="2663"/>
      <c r="O7" s="2674"/>
      <c r="P7" s="2663"/>
      <c r="Q7" s="2663"/>
      <c r="R7" s="2663"/>
    </row>
    <row r="8" spans="1:28">
      <c r="A8" s="2610" t="s">
        <v>2921</v>
      </c>
      <c r="B8" s="2611" t="s">
        <v>3060</v>
      </c>
      <c r="C8" s="2612"/>
      <c r="D8" s="3132" t="s">
        <v>2922</v>
      </c>
      <c r="E8" s="2613" t="s">
        <v>3109</v>
      </c>
      <c r="F8" s="2614"/>
      <c r="G8" s="2888"/>
      <c r="H8" s="2888"/>
      <c r="I8" s="2888"/>
      <c r="J8" s="2663"/>
      <c r="K8" s="2838"/>
      <c r="L8" s="2837"/>
      <c r="M8" s="2837"/>
      <c r="N8" s="2663"/>
      <c r="O8" s="2674"/>
      <c r="P8" s="2663"/>
      <c r="Q8" s="2663"/>
      <c r="R8" s="2663"/>
    </row>
    <row r="9" spans="1:28" ht="13.5" thickBot="1">
      <c r="A9" s="2615" t="s">
        <v>2923</v>
      </c>
      <c r="B9" s="2616" t="s">
        <v>3061</v>
      </c>
      <c r="C9" s="2617"/>
      <c r="D9" s="3133"/>
      <c r="E9" s="2616" t="s">
        <v>70</v>
      </c>
      <c r="F9" s="2618"/>
      <c r="G9" s="2890"/>
      <c r="H9" s="2890"/>
      <c r="I9" s="2890"/>
      <c r="J9" s="2663"/>
      <c r="K9" s="2840"/>
      <c r="L9" s="2837"/>
      <c r="M9" s="2837"/>
      <c r="N9" s="2663"/>
      <c r="O9" s="2674"/>
      <c r="P9" s="2663"/>
      <c r="Q9" s="2663"/>
      <c r="R9" s="2663"/>
    </row>
    <row r="10" spans="1:28" ht="13.5" thickTop="1">
      <c r="A10" s="2619" t="s">
        <v>2924</v>
      </c>
      <c r="B10" s="2620" t="s">
        <v>3062</v>
      </c>
      <c r="C10" s="2621"/>
      <c r="D10" s="2604"/>
      <c r="E10" s="2622" t="s">
        <v>2925</v>
      </c>
      <c r="F10" s="2891"/>
      <c r="G10" s="2892"/>
      <c r="H10" s="2893"/>
      <c r="I10" s="2894"/>
      <c r="J10" s="2663"/>
      <c r="K10" s="2840"/>
      <c r="L10" s="2837"/>
      <c r="M10" s="2837"/>
      <c r="N10" s="2663"/>
      <c r="O10" s="2674"/>
      <c r="P10" s="2663"/>
      <c r="Q10" s="2663"/>
      <c r="R10" s="2663"/>
    </row>
    <row r="11" spans="1:28">
      <c r="A11" s="2623" t="s">
        <v>2926</v>
      </c>
      <c r="B11" s="2624"/>
      <c r="C11" s="2625"/>
      <c r="D11" s="2626"/>
      <c r="E11" s="2592"/>
      <c r="F11" s="2592"/>
      <c r="G11" s="2592"/>
      <c r="H11" s="2592"/>
      <c r="I11" s="2592"/>
      <c r="J11" s="2663"/>
      <c r="K11" s="2840"/>
      <c r="L11" s="2837"/>
      <c r="M11" s="2837"/>
      <c r="N11" s="2663"/>
      <c r="O11" s="2674"/>
      <c r="P11" s="2663"/>
      <c r="Q11" s="2663"/>
      <c r="R11" s="2663"/>
    </row>
    <row r="12" spans="1:28">
      <c r="A12" s="2627" t="s">
        <v>2927</v>
      </c>
      <c r="B12" s="2624" t="s">
        <v>3075</v>
      </c>
      <c r="C12" s="327" t="s">
        <v>2928</v>
      </c>
      <c r="D12" s="2628" t="s">
        <v>2929</v>
      </c>
      <c r="E12" s="2628" t="s">
        <v>2930</v>
      </c>
      <c r="F12" s="2628" t="s">
        <v>2931</v>
      </c>
      <c r="G12" s="2628" t="s">
        <v>2932</v>
      </c>
      <c r="H12" s="2628" t="s">
        <v>2933</v>
      </c>
      <c r="I12" s="2628" t="s">
        <v>2934</v>
      </c>
      <c r="J12" s="2663"/>
      <c r="K12" s="2840"/>
      <c r="L12" s="2837"/>
      <c r="M12" s="2837"/>
      <c r="N12" s="2663"/>
      <c r="O12" s="2674"/>
      <c r="P12" s="2663"/>
      <c r="Q12" s="2663"/>
      <c r="R12" s="2663"/>
    </row>
    <row r="13" spans="1:28">
      <c r="A13" s="1238"/>
      <c r="B13" s="2629"/>
      <c r="C13" s="2630" t="s">
        <v>2935</v>
      </c>
      <c r="D13" s="962"/>
      <c r="E13" s="962">
        <v>52366</v>
      </c>
      <c r="F13" s="962">
        <v>56019</v>
      </c>
      <c r="G13" s="962">
        <v>56019</v>
      </c>
      <c r="H13" s="962"/>
      <c r="I13" s="962"/>
      <c r="J13" s="2663"/>
      <c r="K13" s="2840"/>
      <c r="L13" s="2837"/>
      <c r="M13" s="2837"/>
      <c r="N13" s="2663"/>
      <c r="O13" s="2674"/>
      <c r="P13" s="2663"/>
      <c r="Q13" s="2663"/>
      <c r="R13" s="2663"/>
    </row>
    <row r="14" spans="1:28">
      <c r="A14" s="1238"/>
      <c r="B14" s="2629"/>
      <c r="C14" s="2630" t="s">
        <v>2936</v>
      </c>
      <c r="D14" s="2631"/>
      <c r="E14" s="2631">
        <v>40</v>
      </c>
      <c r="F14" s="2631">
        <v>50</v>
      </c>
      <c r="G14" s="2631">
        <v>50</v>
      </c>
      <c r="H14" s="2631"/>
      <c r="I14" s="2631"/>
      <c r="J14" s="2663"/>
      <c r="K14" s="2841"/>
      <c r="L14" s="2837"/>
      <c r="M14" s="2837"/>
      <c r="N14" s="2663"/>
      <c r="O14" s="2674"/>
      <c r="P14" s="2663"/>
      <c r="Q14" s="2663"/>
      <c r="R14" s="2663"/>
    </row>
    <row r="15" spans="1:28">
      <c r="A15" s="324"/>
      <c r="B15" s="2632"/>
      <c r="C15" s="2633" t="s">
        <v>2937</v>
      </c>
      <c r="D15" s="2634" t="str">
        <f>IF(B12="出让",IF(D13="","",ROUNDDOWN(MIN((D13-$D$3)/365,D14),2)),D14)</f>
        <v/>
      </c>
      <c r="E15" s="2634">
        <f>IF(B12="出让",IF(E13="","",ROUNDDOWN(MIN((E13-$D$3)/365,E14),2)),E14)</f>
        <v>22.53</v>
      </c>
      <c r="F15" s="2634">
        <f>IF(B12="出让",IF(F13="","",ROUNDDOWN(MIN((F13-$D$3)/365,F14),2)),F14)</f>
        <v>32.54</v>
      </c>
      <c r="G15" s="2634">
        <f>IF(B12="出让",IF(G13="","",ROUNDDOWN(MIN((G13-$D$3)/365,G14),2)),G14)</f>
        <v>32.54</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2938</v>
      </c>
      <c r="B16" s="3139"/>
      <c r="C16" s="3140"/>
      <c r="D16" s="3141"/>
      <c r="E16" s="2637" t="s">
        <v>2939</v>
      </c>
      <c r="F16" s="3142"/>
      <c r="G16" s="3143"/>
      <c r="H16" s="3143"/>
      <c r="I16" s="3144"/>
      <c r="J16" s="2663"/>
      <c r="K16" s="2842"/>
      <c r="L16" s="2675"/>
      <c r="M16" s="2675"/>
      <c r="N16" s="2733"/>
      <c r="O16" s="2675"/>
      <c r="P16" s="2733"/>
      <c r="Q16" s="2663"/>
      <c r="R16" s="2663"/>
    </row>
    <row r="17" spans="1:28">
      <c r="A17" s="317" t="s">
        <v>2940</v>
      </c>
      <c r="B17" s="306" t="s">
        <v>2941</v>
      </c>
      <c r="C17" s="11">
        <f>'数据-汇总表'!E3</f>
        <v>160498.87</v>
      </c>
      <c r="D17" s="2543" t="s">
        <v>2942</v>
      </c>
      <c r="E17" s="3145" t="s">
        <v>2943</v>
      </c>
      <c r="F17" s="3146"/>
      <c r="G17" s="3146"/>
      <c r="H17" s="3146"/>
      <c r="I17" s="3147"/>
      <c r="J17" s="2663"/>
      <c r="K17" s="2843"/>
      <c r="L17" s="2675"/>
      <c r="M17" s="2675"/>
      <c r="N17" s="2733"/>
      <c r="O17" s="2675"/>
      <c r="P17" s="2733"/>
      <c r="Q17" s="2663"/>
      <c r="R17" s="2663"/>
      <c r="S17" s="2663"/>
      <c r="T17" s="2663"/>
      <c r="U17" s="2663"/>
      <c r="V17" s="2663"/>
    </row>
    <row r="18" spans="1:28" ht="24.75" thickBot="1">
      <c r="A18" s="2638" t="s">
        <v>2944</v>
      </c>
      <c r="B18" s="1247" t="s">
        <v>2945</v>
      </c>
      <c r="C18" s="2639">
        <f>'数据-汇总表'!D3</f>
        <v>18643.39</v>
      </c>
      <c r="D18" s="1249" t="s">
        <v>2946</v>
      </c>
      <c r="E18" s="3148" t="s">
        <v>2947</v>
      </c>
      <c r="F18" s="3149"/>
      <c r="G18" s="3149"/>
      <c r="H18" s="3149"/>
      <c r="I18" s="3150"/>
      <c r="J18" s="2663"/>
      <c r="K18" s="2843"/>
      <c r="L18" s="2675"/>
      <c r="M18" s="2675"/>
      <c r="N18" s="2733"/>
      <c r="O18" s="2675"/>
      <c r="P18" s="2733"/>
      <c r="Q18" s="2663"/>
      <c r="R18" s="2663"/>
      <c r="S18" s="2663"/>
      <c r="T18" s="2663"/>
      <c r="U18" s="2663"/>
      <c r="V18" s="2663"/>
    </row>
    <row r="19" spans="1:28" ht="37.5" thickTop="1" thickBot="1">
      <c r="A19" s="331" t="s">
        <v>1741</v>
      </c>
      <c r="B19" s="311" t="s">
        <v>2948</v>
      </c>
      <c r="C19" s="1747"/>
      <c r="D19" s="1748" t="s">
        <v>2949</v>
      </c>
      <c r="E19" s="1749"/>
      <c r="F19" s="1750" t="str">
        <f>IF(AND(C19="是",E19="否"),"是否提供他项权证或相关说明","")</f>
        <v/>
      </c>
      <c r="G19" s="1751"/>
      <c r="H19" s="2889"/>
      <c r="I19" s="2889"/>
      <c r="J19" s="2663"/>
      <c r="K19" s="2840"/>
      <c r="L19" s="2837"/>
      <c r="M19" s="2837"/>
      <c r="N19" s="2733"/>
      <c r="O19" s="2675"/>
      <c r="P19" s="2733"/>
      <c r="Q19" s="2663"/>
      <c r="R19" s="2663"/>
      <c r="S19" s="2663"/>
      <c r="T19" s="2663"/>
      <c r="U19" s="2663"/>
      <c r="V19" s="2663"/>
    </row>
    <row r="20" spans="1:28">
      <c r="A20" s="2857" t="s">
        <v>2950</v>
      </c>
      <c r="B20" s="3135" t="s">
        <v>2951</v>
      </c>
      <c r="C20" s="3136"/>
      <c r="D20" s="3137" t="s">
        <v>2952</v>
      </c>
      <c r="E20" s="3138"/>
      <c r="F20" s="2872" t="s">
        <v>1742</v>
      </c>
      <c r="G20" s="2889"/>
      <c r="H20" s="2889"/>
      <c r="I20" s="2889"/>
      <c r="J20" s="2663"/>
      <c r="K20" s="3134" t="s">
        <v>2953</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2954</v>
      </c>
      <c r="C21" s="2859" t="s">
        <v>1743</v>
      </c>
      <c r="D21" s="1752" t="s">
        <v>2955</v>
      </c>
      <c r="E21" s="2860" t="s">
        <v>1743</v>
      </c>
      <c r="F21" s="2873"/>
      <c r="G21" s="2889"/>
      <c r="H21" s="2889"/>
      <c r="I21" s="2889"/>
      <c r="J21" s="2663"/>
      <c r="K21" s="3134"/>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2956</v>
      </c>
      <c r="C22" s="2859" t="s">
        <v>1744</v>
      </c>
      <c r="D22" s="2888"/>
      <c r="E22" s="2888"/>
      <c r="F22" s="2888"/>
      <c r="G22" s="2889"/>
      <c r="H22" s="2889"/>
      <c r="I22" s="2889"/>
      <c r="J22" s="2663"/>
      <c r="K22" s="3134"/>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2957</v>
      </c>
      <c r="B23" s="2726" t="s">
        <v>2958</v>
      </c>
      <c r="C23" s="2863"/>
      <c r="D23" s="2864" t="s">
        <v>2958</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52" t="s">
        <v>2959</v>
      </c>
      <c r="B27" s="324" t="s">
        <v>2960</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52"/>
      <c r="B28" s="306" t="s">
        <v>2961</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52"/>
      <c r="B29" s="306" t="s">
        <v>2962</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53"/>
      <c r="B30" s="306" t="s">
        <v>2963</v>
      </c>
      <c r="C30" s="3154"/>
      <c r="D30" s="3155"/>
      <c r="E30" s="2889"/>
      <c r="F30" s="2889"/>
      <c r="G30" s="2889"/>
      <c r="H30" s="2889"/>
      <c r="I30" s="2889"/>
      <c r="J30" s="2663"/>
      <c r="K30" s="2840"/>
      <c r="L30" s="2837"/>
      <c r="M30" s="2837"/>
      <c r="N30" s="2663"/>
      <c r="O30" s="2674"/>
      <c r="P30" s="2663"/>
      <c r="Q30" s="2663"/>
      <c r="R30" s="2663"/>
      <c r="S30" s="2663"/>
      <c r="T30" s="2663"/>
      <c r="U30" s="2663"/>
      <c r="V30" s="2663"/>
    </row>
    <row r="31" spans="1:28">
      <c r="A31" s="3156" t="s">
        <v>2964</v>
      </c>
      <c r="B31" s="2646"/>
      <c r="C31" s="2544" t="str">
        <f>IF(B31="现房","成新及维护状况正常否",IF(B31="在建","工程状态是否正常",IF(B31="土地","是否闲置","-")))</f>
        <v>-</v>
      </c>
      <c r="D31" s="1556"/>
      <c r="E31" s="2647"/>
      <c r="F31" s="2889"/>
      <c r="G31" s="2889"/>
      <c r="H31" s="2889"/>
      <c r="I31" s="2889"/>
      <c r="J31" s="2663"/>
      <c r="K31" s="2839"/>
      <c r="L31" s="2837"/>
      <c r="M31" s="2837"/>
      <c r="N31" s="2663"/>
      <c r="O31" s="2674"/>
      <c r="P31" s="2663"/>
      <c r="Q31" s="2663"/>
      <c r="R31" s="2663"/>
      <c r="S31" s="2663"/>
      <c r="T31" s="2663"/>
      <c r="U31" s="2663"/>
      <c r="V31" s="2663"/>
    </row>
    <row r="32" spans="1:28">
      <c r="A32" s="3157"/>
      <c r="B32" s="2646"/>
      <c r="C32" s="2544" t="str">
        <f>IF(B32="现房","成新及维护状况是否正常",IF(B32="在建","工程状态是否正常",IF(B32="土地","是否闲置","-")))</f>
        <v>-</v>
      </c>
      <c r="D32" s="1556"/>
      <c r="E32" s="2647"/>
      <c r="F32" s="2889"/>
      <c r="G32" s="2889"/>
      <c r="H32" s="2889"/>
      <c r="I32" s="2889"/>
      <c r="J32" s="2663"/>
      <c r="K32" s="2840"/>
      <c r="L32" s="2837"/>
      <c r="M32" s="2837"/>
      <c r="N32" s="2663"/>
      <c r="O32" s="2674"/>
      <c r="P32" s="2663"/>
      <c r="Q32" s="2663"/>
      <c r="R32" s="2663"/>
      <c r="S32" s="2663"/>
      <c r="T32" s="2663"/>
      <c r="U32" s="2663"/>
      <c r="V32" s="2663"/>
    </row>
    <row r="33" spans="1:30">
      <c r="A33" s="3157"/>
      <c r="B33" s="2649"/>
      <c r="C33" s="1774" t="str">
        <f>IF(B33="现房","成新及维护状况是否正常",IF(B33="在建","工程状态是否正常",IF(B33="土地","是否闲置","-")))</f>
        <v>-</v>
      </c>
      <c r="D33" s="1548"/>
      <c r="E33" s="2650"/>
      <c r="F33" s="2889"/>
      <c r="G33" s="2889"/>
      <c r="H33" s="2889"/>
      <c r="I33" s="2889"/>
      <c r="J33" s="2663"/>
      <c r="K33" s="2840"/>
      <c r="L33" s="2837"/>
      <c r="M33" s="2837"/>
      <c r="N33" s="2663"/>
      <c r="O33" s="2674"/>
      <c r="P33" s="2663"/>
      <c r="Q33" s="2663"/>
      <c r="R33" s="2663"/>
      <c r="S33" s="2663"/>
      <c r="T33" s="2663"/>
      <c r="U33" s="2663"/>
      <c r="V33" s="2663"/>
    </row>
    <row r="34" spans="1:30">
      <c r="A34" s="306" t="s">
        <v>2965</v>
      </c>
      <c r="B34" s="2212"/>
      <c r="C34" s="2212"/>
      <c r="D34" s="2212"/>
      <c r="E34" s="2212"/>
      <c r="F34" s="2212"/>
      <c r="G34" s="2212"/>
      <c r="H34" s="2212"/>
      <c r="I34" s="2889"/>
      <c r="J34" s="2663"/>
      <c r="K34" s="2651">
        <f>COUNTIF(B34:H34,"——")</f>
        <v>0</v>
      </c>
      <c r="L34" s="327" t="s">
        <v>2966</v>
      </c>
      <c r="M34" s="327" t="s">
        <v>2967</v>
      </c>
      <c r="N34" s="327" t="s">
        <v>2968</v>
      </c>
      <c r="O34" s="327" t="s">
        <v>2969</v>
      </c>
      <c r="P34" s="327" t="s">
        <v>2970</v>
      </c>
      <c r="Q34" s="327" t="s">
        <v>2971</v>
      </c>
      <c r="R34" s="327" t="s">
        <v>2972</v>
      </c>
      <c r="S34" s="3151" t="s">
        <v>2973</v>
      </c>
      <c r="T34" s="2652" t="str">
        <f>NUMBERSTRING(7-K34,1)&amp;"通"</f>
        <v>七通</v>
      </c>
      <c r="U34" s="2663"/>
      <c r="V34" s="2663"/>
    </row>
    <row r="35" spans="1:30">
      <c r="A35" s="2653"/>
      <c r="B35" s="3158" t="s">
        <v>2974</v>
      </c>
      <c r="C35" s="3158"/>
      <c r="D35" s="3158"/>
      <c r="E35" s="3158"/>
      <c r="F35" s="671">
        <f>C10</f>
        <v>0</v>
      </c>
      <c r="G35" s="2889"/>
      <c r="H35" s="2889"/>
      <c r="I35" s="2889"/>
      <c r="J35" s="2663"/>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151"/>
      <c r="T35" s="333" t="str">
        <f>IF(T34="一通",L35,IF(T34="二通",M35,IF(T34="三通",N35,IF(T34="四通",O35,IF(T34="五通",P35,IF(T34="六通",Q35,R35))))))</f>
        <v>、、、、、、</v>
      </c>
      <c r="U35" s="2663"/>
      <c r="V35" s="2663"/>
    </row>
    <row r="36" spans="1:30">
      <c r="A36" s="2654"/>
      <c r="B36" s="671" t="s">
        <v>2930</v>
      </c>
      <c r="C36" s="671" t="s">
        <v>2931</v>
      </c>
      <c r="D36" s="671" t="s">
        <v>2929</v>
      </c>
      <c r="E36" s="671" t="s">
        <v>2934</v>
      </c>
      <c r="F36" s="2895"/>
      <c r="G36" s="2889"/>
      <c r="H36" s="2889"/>
      <c r="I36" s="2889"/>
      <c r="J36" s="2663"/>
      <c r="K36" s="2840"/>
      <c r="L36" s="2837"/>
      <c r="M36" s="2837"/>
      <c r="N36" s="2663"/>
      <c r="O36" s="2674"/>
      <c r="P36" s="2663"/>
      <c r="Q36" s="2663"/>
      <c r="R36" s="2663"/>
      <c r="S36" s="2663"/>
      <c r="T36" s="2663"/>
      <c r="U36" s="2663"/>
      <c r="V36" s="2663"/>
    </row>
    <row r="37" spans="1:30">
      <c r="A37" s="2855" t="s">
        <v>2975</v>
      </c>
      <c r="B37" s="2655" t="s">
        <v>212</v>
      </c>
      <c r="C37" s="2655" t="s">
        <v>212</v>
      </c>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2976</v>
      </c>
      <c r="B38" s="2656" t="s">
        <v>213</v>
      </c>
      <c r="C38" s="2656" t="s">
        <v>213</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2977</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2"/>
      <c r="J40" s="2733"/>
      <c r="K40" s="2839"/>
      <c r="L40" s="2675"/>
      <c r="M40" s="2675"/>
      <c r="N40" s="2733"/>
      <c r="O40" s="2675"/>
      <c r="P40" s="2663"/>
      <c r="Q40" s="2663"/>
      <c r="R40" s="2663"/>
      <c r="S40" s="2663"/>
      <c r="T40" s="2663"/>
      <c r="U40" s="2663"/>
      <c r="V40" s="2663"/>
    </row>
    <row r="41" spans="1:30">
      <c r="A41" s="2660" t="s">
        <v>2978</v>
      </c>
      <c r="B41" s="1941"/>
      <c r="C41" s="1556"/>
      <c r="D41" s="2592"/>
      <c r="E41" s="2592"/>
      <c r="F41" s="2592"/>
      <c r="G41" s="2592"/>
      <c r="H41" s="2592"/>
      <c r="I41" s="1760"/>
      <c r="J41" s="2663"/>
      <c r="K41" s="2840"/>
      <c r="L41" s="2837"/>
      <c r="M41" s="2837"/>
      <c r="N41" s="2663"/>
      <c r="O41" s="2674"/>
      <c r="P41" s="2663"/>
      <c r="Q41" s="2663"/>
      <c r="R41" s="2663"/>
      <c r="S41" s="2663"/>
      <c r="T41" s="2663"/>
      <c r="U41" s="2663"/>
      <c r="V41" s="2663"/>
    </row>
    <row r="42" spans="1:30" ht="25.5">
      <c r="A42" s="327" t="s">
        <v>2979</v>
      </c>
      <c r="B42" s="11" t="s">
        <v>2980</v>
      </c>
      <c r="C42" s="11" t="s">
        <v>2981</v>
      </c>
      <c r="D42" s="11" t="s">
        <v>2982</v>
      </c>
      <c r="E42" s="11" t="s">
        <v>2983</v>
      </c>
      <c r="F42" s="11" t="s">
        <v>2984</v>
      </c>
      <c r="G42" s="11" t="s">
        <v>2985</v>
      </c>
      <c r="H42" s="11" t="s">
        <v>2986</v>
      </c>
      <c r="I42" s="11" t="s">
        <v>2987</v>
      </c>
      <c r="J42" s="2851" t="s">
        <v>2988</v>
      </c>
      <c r="K42" s="2852" t="s">
        <v>2989</v>
      </c>
      <c r="L42" s="2852" t="s">
        <v>2990</v>
      </c>
      <c r="M42" s="2852" t="s">
        <v>2991</v>
      </c>
      <c r="N42" s="2845" t="s">
        <v>2992</v>
      </c>
      <c r="O42" s="2845" t="s">
        <v>2993</v>
      </c>
      <c r="P42" s="2845" t="s">
        <v>2994</v>
      </c>
      <c r="Q42" s="2846" t="s">
        <v>2995</v>
      </c>
      <c r="R42" s="2846" t="s">
        <v>2996</v>
      </c>
      <c r="S42" s="2663"/>
      <c r="T42" s="2663"/>
      <c r="U42" s="2663"/>
      <c r="V42" s="2663"/>
    </row>
    <row r="43" spans="1:30" s="1927" customFormat="1">
      <c r="A43" s="1754"/>
      <c r="B43" s="1179"/>
      <c r="C43" s="1179"/>
      <c r="D43" s="1179"/>
      <c r="E43" s="1179"/>
      <c r="F43" s="1179"/>
      <c r="G43" s="1179"/>
      <c r="H43" s="1179"/>
      <c r="I43" s="1179"/>
      <c r="J43" s="2661"/>
      <c r="K43" s="2662"/>
      <c r="L43" s="2662"/>
      <c r="M43" s="1179"/>
      <c r="N43" s="1179"/>
      <c r="O43" s="1179"/>
      <c r="P43" s="1179"/>
      <c r="Q43" s="1179"/>
      <c r="R43" s="1179"/>
      <c r="S43" s="2663"/>
      <c r="T43" s="2663"/>
      <c r="U43" s="2663"/>
      <c r="V43" s="2663"/>
    </row>
    <row r="44" spans="1:30" s="1927" customFormat="1">
      <c r="A44" s="1754"/>
      <c r="B44" s="1754"/>
      <c r="C44" s="1179"/>
      <c r="D44" s="1179"/>
      <c r="E44" s="1179"/>
      <c r="F44" s="1179"/>
      <c r="G44" s="1179"/>
      <c r="H44" s="1179"/>
      <c r="I44" s="1179"/>
      <c r="J44" s="2661"/>
      <c r="K44" s="2662"/>
      <c r="L44" s="2662"/>
      <c r="M44" s="1179"/>
      <c r="N44" s="1179"/>
      <c r="O44" s="1179"/>
      <c r="P44" s="1179"/>
      <c r="Q44" s="1179"/>
      <c r="R44" s="1179"/>
      <c r="S44" s="2663"/>
      <c r="T44" s="2663"/>
      <c r="U44" s="2663"/>
      <c r="V44" s="2663"/>
    </row>
    <row r="45" spans="1:30" s="1927" customFormat="1">
      <c r="A45" s="1754"/>
      <c r="B45" s="1754"/>
      <c r="C45" s="1179"/>
      <c r="D45" s="1179"/>
      <c r="E45" s="1179"/>
      <c r="F45" s="1179"/>
      <c r="G45" s="1179"/>
      <c r="H45" s="1179"/>
      <c r="I45" s="1179"/>
      <c r="J45" s="2661"/>
      <c r="K45" s="2662"/>
      <c r="L45" s="2662"/>
      <c r="M45" s="1179"/>
      <c r="N45" s="1179"/>
      <c r="O45" s="1179"/>
      <c r="P45" s="1179"/>
      <c r="Q45" s="1179"/>
      <c r="R45" s="1179"/>
      <c r="S45" s="2663"/>
      <c r="T45" s="2663"/>
      <c r="U45" s="2663"/>
      <c r="V45" s="2663"/>
    </row>
    <row r="46" spans="1:30" s="1927" customFormat="1">
      <c r="A46" s="1754"/>
      <c r="B46" s="1754"/>
      <c r="C46" s="1179"/>
      <c r="D46" s="1179"/>
      <c r="E46" s="1179"/>
      <c r="F46" s="1179"/>
      <c r="G46" s="1179"/>
      <c r="H46" s="1179"/>
      <c r="I46" s="1179"/>
      <c r="J46" s="2661"/>
      <c r="K46" s="2662"/>
      <c r="L46" s="2662"/>
      <c r="M46" s="1179"/>
      <c r="N46" s="1179"/>
      <c r="O46" s="1179"/>
      <c r="P46" s="1179"/>
      <c r="Q46" s="1179"/>
      <c r="R46" s="1179"/>
      <c r="S46" s="2663"/>
      <c r="T46" s="2663"/>
      <c r="U46" s="2663"/>
      <c r="V46" s="2663"/>
    </row>
    <row r="47" spans="1:30" s="1927" customFormat="1">
      <c r="A47" s="1754"/>
      <c r="B47" s="1754"/>
      <c r="C47" s="1179"/>
      <c r="D47" s="1179"/>
      <c r="E47" s="1179"/>
      <c r="F47" s="1179"/>
      <c r="G47" s="1179"/>
      <c r="H47" s="1179"/>
      <c r="I47" s="1179"/>
      <c r="J47" s="2661"/>
      <c r="K47" s="2662"/>
      <c r="L47" s="2662"/>
      <c r="M47" s="1179"/>
      <c r="N47" s="1179"/>
      <c r="O47" s="1179"/>
      <c r="P47" s="1179"/>
      <c r="Q47" s="1179"/>
      <c r="R47" s="1179"/>
      <c r="S47" s="2663"/>
      <c r="T47" s="2663"/>
      <c r="U47" s="2663"/>
      <c r="V47" s="2663"/>
    </row>
    <row r="48" spans="1:30" s="1927" customFormat="1">
      <c r="A48" s="1754"/>
      <c r="B48" s="1754"/>
      <c r="C48" s="1179"/>
      <c r="D48" s="1179"/>
      <c r="E48" s="1179"/>
      <c r="F48" s="1179"/>
      <c r="G48" s="1179"/>
      <c r="H48" s="1179"/>
      <c r="I48" s="1179"/>
      <c r="J48" s="2661"/>
      <c r="K48" s="2662"/>
      <c r="L48" s="2662"/>
      <c r="M48" s="1179"/>
      <c r="N48" s="1179"/>
      <c r="O48" s="1179"/>
      <c r="P48" s="1179"/>
      <c r="Q48" s="1179"/>
      <c r="R48" s="1179"/>
      <c r="S48" s="2663"/>
      <c r="T48" s="2663"/>
      <c r="U48" s="2663"/>
      <c r="V48" s="2663"/>
    </row>
    <row r="49" spans="1:22" s="1927" customFormat="1">
      <c r="A49" s="1754"/>
      <c r="B49" s="1754"/>
      <c r="C49" s="1179"/>
      <c r="D49" s="1179"/>
      <c r="E49" s="1179"/>
      <c r="F49" s="1179"/>
      <c r="G49" s="1179"/>
      <c r="H49" s="1179"/>
      <c r="I49" s="1179"/>
      <c r="J49" s="2661"/>
      <c r="K49" s="2662"/>
      <c r="L49" s="2662"/>
      <c r="M49" s="1179"/>
      <c r="N49" s="1179"/>
      <c r="O49" s="1179"/>
      <c r="P49" s="1179"/>
      <c r="Q49" s="1179"/>
      <c r="R49" s="1179"/>
      <c r="S49" s="2663"/>
      <c r="T49" s="2663"/>
      <c r="U49" s="2663"/>
      <c r="V49" s="2663"/>
    </row>
    <row r="50" spans="1:22" s="1927" customFormat="1">
      <c r="A50" s="1754"/>
      <c r="B50" s="1754"/>
      <c r="C50" s="1179"/>
      <c r="D50" s="1179"/>
      <c r="E50" s="1179"/>
      <c r="F50" s="1179"/>
      <c r="G50" s="1179"/>
      <c r="H50" s="1179"/>
      <c r="I50" s="1179"/>
      <c r="J50" s="2661"/>
      <c r="K50" s="2662"/>
      <c r="L50" s="2662"/>
      <c r="M50" s="1179"/>
      <c r="N50" s="1179"/>
      <c r="O50" s="1179"/>
      <c r="P50" s="1179"/>
      <c r="Q50" s="1179"/>
      <c r="R50" s="1179"/>
      <c r="S50" s="2663"/>
      <c r="T50" s="2663"/>
      <c r="U50" s="2663"/>
      <c r="V50" s="2663"/>
    </row>
    <row r="51" spans="1:22" s="1927" customFormat="1">
      <c r="A51" s="1754"/>
      <c r="B51" s="1754"/>
      <c r="C51" s="1179"/>
      <c r="D51" s="1179"/>
      <c r="E51" s="1179"/>
      <c r="F51" s="1179"/>
      <c r="G51" s="1179"/>
      <c r="H51" s="1179"/>
      <c r="I51" s="1179"/>
      <c r="J51" s="2661"/>
      <c r="K51" s="2662"/>
      <c r="L51" s="2662"/>
      <c r="M51" s="1179"/>
      <c r="N51" s="1179"/>
      <c r="O51" s="1179"/>
      <c r="P51" s="1179"/>
      <c r="Q51" s="1179"/>
      <c r="R51" s="1179"/>
    </row>
    <row r="52" spans="1:22" s="1927" customFormat="1">
      <c r="A52" s="1754"/>
      <c r="B52" s="1754"/>
      <c r="C52" s="1754"/>
      <c r="D52" s="1754"/>
      <c r="E52" s="1754"/>
      <c r="F52" s="1179"/>
      <c r="G52" s="1754"/>
      <c r="H52" s="1754"/>
      <c r="I52" s="1754"/>
      <c r="J52" s="2664"/>
      <c r="K52" s="2662"/>
      <c r="L52" s="2662"/>
      <c r="M52" s="2662"/>
      <c r="N52" s="1754"/>
      <c r="O52" s="1754"/>
      <c r="P52" s="1754"/>
      <c r="Q52" s="1754"/>
      <c r="R52" s="1754"/>
    </row>
    <row r="53" spans="1:22" s="1927" customFormat="1">
      <c r="A53" s="1754"/>
      <c r="B53" s="1754"/>
      <c r="C53" s="1754"/>
      <c r="D53" s="1754"/>
      <c r="E53" s="1754"/>
      <c r="F53" s="1179"/>
      <c r="G53" s="1754"/>
      <c r="H53" s="1754"/>
      <c r="I53" s="1754"/>
      <c r="J53" s="2664"/>
      <c r="K53" s="2662"/>
      <c r="L53" s="2662"/>
      <c r="M53" s="2662"/>
      <c r="N53" s="1754"/>
      <c r="O53" s="1754"/>
      <c r="P53" s="1754"/>
      <c r="Q53" s="1754"/>
      <c r="R53" s="1754"/>
    </row>
    <row r="54" spans="1:22" s="1927" customFormat="1">
      <c r="A54" s="1754"/>
      <c r="B54" s="1754"/>
      <c r="C54" s="1754"/>
      <c r="D54" s="1754"/>
      <c r="E54" s="1754"/>
      <c r="F54" s="1179"/>
      <c r="G54" s="1754"/>
      <c r="H54" s="1754"/>
      <c r="I54" s="1754"/>
      <c r="J54" s="2664"/>
      <c r="K54" s="2662"/>
      <c r="L54" s="2662"/>
      <c r="M54" s="2662"/>
      <c r="N54" s="1754"/>
      <c r="O54" s="1754"/>
      <c r="P54" s="1754"/>
      <c r="Q54" s="1754"/>
      <c r="R54" s="1754"/>
    </row>
    <row r="55" spans="1:22" s="1927" customFormat="1">
      <c r="A55" s="1754"/>
      <c r="B55" s="1754"/>
      <c r="C55" s="1754"/>
      <c r="D55" s="1754"/>
      <c r="E55" s="1754"/>
      <c r="F55" s="1179"/>
      <c r="G55" s="1754"/>
      <c r="H55" s="1754"/>
      <c r="I55" s="1754"/>
      <c r="J55" s="2664"/>
      <c r="K55" s="2662"/>
      <c r="L55" s="2662"/>
      <c r="M55" s="2662"/>
      <c r="N55" s="1754"/>
      <c r="O55" s="1754"/>
      <c r="P55" s="1754"/>
      <c r="Q55" s="1754"/>
      <c r="R55" s="1754"/>
    </row>
    <row r="56" spans="1:22" s="1927" customFormat="1">
      <c r="A56" s="1754"/>
      <c r="B56" s="1754"/>
      <c r="C56" s="1754"/>
      <c r="D56" s="1754"/>
      <c r="E56" s="1754"/>
      <c r="F56" s="1179"/>
      <c r="G56" s="1754"/>
      <c r="H56" s="1754"/>
      <c r="I56" s="1754"/>
      <c r="J56" s="2664"/>
      <c r="K56" s="2662"/>
      <c r="L56" s="2662"/>
      <c r="M56" s="2662"/>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4" sqref="L24"/>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3.375" style="1757" bestFit="1"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6" t="s">
        <v>1753</v>
      </c>
      <c r="AZ2" s="1177"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f>9096.61+9546.78</f>
        <v>18643.39</v>
      </c>
      <c r="B3" s="14">
        <f>IF(C3="否",G5-AT5,G5)</f>
        <v>160498.87</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8"/>
      <c r="AZ3" s="1179"/>
      <c r="BA3" s="1180"/>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160498.87</v>
      </c>
      <c r="H5" s="16">
        <f t="shared" ref="H5:AT5" si="0">SUM(H13:H656)</f>
        <v>160498.87</v>
      </c>
      <c r="I5" s="16">
        <f t="shared" si="0"/>
        <v>45131.9</v>
      </c>
      <c r="J5" s="16">
        <f t="shared" si="0"/>
        <v>0</v>
      </c>
      <c r="K5" s="16">
        <f t="shared" si="0"/>
        <v>66464.97</v>
      </c>
      <c r="L5" s="16">
        <f t="shared" si="0"/>
        <v>0</v>
      </c>
      <c r="M5" s="16">
        <f t="shared" si="0"/>
        <v>41869.699999999997</v>
      </c>
      <c r="N5" s="16">
        <f t="shared" si="0"/>
        <v>0</v>
      </c>
      <c r="O5" s="16">
        <f t="shared" si="0"/>
        <v>7032.3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160498.87</v>
      </c>
      <c r="BA5" s="18">
        <f t="shared" si="1"/>
        <v>160498.87</v>
      </c>
      <c r="BB5" s="18">
        <f t="shared" si="1"/>
        <v>45131.9</v>
      </c>
      <c r="BC5" s="18">
        <f t="shared" si="1"/>
        <v>66464.97</v>
      </c>
      <c r="BD5" s="18">
        <f t="shared" si="1"/>
        <v>41869.699999999997</v>
      </c>
      <c r="BE5" s="18">
        <f t="shared" si="1"/>
        <v>7032.3</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18643.399999999998</v>
      </c>
      <c r="F6" s="16" t="s">
        <v>1</v>
      </c>
      <c r="G6" s="16" t="s">
        <v>2</v>
      </c>
      <c r="H6" s="20">
        <f>SUMIF(I$12:AB$12,"总值",I6:AB6)</f>
        <v>18643.399999999998</v>
      </c>
      <c r="I6" s="16">
        <f t="shared" ref="I6:AB6" si="2">ROUND($A$3*I5/$B$3,2)</f>
        <v>5242.4799999999996</v>
      </c>
      <c r="J6" s="16">
        <f t="shared" si="2"/>
        <v>0</v>
      </c>
      <c r="K6" s="16">
        <f t="shared" si="2"/>
        <v>7720.51</v>
      </c>
      <c r="L6" s="16">
        <f t="shared" si="2"/>
        <v>0</v>
      </c>
      <c r="M6" s="16">
        <f t="shared" si="2"/>
        <v>4863.54</v>
      </c>
      <c r="N6" s="16">
        <f t="shared" si="2"/>
        <v>0</v>
      </c>
      <c r="O6" s="16">
        <f t="shared" si="2"/>
        <v>816.87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18643.39</v>
      </c>
      <c r="AZ6" s="16" t="s">
        <v>3</v>
      </c>
      <c r="BA6" s="16">
        <f>ROUND($AY$6*BA5/$AZ$5,2)</f>
        <v>18643.39</v>
      </c>
      <c r="BB6" s="16">
        <f>ROUND($AY$6*BB5/$AZ$5,2)</f>
        <v>5242.4799999999996</v>
      </c>
      <c r="BC6" s="16">
        <f t="shared" ref="BC6:BH6" si="4">ROUND($AY$6*BC5/$AZ$5,2)</f>
        <v>7720.51</v>
      </c>
      <c r="BD6" s="16">
        <f t="shared" si="4"/>
        <v>4863.54</v>
      </c>
      <c r="BE6" s="16">
        <f t="shared" si="4"/>
        <v>816.87</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5" t="s">
        <v>1772</v>
      </c>
      <c r="AD8" s="1784"/>
      <c r="AE8" s="1776"/>
      <c r="AF8" s="1543"/>
      <c r="AG8" s="1543"/>
      <c r="AH8" s="1543"/>
      <c r="AI8" s="1543"/>
      <c r="AJ8" s="1543"/>
      <c r="AK8" s="1543"/>
      <c r="AL8" s="1543"/>
      <c r="AM8" s="1543"/>
      <c r="AN8" s="1543"/>
      <c r="AO8" s="1543"/>
      <c r="AP8" s="1543"/>
      <c r="AQ8" s="1543"/>
      <c r="AR8" s="1543"/>
      <c r="AS8" s="1543"/>
      <c r="AT8" s="1199" t="s">
        <v>1773</v>
      </c>
      <c r="AU8" s="1778" t="s">
        <v>1774</v>
      </c>
      <c r="AV8" s="1199"/>
      <c r="AW8" s="1761"/>
      <c r="AX8" s="1199"/>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199"/>
      <c r="H9" s="1786" t="s">
        <v>1777</v>
      </c>
      <c r="I9" s="1787" t="s">
        <v>3066</v>
      </c>
      <c r="J9" s="915"/>
      <c r="K9" s="1787" t="s">
        <v>3066</v>
      </c>
      <c r="L9" s="915"/>
      <c r="M9" s="1787" t="s">
        <v>3064</v>
      </c>
      <c r="N9" s="915"/>
      <c r="O9" s="1787" t="s">
        <v>3064</v>
      </c>
      <c r="P9" s="915"/>
      <c r="Q9" s="1787"/>
      <c r="R9" s="915"/>
      <c r="S9" s="1787"/>
      <c r="T9" s="915"/>
      <c r="U9" s="1787"/>
      <c r="V9" s="915"/>
      <c r="W9" s="1787"/>
      <c r="X9" s="1788"/>
      <c r="Y9" s="1787"/>
      <c r="Z9" s="915"/>
      <c r="AA9" s="1787"/>
      <c r="AB9" s="915"/>
      <c r="AC9" s="1779" t="s">
        <v>1777</v>
      </c>
      <c r="AD9" s="15" t="s">
        <v>1778</v>
      </c>
      <c r="AE9" s="1205"/>
      <c r="AF9" s="15" t="s">
        <v>1779</v>
      </c>
      <c r="AG9" s="1205"/>
      <c r="AH9" s="15" t="s">
        <v>1778</v>
      </c>
      <c r="AI9" s="1205"/>
      <c r="AJ9" s="15" t="s">
        <v>1779</v>
      </c>
      <c r="AK9" s="1205"/>
      <c r="AL9" s="15" t="s">
        <v>1778</v>
      </c>
      <c r="AM9" s="1205"/>
      <c r="AN9" s="15" t="s">
        <v>1779</v>
      </c>
      <c r="AO9" s="1205"/>
      <c r="AP9" s="15" t="s">
        <v>1778</v>
      </c>
      <c r="AQ9" s="1205"/>
      <c r="AR9" s="15" t="s">
        <v>1779</v>
      </c>
      <c r="AS9" s="1789"/>
      <c r="AT9" s="1778"/>
      <c r="AU9" s="1778" t="s">
        <v>1780</v>
      </c>
      <c r="AV9" s="1199"/>
      <c r="AW9" s="1761"/>
      <c r="AX9" s="1199"/>
      <c r="AY9" s="28"/>
      <c r="AZ9" s="28" t="s">
        <v>1770</v>
      </c>
      <c r="BA9" s="1790" t="s">
        <v>1781</v>
      </c>
      <c r="BB9" s="1791"/>
      <c r="BC9" s="1245"/>
      <c r="BD9" s="1245"/>
      <c r="BE9" s="1245"/>
      <c r="BF9" s="1245"/>
      <c r="BG9" s="1245"/>
      <c r="BH9" s="1245"/>
      <c r="BI9" s="1245"/>
      <c r="BJ9" s="1245"/>
      <c r="BK9" s="1792"/>
      <c r="BL9" s="15" t="s">
        <v>1782</v>
      </c>
      <c r="BM9" s="1543"/>
      <c r="BN9" s="1781"/>
      <c r="BO9" s="1543"/>
      <c r="BP9" s="1543"/>
      <c r="BQ9" s="1543"/>
      <c r="BR9" s="1543"/>
      <c r="BS9" s="1543"/>
      <c r="BT9" s="26"/>
    </row>
    <row r="10" spans="1:72" s="1785" customFormat="1" ht="12.75">
      <c r="A10" s="1778"/>
      <c r="B10" s="1778"/>
      <c r="C10" s="1778"/>
      <c r="D10" s="1778"/>
      <c r="E10" s="1778"/>
      <c r="F10" s="1778"/>
      <c r="G10" s="1199"/>
      <c r="H10" s="28"/>
      <c r="I10" s="1787" t="s">
        <v>27</v>
      </c>
      <c r="J10" s="915"/>
      <c r="K10" s="1787" t="s">
        <v>27</v>
      </c>
      <c r="L10" s="915"/>
      <c r="M10" s="1793" t="s">
        <v>3067</v>
      </c>
      <c r="N10" s="915"/>
      <c r="O10" s="1793" t="s">
        <v>1343</v>
      </c>
      <c r="P10" s="915"/>
      <c r="Q10" s="1793"/>
      <c r="R10" s="915"/>
      <c r="S10" s="1793"/>
      <c r="T10" s="915"/>
      <c r="U10" s="1793"/>
      <c r="V10" s="915"/>
      <c r="W10" s="1793"/>
      <c r="X10" s="915"/>
      <c r="Y10" s="1793"/>
      <c r="Z10" s="915"/>
      <c r="AA10" s="1793"/>
      <c r="AB10" s="915"/>
      <c r="AC10" s="1199"/>
      <c r="AD10" s="15" t="s">
        <v>1783</v>
      </c>
      <c r="AE10" s="1794"/>
      <c r="AF10" s="15" t="s">
        <v>1783</v>
      </c>
      <c r="AG10" s="1794"/>
      <c r="AH10" s="15" t="s">
        <v>1784</v>
      </c>
      <c r="AI10" s="1794"/>
      <c r="AJ10" s="15" t="s">
        <v>1784</v>
      </c>
      <c r="AK10" s="1794"/>
      <c r="AL10" s="15" t="s">
        <v>1785</v>
      </c>
      <c r="AM10" s="1205"/>
      <c r="AN10" s="15" t="s">
        <v>1785</v>
      </c>
      <c r="AO10" s="1205"/>
      <c r="AP10" s="15" t="s">
        <v>1786</v>
      </c>
      <c r="AQ10" s="1205"/>
      <c r="AR10" s="15" t="s">
        <v>1786</v>
      </c>
      <c r="AS10" s="1205"/>
      <c r="AT10" s="1778"/>
      <c r="AU10" s="1778"/>
      <c r="AV10" s="1199"/>
      <c r="AW10" s="1761"/>
      <c r="AX10" s="1199"/>
      <c r="AY10" s="28"/>
      <c r="AZ10" s="28"/>
      <c r="BA10" s="1795" t="s">
        <v>1777</v>
      </c>
      <c r="BB10" s="1796" t="str">
        <f>I9</f>
        <v>地上</v>
      </c>
      <c r="BC10" s="29" t="str">
        <f>K9</f>
        <v>地上</v>
      </c>
      <c r="BD10" s="29" t="str">
        <f>M9</f>
        <v>地下</v>
      </c>
      <c r="BE10" s="29" t="str">
        <f>O9</f>
        <v>地下</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199"/>
      <c r="H11" s="1795"/>
      <c r="I11" s="1798" t="s">
        <v>3093</v>
      </c>
      <c r="J11" s="1799"/>
      <c r="K11" s="1798" t="s">
        <v>3096</v>
      </c>
      <c r="L11" s="1799"/>
      <c r="M11" s="1798" t="s">
        <v>3067</v>
      </c>
      <c r="N11" s="1799"/>
      <c r="O11" s="1798"/>
      <c r="P11" s="1799"/>
      <c r="Q11" s="1798"/>
      <c r="R11" s="1799"/>
      <c r="S11" s="1798"/>
      <c r="T11" s="1799"/>
      <c r="U11" s="1798"/>
      <c r="V11" s="1799"/>
      <c r="W11" s="1798"/>
      <c r="X11" s="1799"/>
      <c r="Y11" s="1798"/>
      <c r="Z11" s="1799"/>
      <c r="AA11" s="1798"/>
      <c r="AB11" s="1799"/>
      <c r="AC11" s="1199"/>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199"/>
      <c r="AW11" s="1761"/>
      <c r="AX11" s="1199"/>
      <c r="AY11" s="28"/>
      <c r="AZ11" s="28"/>
      <c r="BA11" s="28"/>
      <c r="BB11" s="1783" t="str">
        <f>I10</f>
        <v>办公</v>
      </c>
      <c r="BC11" s="1783" t="str">
        <f>K10</f>
        <v>办公</v>
      </c>
      <c r="BD11" s="1783" t="str">
        <f>M10</f>
        <v>车库</v>
      </c>
      <c r="BE11" s="1783" t="str">
        <f>O10</f>
        <v>商业</v>
      </c>
      <c r="BF11" s="1783">
        <f>Q10</f>
        <v>0</v>
      </c>
      <c r="BG11" s="1783">
        <f>S10</f>
        <v>0</v>
      </c>
      <c r="BH11" s="1783">
        <f>U10</f>
        <v>0</v>
      </c>
      <c r="BI11" s="1783">
        <f>W10</f>
        <v>0</v>
      </c>
      <c r="BJ11" s="1783">
        <f>Y10</f>
        <v>0</v>
      </c>
      <c r="BK11" s="1783">
        <f>AA10</f>
        <v>0</v>
      </c>
      <c r="BL11" s="1199"/>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t="str">
        <f>I11</f>
        <v>B办公楼</v>
      </c>
      <c r="BC12" s="1808" t="str">
        <f>K11</f>
        <v>A、C、D办公楼</v>
      </c>
      <c r="BD12" s="1808" t="str">
        <f>M11</f>
        <v>车库</v>
      </c>
      <c r="BE12" s="1783">
        <f>O11</f>
        <v>0</v>
      </c>
      <c r="BF12" s="1783">
        <f>Q11</f>
        <v>0</v>
      </c>
      <c r="BG12" s="1783">
        <f>S11</f>
        <v>0</v>
      </c>
      <c r="BH12" s="1783">
        <f>U11</f>
        <v>0</v>
      </c>
      <c r="BI12" s="1783">
        <f>W11</f>
        <v>0</v>
      </c>
      <c r="BJ12" s="1783">
        <f>Y11</f>
        <v>0</v>
      </c>
      <c r="BK12" s="1783">
        <f>AA11</f>
        <v>0</v>
      </c>
      <c r="BL12" s="1199"/>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79"/>
      <c r="B13" s="1179"/>
      <c r="C13" s="1179"/>
      <c r="D13" s="1809" t="s">
        <v>3065</v>
      </c>
      <c r="E13" s="16">
        <f>IF($C$3="是",ROUND($A$3*G13/$B$3,2),ROUND($A$3*(G13-AT13)/$B$3,2))</f>
        <v>18643.39</v>
      </c>
      <c r="F13" s="32"/>
      <c r="G13" s="33">
        <f>H13+AC13+AT13</f>
        <v>160498.87</v>
      </c>
      <c r="H13" s="20">
        <f>SUMIF(I$12:AB$12,"总值",I13:AB13)</f>
        <v>160498.87</v>
      </c>
      <c r="I13" s="1810">
        <v>45131.9</v>
      </c>
      <c r="J13" s="1810"/>
      <c r="K13" s="1810">
        <f>30239.69+30239.69+5985.59</f>
        <v>66464.97</v>
      </c>
      <c r="L13" s="1810"/>
      <c r="M13" s="1810">
        <f>61923-O13-13021</f>
        <v>41869.699999999997</v>
      </c>
      <c r="N13" s="1810"/>
      <c r="O13" s="1810">
        <v>7032.3</v>
      </c>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18643.39</v>
      </c>
      <c r="AZ13" s="16">
        <f>BA13+BL13</f>
        <v>160498.87</v>
      </c>
      <c r="BA13" s="16">
        <f>SUM(BB13:BK13)</f>
        <v>160498.87</v>
      </c>
      <c r="BB13" s="16">
        <f>IF($D13="是",I13-J13,0)</f>
        <v>45131.9</v>
      </c>
      <c r="BC13" s="16">
        <f>IF($D13="是",K13-L13,0)</f>
        <v>66464.97</v>
      </c>
      <c r="BD13" s="16">
        <f>IF($D13="是",M13-N13,0)</f>
        <v>41869.699999999997</v>
      </c>
      <c r="BE13" s="16">
        <f>IF($D13="是",O13-P13,0)</f>
        <v>7032.3</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79"/>
      <c r="B14" s="1179"/>
      <c r="C14" s="1754"/>
      <c r="D14" s="1809"/>
      <c r="E14" s="16">
        <f>IF($C$3="是",ROUND($A$3*G14/$B$3,2),ROUND($A$3*(G14-AT14)/$B$3,2))</f>
        <v>0</v>
      </c>
      <c r="F14" s="32"/>
      <c r="G14" s="33">
        <f>H14+AC14+AT14</f>
        <v>0</v>
      </c>
      <c r="H14" s="20">
        <f>SUMIF(I$12:AB$12,"总值",I14:AB14)</f>
        <v>0</v>
      </c>
      <c r="I14" s="3074"/>
      <c r="J14" s="1810"/>
      <c r="K14" s="1810"/>
      <c r="L14" s="1810"/>
      <c r="M14" s="3074"/>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79"/>
      <c r="B15" s="1179"/>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79"/>
      <c r="B16" s="1179"/>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79"/>
      <c r="B17" s="1179"/>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075"/>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IF($D20="是",K21-L20,0)</f>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IF($D21="是",#REF!-L21,0)</f>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9" t="s">
        <v>0</v>
      </c>
      <c r="B1" s="3159" t="s">
        <v>4</v>
      </c>
      <c r="C1" s="3159" t="s">
        <v>5</v>
      </c>
      <c r="D1" s="3160" t="s">
        <v>53</v>
      </c>
      <c r="E1" s="3160" t="s">
        <v>54</v>
      </c>
      <c r="F1" s="3160"/>
      <c r="G1" s="3160"/>
      <c r="H1" s="3160"/>
      <c r="I1" s="3160"/>
      <c r="J1" s="3160"/>
      <c r="K1" s="3160"/>
      <c r="L1" s="3160"/>
      <c r="M1" s="3160"/>
    </row>
    <row r="2" spans="1:13" ht="27" customHeight="1">
      <c r="A2" s="3159"/>
      <c r="B2" s="3159"/>
      <c r="C2" s="3159"/>
      <c r="D2" s="3160"/>
      <c r="E2" s="3160" t="s">
        <v>37</v>
      </c>
      <c r="F2" s="3160" t="s">
        <v>38</v>
      </c>
      <c r="G2" s="3160"/>
      <c r="H2" s="3160"/>
      <c r="I2" s="3160"/>
      <c r="J2" s="3160" t="s">
        <v>39</v>
      </c>
      <c r="K2" s="3160"/>
      <c r="L2" s="3160"/>
      <c r="M2" s="3160"/>
    </row>
    <row r="3" spans="1:13" ht="28.5">
      <c r="A3" s="3159"/>
      <c r="B3" s="3159"/>
      <c r="C3" s="3159"/>
      <c r="D3" s="3160"/>
      <c r="E3" s="31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0" t="s">
        <v>55</v>
      </c>
      <c r="B9" s="3160"/>
      <c r="C9" s="31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7" sqref="M7"/>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4"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298"/>
      <c r="C1" s="1298"/>
      <c r="D1" s="1298"/>
      <c r="E1" s="1298"/>
      <c r="F1" s="1298"/>
      <c r="G1" s="1298"/>
      <c r="H1" s="1298"/>
      <c r="I1" s="1298"/>
      <c r="J1" s="1298"/>
      <c r="K1" s="1298"/>
      <c r="L1" s="1298"/>
      <c r="M1" s="1298"/>
      <c r="N1" s="1298"/>
      <c r="O1" s="1298"/>
      <c r="P1" s="1298"/>
    </row>
    <row r="2" spans="1:16" ht="15">
      <c r="A2" s="3170" t="s">
        <v>1817</v>
      </c>
      <c r="B2" s="3170"/>
      <c r="C2" s="3170"/>
      <c r="D2" s="901" t="s">
        <v>1793</v>
      </c>
      <c r="E2" s="1823" t="s">
        <v>1794</v>
      </c>
      <c r="F2" s="2884"/>
      <c r="G2" s="2875"/>
      <c r="H2" s="2876"/>
      <c r="I2" s="2546" t="s">
        <v>1818</v>
      </c>
      <c r="J2" s="2884"/>
      <c r="K2" s="2884"/>
      <c r="L2" s="2884"/>
      <c r="M2" s="2884"/>
      <c r="N2" s="2886"/>
      <c r="O2" s="2884"/>
      <c r="P2" s="2884"/>
    </row>
    <row r="3" spans="1:16" ht="15.75" thickBot="1">
      <c r="A3" s="3171" t="s">
        <v>1791</v>
      </c>
      <c r="B3" s="3171"/>
      <c r="C3" s="3171"/>
      <c r="D3" s="46">
        <f>'数据-基础表'!AY6</f>
        <v>18643.39</v>
      </c>
      <c r="E3" s="46">
        <f>'数据-基础表'!AZ5</f>
        <v>160498.87</v>
      </c>
      <c r="F3" s="2884"/>
      <c r="G3" s="1304"/>
      <c r="H3" s="1154" t="s">
        <v>1792</v>
      </c>
      <c r="I3" s="961">
        <f>ROUND('数据-基础表'!B3/'数据-基础表'!A3,2)</f>
        <v>8.61</v>
      </c>
      <c r="J3" s="2884"/>
      <c r="K3" s="2884"/>
      <c r="L3" s="2884"/>
      <c r="M3" s="2884"/>
      <c r="N3" s="2886"/>
      <c r="O3" s="2884"/>
      <c r="P3" s="2884"/>
    </row>
    <row r="4" spans="1:16" ht="15">
      <c r="A4" s="3172"/>
      <c r="B4" s="3173"/>
      <c r="C4" s="3174"/>
      <c r="D4" s="1825" t="s">
        <v>1793</v>
      </c>
      <c r="E4" s="1826" t="s">
        <v>1794</v>
      </c>
      <c r="F4" s="2884"/>
      <c r="G4" s="2877" t="s">
        <v>1819</v>
      </c>
      <c r="H4" s="1154" t="s">
        <v>1799</v>
      </c>
      <c r="I4" s="961">
        <f>ROUND(SUMIF('数据-基础表'!I9:AS9,"地上",'数据-基础表'!I5:AS5)/'数据-基础表'!A3,2)</f>
        <v>5.99</v>
      </c>
      <c r="J4" s="2884"/>
      <c r="K4" s="2884"/>
      <c r="L4" s="2884"/>
      <c r="M4" s="2884"/>
      <c r="N4" s="2886"/>
      <c r="O4" s="2884"/>
      <c r="P4" s="2884"/>
    </row>
    <row r="5" spans="1:16">
      <c r="A5" s="47" t="s">
        <v>1795</v>
      </c>
      <c r="B5" s="3175" t="s">
        <v>1796</v>
      </c>
      <c r="C5" s="3175"/>
      <c r="D5" s="48">
        <f>ROUND($D$3*E5/$E$3,2)</f>
        <v>0</v>
      </c>
      <c r="E5" s="49">
        <f>SUMIF('数据-基础表'!$11:$11,"住宅",'数据-基础表'!$5:$5)</f>
        <v>0</v>
      </c>
      <c r="F5" s="2884"/>
      <c r="G5" s="1304"/>
      <c r="H5" s="1154" t="s">
        <v>1792</v>
      </c>
      <c r="I5" s="961">
        <f>ROUND(E31/D31,2)</f>
        <v>8.61</v>
      </c>
      <c r="J5" s="2884"/>
      <c r="K5" s="2884"/>
      <c r="L5" s="2884"/>
      <c r="M5" s="2884"/>
      <c r="N5" s="2884"/>
      <c r="O5" s="2884"/>
      <c r="P5" s="2884"/>
    </row>
    <row r="6" spans="1:16" ht="15" thickBot="1">
      <c r="A6" s="1828"/>
      <c r="B6" s="3175" t="s">
        <v>1797</v>
      </c>
      <c r="C6" s="3175"/>
      <c r="D6" s="48">
        <f>ROUND($D$3*E6/$E$3,2)</f>
        <v>18643.39</v>
      </c>
      <c r="E6" s="49">
        <f>E3-E5</f>
        <v>160498.87</v>
      </c>
      <c r="F6" s="2884"/>
      <c r="G6" s="2878" t="s">
        <v>1798</v>
      </c>
      <c r="H6" s="1305" t="s">
        <v>1799</v>
      </c>
      <c r="I6" s="2879">
        <f>ROUND(F31/D31,2)</f>
        <v>5.99</v>
      </c>
      <c r="J6" s="2884"/>
      <c r="K6" s="2884"/>
      <c r="L6" s="2884"/>
      <c r="M6" s="2884"/>
      <c r="N6" s="2884"/>
      <c r="O6" s="2884"/>
      <c r="P6" s="2884"/>
    </row>
    <row r="7" spans="1:16" ht="15.75" thickBot="1">
      <c r="A7" s="3167"/>
      <c r="B7" s="3168"/>
      <c r="C7" s="3169"/>
      <c r="D7" s="1825" t="s">
        <v>1793</v>
      </c>
      <c r="E7" s="1829"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12962.98</v>
      </c>
      <c r="E8" s="51">
        <f>SUMIF('数据-基础表'!BB10:BK10,"地上",'数据-基础表'!BB5:BK5)</f>
        <v>111596.87</v>
      </c>
      <c r="F8" s="2884"/>
      <c r="G8" s="2885"/>
      <c r="H8" s="2885"/>
      <c r="I8" s="2884"/>
      <c r="J8" s="2884"/>
      <c r="K8" s="2884"/>
      <c r="L8" s="2884"/>
      <c r="M8" s="2884"/>
      <c r="N8" s="2884"/>
      <c r="O8" s="2884"/>
      <c r="P8" s="2884"/>
    </row>
    <row r="9" spans="1:16">
      <c r="A9" s="1830"/>
      <c r="B9" s="1831"/>
      <c r="C9" s="48" t="s">
        <v>1805</v>
      </c>
      <c r="D9" s="48">
        <f t="shared" si="0"/>
        <v>0</v>
      </c>
      <c r="E9" s="52">
        <v>0</v>
      </c>
      <c r="F9" s="2884"/>
      <c r="G9" s="2885"/>
      <c r="H9" s="2885"/>
      <c r="I9" s="2884"/>
      <c r="J9" s="2884"/>
      <c r="K9" s="2884"/>
      <c r="L9" s="2884"/>
      <c r="M9" s="2884"/>
      <c r="N9" s="2884"/>
      <c r="O9" s="2884"/>
      <c r="P9" s="2884"/>
    </row>
    <row r="10" spans="1:16">
      <c r="A10" s="1830"/>
      <c r="B10" s="1831"/>
      <c r="C10" s="48" t="s">
        <v>1814</v>
      </c>
      <c r="D10" s="48">
        <f t="shared" si="0"/>
        <v>816.87</v>
      </c>
      <c r="E10" s="51">
        <f>SUMPRODUCT(('数据-基础表'!BB10:BK10="地下")*('数据-基础表'!BB11:BK11="商业")*('数据-基础表'!BB5:BK5))</f>
        <v>7032.3</v>
      </c>
      <c r="F10" s="2884"/>
      <c r="G10" s="2885"/>
      <c r="H10" s="2885"/>
      <c r="I10" s="2884"/>
      <c r="J10" s="2884"/>
      <c r="K10" s="2884"/>
      <c r="L10" s="2884"/>
      <c r="M10" s="2884"/>
      <c r="N10" s="2884"/>
      <c r="O10" s="2884"/>
      <c r="P10" s="2884"/>
    </row>
    <row r="11" spans="1:16">
      <c r="A11" s="1830"/>
      <c r="B11" s="1831"/>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0"/>
      <c r="B12" s="1831"/>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0"/>
      <c r="B13" s="1831"/>
      <c r="C13" s="48" t="s">
        <v>1808</v>
      </c>
      <c r="D13" s="48">
        <f t="shared" si="0"/>
        <v>4863.54</v>
      </c>
      <c r="E13" s="51">
        <f>SUMPRODUCT(('数据-基础表'!BB10:BK10="地下")*('数据-基础表'!BB11:BK11="车库")*('数据-基础表'!BB5:BK5))</f>
        <v>41869.699999999997</v>
      </c>
      <c r="F13" s="2884"/>
      <c r="G13" s="2885"/>
      <c r="H13" s="2885"/>
      <c r="I13" s="2884"/>
      <c r="J13" s="2884"/>
      <c r="K13" s="2884"/>
      <c r="L13" s="2884"/>
      <c r="M13" s="2884"/>
      <c r="N13" s="2884"/>
      <c r="O13" s="2884"/>
      <c r="P13" s="2884"/>
    </row>
    <row r="14" spans="1:16">
      <c r="A14" s="1830"/>
      <c r="B14" s="1831"/>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0"/>
      <c r="B15" s="1831"/>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8"/>
      <c r="B16" s="1831"/>
      <c r="C16" s="50" t="s">
        <v>1809</v>
      </c>
      <c r="D16" s="50">
        <f>SUM(D8:D15)</f>
        <v>18643.39</v>
      </c>
      <c r="E16" s="53">
        <f>SUM(E8:E15)</f>
        <v>160498.87</v>
      </c>
      <c r="F16" s="2884"/>
      <c r="G16" s="2885"/>
      <c r="H16" s="1832" t="s">
        <v>1821</v>
      </c>
      <c r="I16" s="1833"/>
      <c r="J16" s="1298"/>
      <c r="K16" s="3164" t="s">
        <v>1821</v>
      </c>
      <c r="L16" s="3165"/>
      <c r="M16" s="3165"/>
      <c r="N16" s="3165"/>
      <c r="O16" s="3165"/>
      <c r="P16" s="3166"/>
    </row>
    <row r="17" spans="1:19" ht="15">
      <c r="A17" s="1834" t="s">
        <v>1822</v>
      </c>
      <c r="B17" s="1835" t="s">
        <v>1823</v>
      </c>
      <c r="C17" s="1836" t="s">
        <v>1824</v>
      </c>
      <c r="D17" s="1837" t="s">
        <v>1812</v>
      </c>
      <c r="E17" s="1838" t="s">
        <v>1813</v>
      </c>
      <c r="F17" s="1839"/>
      <c r="G17" s="1840"/>
      <c r="H17" s="1841" t="s">
        <v>1825</v>
      </c>
      <c r="I17" s="1842" t="s">
        <v>1810</v>
      </c>
      <c r="J17" s="1298"/>
      <c r="K17" s="3161" t="s">
        <v>1826</v>
      </c>
      <c r="L17" s="3162"/>
      <c r="M17" s="3163"/>
      <c r="N17" s="3161" t="s">
        <v>1827</v>
      </c>
      <c r="O17" s="3162"/>
      <c r="P17" s="3163"/>
      <c r="R17" s="1824" t="s">
        <v>1828</v>
      </c>
      <c r="S17" s="60"/>
    </row>
    <row r="18" spans="1:19" ht="15">
      <c r="A18" s="1830"/>
      <c r="B18" s="1843"/>
      <c r="C18" s="1844"/>
      <c r="D18" s="1845"/>
      <c r="E18" s="1846" t="s">
        <v>1829</v>
      </c>
      <c r="F18" s="1847" t="s">
        <v>1830</v>
      </c>
      <c r="G18" s="1848" t="s">
        <v>1831</v>
      </c>
      <c r="H18" s="1169" t="s">
        <v>1832</v>
      </c>
      <c r="I18" s="1849" t="s">
        <v>1833</v>
      </c>
      <c r="J18" s="1298"/>
      <c r="K18" s="1169" t="s">
        <v>1834</v>
      </c>
      <c r="L18" s="1850" t="s">
        <v>1835</v>
      </c>
      <c r="M18" s="961" t="s">
        <v>1836</v>
      </c>
      <c r="N18" s="1169" t="s">
        <v>1834</v>
      </c>
      <c r="O18" s="1850" t="s">
        <v>1835</v>
      </c>
      <c r="P18" s="961" t="s">
        <v>1836</v>
      </c>
      <c r="R18" s="1154" t="s">
        <v>1837</v>
      </c>
      <c r="S18" s="1154" t="s">
        <v>1838</v>
      </c>
    </row>
    <row r="19" spans="1:19">
      <c r="A19" s="1851"/>
      <c r="B19" s="50" t="s">
        <v>1811</v>
      </c>
      <c r="C19" s="1852" t="str">
        <f>'数据-基础表'!I11</f>
        <v>B办公楼</v>
      </c>
      <c r="D19" s="48">
        <f>ROUND($D$3*E19/$E$3,2)</f>
        <v>5242.4799999999996</v>
      </c>
      <c r="E19" s="56">
        <f t="shared" ref="E19:E26" si="1">SUM(F19:G19)</f>
        <v>45131.9</v>
      </c>
      <c r="F19" s="3024">
        <f>'数据-基础表'!I13</f>
        <v>45131.9</v>
      </c>
      <c r="G19" s="3025"/>
      <c r="H19" s="677">
        <f>ROUND($D$3*I19/$E$3,2)</f>
        <v>0</v>
      </c>
      <c r="I19" s="51">
        <f t="shared" ref="I19:I26" si="2">IF($I$17="自定义",P19,M19)</f>
        <v>0</v>
      </c>
      <c r="J19" s="1298"/>
      <c r="K19" s="1297">
        <f t="shared" ref="K19:K26" si="3">ROUND(E$28*E19/E$27,2)</f>
        <v>0</v>
      </c>
      <c r="L19" s="1154">
        <f t="shared" ref="L19:L26" si="4">ROUND(IF(COUNTIF(C19,"*住宅*")&gt;0,E$29*E19/E$32,0),2)</f>
        <v>0</v>
      </c>
      <c r="M19" s="1309">
        <f>K19+L19</f>
        <v>0</v>
      </c>
      <c r="N19" s="1853"/>
      <c r="O19" s="1854"/>
      <c r="P19" s="1309">
        <f>N19+O19</f>
        <v>0</v>
      </c>
      <c r="R19" s="1154">
        <f t="shared" ref="R19:S26" si="5">D19+H19</f>
        <v>5242.4799999999996</v>
      </c>
      <c r="S19" s="1155">
        <f t="shared" si="5"/>
        <v>45131.9</v>
      </c>
    </row>
    <row r="20" spans="1:19">
      <c r="A20" s="1855"/>
      <c r="B20" s="50" t="s">
        <v>1839</v>
      </c>
      <c r="C20" s="1852" t="str">
        <f>'数据-基础表'!K11</f>
        <v>A、C、D办公楼</v>
      </c>
      <c r="D20" s="48">
        <f t="shared" ref="D20:D26" si="6">ROUND($D$3*E20/$E$3,2)</f>
        <v>7720.51</v>
      </c>
      <c r="E20" s="56">
        <f t="shared" si="1"/>
        <v>66464.97</v>
      </c>
      <c r="F20" s="3024">
        <f>'数据-基础表'!K13</f>
        <v>66464.97</v>
      </c>
      <c r="G20" s="3025"/>
      <c r="H20" s="677">
        <f t="shared" ref="H20:H26" si="7">ROUND($D$3*I20/$E$3,2)</f>
        <v>0</v>
      </c>
      <c r="I20" s="51">
        <f t="shared" si="2"/>
        <v>0</v>
      </c>
      <c r="J20" s="1298"/>
      <c r="K20" s="1297">
        <f t="shared" si="3"/>
        <v>0</v>
      </c>
      <c r="L20" s="1154">
        <f t="shared" si="4"/>
        <v>0</v>
      </c>
      <c r="M20" s="1309">
        <f t="shared" ref="M20:M26" si="8">K20+L20</f>
        <v>0</v>
      </c>
      <c r="N20" s="1853"/>
      <c r="O20" s="1854"/>
      <c r="P20" s="1309">
        <f t="shared" ref="P20:P26" si="9">N20+O20</f>
        <v>0</v>
      </c>
      <c r="R20" s="1154">
        <f t="shared" si="5"/>
        <v>7720.51</v>
      </c>
      <c r="S20" s="1155">
        <f t="shared" si="5"/>
        <v>66464.97</v>
      </c>
    </row>
    <row r="21" spans="1:19">
      <c r="A21" s="1855"/>
      <c r="B21" s="50" t="s">
        <v>1839</v>
      </c>
      <c r="C21" s="1852" t="str">
        <f>'数据-基础表'!M11</f>
        <v>车库</v>
      </c>
      <c r="D21" s="48">
        <f t="shared" si="6"/>
        <v>4863.54</v>
      </c>
      <c r="E21" s="56">
        <f t="shared" si="1"/>
        <v>41869.699999999997</v>
      </c>
      <c r="F21" s="3024"/>
      <c r="G21" s="3025">
        <f>'数据-基础表'!M13</f>
        <v>41869.699999999997</v>
      </c>
      <c r="H21" s="677">
        <f t="shared" si="7"/>
        <v>0</v>
      </c>
      <c r="I21" s="51">
        <f t="shared" si="2"/>
        <v>0</v>
      </c>
      <c r="J21" s="1298"/>
      <c r="K21" s="1297">
        <f t="shared" si="3"/>
        <v>0</v>
      </c>
      <c r="L21" s="1154">
        <f t="shared" si="4"/>
        <v>0</v>
      </c>
      <c r="M21" s="1309">
        <f t="shared" si="8"/>
        <v>0</v>
      </c>
      <c r="N21" s="1853"/>
      <c r="O21" s="1854"/>
      <c r="P21" s="1309">
        <f t="shared" si="9"/>
        <v>0</v>
      </c>
      <c r="R21" s="1154">
        <f t="shared" si="5"/>
        <v>4863.54</v>
      </c>
      <c r="S21" s="1155">
        <f t="shared" si="5"/>
        <v>41869.699999999997</v>
      </c>
    </row>
    <row r="22" spans="1:19">
      <c r="A22" s="1855"/>
      <c r="B22" s="50" t="s">
        <v>1839</v>
      </c>
      <c r="C22" s="58" t="str">
        <f>'数据-基础表'!O10</f>
        <v>商业</v>
      </c>
      <c r="D22" s="48">
        <f t="shared" si="6"/>
        <v>816.87</v>
      </c>
      <c r="E22" s="56">
        <f t="shared" si="1"/>
        <v>7032.3</v>
      </c>
      <c r="F22" s="3026"/>
      <c r="G22" s="3027">
        <f>'数据-基础表'!O13</f>
        <v>7032.3</v>
      </c>
      <c r="H22" s="677">
        <f t="shared" si="7"/>
        <v>0</v>
      </c>
      <c r="I22" s="51">
        <f t="shared" si="2"/>
        <v>0</v>
      </c>
      <c r="J22" s="1298"/>
      <c r="K22" s="1297">
        <f t="shared" si="3"/>
        <v>0</v>
      </c>
      <c r="L22" s="1154">
        <f t="shared" si="4"/>
        <v>0</v>
      </c>
      <c r="M22" s="1309">
        <f t="shared" si="8"/>
        <v>0</v>
      </c>
      <c r="N22" s="1853"/>
      <c r="O22" s="1854"/>
      <c r="P22" s="1309">
        <f t="shared" si="9"/>
        <v>0</v>
      </c>
      <c r="R22" s="1154">
        <f t="shared" si="5"/>
        <v>816.87</v>
      </c>
      <c r="S22" s="1155">
        <f t="shared" si="5"/>
        <v>7032.3</v>
      </c>
    </row>
    <row r="23" spans="1:19">
      <c r="A23" s="1855"/>
      <c r="B23" s="50" t="s">
        <v>1839</v>
      </c>
      <c r="C23" s="58"/>
      <c r="D23" s="48">
        <f>ROUND($D$3*E23/$E$3,2)</f>
        <v>0</v>
      </c>
      <c r="E23" s="56">
        <f>SUM(F23:G23)</f>
        <v>0</v>
      </c>
      <c r="F23" s="3026"/>
      <c r="G23" s="3027"/>
      <c r="H23" s="677">
        <f>ROUND($D$3*I23/$E$3,2)</f>
        <v>0</v>
      </c>
      <c r="I23" s="51">
        <f t="shared" si="2"/>
        <v>0</v>
      </c>
      <c r="J23" s="1298"/>
      <c r="K23" s="1297">
        <f t="shared" si="3"/>
        <v>0</v>
      </c>
      <c r="L23" s="1154">
        <f t="shared" si="4"/>
        <v>0</v>
      </c>
      <c r="M23" s="1309">
        <f t="shared" si="8"/>
        <v>0</v>
      </c>
      <c r="N23" s="1853"/>
      <c r="O23" s="1854"/>
      <c r="P23" s="1309">
        <f t="shared" si="9"/>
        <v>0</v>
      </c>
      <c r="R23" s="1154">
        <f t="shared" si="5"/>
        <v>0</v>
      </c>
      <c r="S23" s="1155">
        <f t="shared" si="5"/>
        <v>0</v>
      </c>
    </row>
    <row r="24" spans="1:19">
      <c r="A24" s="1855"/>
      <c r="B24" s="50" t="s">
        <v>1839</v>
      </c>
      <c r="C24" s="58"/>
      <c r="D24" s="48">
        <f>ROUND($D$3*E24/$E$3,2)</f>
        <v>0</v>
      </c>
      <c r="E24" s="56">
        <f>SUM(F24:G24)</f>
        <v>0</v>
      </c>
      <c r="F24" s="3026"/>
      <c r="G24" s="3027"/>
      <c r="H24" s="677">
        <f>ROUND($D$3*I24/$E$3,2)</f>
        <v>0</v>
      </c>
      <c r="I24" s="51">
        <f t="shared" si="2"/>
        <v>0</v>
      </c>
      <c r="J24" s="1298"/>
      <c r="K24" s="1297">
        <f t="shared" si="3"/>
        <v>0</v>
      </c>
      <c r="L24" s="1154">
        <f t="shared" si="4"/>
        <v>0</v>
      </c>
      <c r="M24" s="1309">
        <f t="shared" si="8"/>
        <v>0</v>
      </c>
      <c r="N24" s="1853"/>
      <c r="O24" s="1854"/>
      <c r="P24" s="1309">
        <f t="shared" si="9"/>
        <v>0</v>
      </c>
      <c r="R24" s="1154">
        <f t="shared" si="5"/>
        <v>0</v>
      </c>
      <c r="S24" s="1155">
        <f t="shared" si="5"/>
        <v>0</v>
      </c>
    </row>
    <row r="25" spans="1:19">
      <c r="A25" s="1855"/>
      <c r="B25" s="50" t="s">
        <v>1839</v>
      </c>
      <c r="C25" s="58"/>
      <c r="D25" s="48">
        <f t="shared" si="6"/>
        <v>0</v>
      </c>
      <c r="E25" s="56">
        <f t="shared" si="1"/>
        <v>0</v>
      </c>
      <c r="F25" s="3026"/>
      <c r="G25" s="3027"/>
      <c r="H25" s="47">
        <f t="shared" si="7"/>
        <v>0</v>
      </c>
      <c r="I25" s="51">
        <f t="shared" si="2"/>
        <v>0</v>
      </c>
      <c r="J25" s="1298"/>
      <c r="K25" s="1297">
        <f t="shared" si="3"/>
        <v>0</v>
      </c>
      <c r="L25" s="1154">
        <f t="shared" si="4"/>
        <v>0</v>
      </c>
      <c r="M25" s="1309">
        <f t="shared" si="8"/>
        <v>0</v>
      </c>
      <c r="N25" s="1853"/>
      <c r="O25" s="1854"/>
      <c r="P25" s="1309">
        <f t="shared" si="9"/>
        <v>0</v>
      </c>
      <c r="R25" s="1154">
        <f t="shared" si="5"/>
        <v>0</v>
      </c>
      <c r="S25" s="1155">
        <f t="shared" si="5"/>
        <v>0</v>
      </c>
    </row>
    <row r="26" spans="1:19">
      <c r="A26" s="1855"/>
      <c r="B26" s="50" t="s">
        <v>1839</v>
      </c>
      <c r="C26" s="59"/>
      <c r="D26" s="48">
        <f t="shared" si="6"/>
        <v>0</v>
      </c>
      <c r="E26" s="56">
        <f t="shared" si="1"/>
        <v>0</v>
      </c>
      <c r="F26" s="3026"/>
      <c r="G26" s="3027"/>
      <c r="H26" s="47">
        <f t="shared" si="7"/>
        <v>0</v>
      </c>
      <c r="I26" s="51">
        <f t="shared" si="2"/>
        <v>0</v>
      </c>
      <c r="J26" s="1298"/>
      <c r="K26" s="1304">
        <f t="shared" si="3"/>
        <v>0</v>
      </c>
      <c r="L26" s="1305">
        <f t="shared" si="4"/>
        <v>0</v>
      </c>
      <c r="M26" s="63">
        <f t="shared" si="8"/>
        <v>0</v>
      </c>
      <c r="N26" s="1856"/>
      <c r="O26" s="1857"/>
      <c r="P26" s="63">
        <f t="shared" si="9"/>
        <v>0</v>
      </c>
      <c r="R26" s="1154">
        <f t="shared" si="5"/>
        <v>0</v>
      </c>
      <c r="S26" s="1155">
        <f t="shared" si="5"/>
        <v>0</v>
      </c>
    </row>
    <row r="27" spans="1:19" ht="29.25" thickBot="1">
      <c r="A27" s="1855"/>
      <c r="B27" s="48"/>
      <c r="C27" s="1858" t="s">
        <v>1840</v>
      </c>
      <c r="D27" s="1299">
        <f>SUM(D19:D26)</f>
        <v>18643.399999999998</v>
      </c>
      <c r="E27" s="1300">
        <f>IF(SUM(E19:E26)='数据-基础表'!BA5,SUM(E19:E26),IF(F27="地上面积有误","面积有误","地下面积有误"))</f>
        <v>160498.87</v>
      </c>
      <c r="F27" s="1299">
        <f>IF(SUM(F19:F26)=E8,SUM(F19:F26),"地上面积有误")</f>
        <v>111596.87</v>
      </c>
      <c r="G27" s="1301">
        <f>SUM(G19:G26)</f>
        <v>48902</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t="str">
        <f>IF(SUM(R19:R26)=$D$3,SUM(R19:R26),SUM(R19:R26)&amp;"误差"&amp;ROUND(SUM(R19:R26)-$D$3,2))</f>
        <v>18643.4误差0.01</v>
      </c>
      <c r="S27" s="1154">
        <f>IF(SUM(S19:S26)=$E$3,SUM(S19:S26),SUM(S19:S26)&amp;"误差"&amp;ROUND(SUM(S19:S26)-E3,2))</f>
        <v>160498.87</v>
      </c>
    </row>
    <row r="28" spans="1:19">
      <c r="A28" s="1855"/>
      <c r="B28" s="50" t="s">
        <v>1841</v>
      </c>
      <c r="C28" s="1166"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5"/>
      <c r="B29" s="50" t="s">
        <v>1841</v>
      </c>
      <c r="C29" s="1859"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5"/>
      <c r="B30" s="50"/>
      <c r="C30" s="1860" t="s">
        <v>1840</v>
      </c>
      <c r="D30" s="1299">
        <f>SUM(D28:D29)</f>
        <v>0</v>
      </c>
      <c r="E30" s="1299">
        <f>SUM(E28:E29)</f>
        <v>0</v>
      </c>
      <c r="F30" s="1299">
        <f>SUM(F28:F29)</f>
        <v>0</v>
      </c>
      <c r="G30" s="1301">
        <f>SUM(G28:G29)</f>
        <v>0</v>
      </c>
      <c r="H30" s="2884"/>
      <c r="I30" s="2884"/>
      <c r="J30" s="2884"/>
      <c r="K30" s="2884"/>
      <c r="L30" s="2884"/>
      <c r="M30" s="2884"/>
      <c r="N30" s="2884"/>
      <c r="O30" s="2884"/>
      <c r="P30" s="2884"/>
    </row>
    <row r="31" spans="1:19" ht="15.75" thickBot="1">
      <c r="A31" s="1861"/>
      <c r="B31" s="1862"/>
      <c r="C31" s="941" t="s">
        <v>1844</v>
      </c>
      <c r="D31" s="682">
        <f>D27+D30</f>
        <v>18643.399999999998</v>
      </c>
      <c r="E31" s="682">
        <f>E27+E30</f>
        <v>160498.87</v>
      </c>
      <c r="F31" s="683">
        <f>F27+F30</f>
        <v>111596.87</v>
      </c>
      <c r="G31" s="684">
        <f>G27+G30</f>
        <v>48902</v>
      </c>
      <c r="H31" s="2884"/>
      <c r="I31" s="2884"/>
      <c r="J31" s="2884"/>
      <c r="K31" s="2884"/>
      <c r="L31" s="2884"/>
      <c r="M31" s="2884"/>
      <c r="N31" s="2884"/>
      <c r="O31" s="2884"/>
      <c r="P31" s="2884"/>
    </row>
    <row r="32" spans="1:19">
      <c r="A32" s="1827"/>
      <c r="B32" s="1827" t="s">
        <v>1845</v>
      </c>
      <c r="C32" s="1827"/>
      <c r="D32" s="1827"/>
      <c r="E32" s="1181">
        <f>SUMIF(C19:C26,"*住宅*",E19:E26)</f>
        <v>0</v>
      </c>
      <c r="F32" s="1827"/>
      <c r="G32" s="1827"/>
      <c r="H32" s="2884"/>
      <c r="I32" s="2884"/>
      <c r="J32" s="2884"/>
      <c r="K32" s="2884"/>
      <c r="L32" s="2884"/>
      <c r="M32" s="2884"/>
      <c r="N32" s="2884"/>
      <c r="O32" s="2884"/>
      <c r="P32" s="2884"/>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J23" sqref="J23"/>
    </sheetView>
  </sheetViews>
  <sheetFormatPr defaultColWidth="13.75" defaultRowHeight="12.75"/>
  <cols>
    <col min="1" max="1" width="20.875" style="1929" customWidth="1"/>
    <col min="2" max="2" width="12" style="1867" customWidth="1"/>
    <col min="3" max="3" width="12.75" style="1867" customWidth="1"/>
    <col min="4" max="4" width="9.125" style="1930"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5"/>
      <c r="C1" s="1350"/>
      <c r="D1" s="1865"/>
      <c r="E1" s="1350"/>
      <c r="F1" s="1350"/>
      <c r="G1" s="1350"/>
      <c r="H1" s="1350"/>
      <c r="I1" s="1350"/>
      <c r="J1" s="1350"/>
      <c r="K1" s="162"/>
      <c r="L1" s="162"/>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8"/>
      <c r="AO1" s="2898"/>
      <c r="AP1" s="2898"/>
      <c r="AQ1" s="2898"/>
      <c r="AR1" s="2898"/>
    </row>
    <row r="2" spans="1:67" s="1743" customFormat="1" ht="15.75" thickBot="1">
      <c r="A2" s="1868" t="s">
        <v>1847</v>
      </c>
      <c r="B2" s="1173">
        <f>项目基本情况!D3</f>
        <v>44141</v>
      </c>
      <c r="C2" s="1869"/>
      <c r="D2" s="1870"/>
      <c r="E2" s="1869"/>
      <c r="F2" s="1869"/>
      <c r="G2" s="1869"/>
      <c r="H2" s="1869"/>
      <c r="I2" s="1869"/>
      <c r="J2" s="1869"/>
      <c r="K2" s="1327"/>
      <c r="L2" s="1327"/>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0"/>
      <c r="AO2" s="2900"/>
      <c r="AP2" s="2900"/>
      <c r="AQ2" s="2900"/>
      <c r="AR2" s="2900"/>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7"/>
      <c r="L3" s="1327"/>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0"/>
      <c r="AO3" s="2900"/>
      <c r="AP3" s="2900"/>
      <c r="AQ3" s="2900"/>
      <c r="AR3" s="2900"/>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3"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0"/>
      <c r="AO4" s="2900"/>
      <c r="AP4" s="2900"/>
      <c r="AQ4" s="2900"/>
      <c r="AR4" s="2900"/>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5" t="s">
        <v>1858</v>
      </c>
      <c r="F5" s="1884" t="s">
        <v>1859</v>
      </c>
      <c r="G5" s="1175" t="s">
        <v>1860</v>
      </c>
      <c r="H5" s="1175" t="s">
        <v>1861</v>
      </c>
      <c r="I5" s="1175" t="s">
        <v>1862</v>
      </c>
      <c r="J5" s="1885" t="s">
        <v>1863</v>
      </c>
      <c r="K5" s="1886" t="s">
        <v>1864</v>
      </c>
      <c r="L5" s="1887" t="s">
        <v>1865</v>
      </c>
      <c r="M5" s="1888" t="s">
        <v>1866</v>
      </c>
      <c r="N5" s="1889" t="s">
        <v>1867</v>
      </c>
      <c r="O5" s="1887" t="s">
        <v>1868</v>
      </c>
      <c r="P5" s="1890" t="s">
        <v>1869</v>
      </c>
      <c r="Q5" s="65" t="s">
        <v>1870</v>
      </c>
      <c r="R5" s="1891" t="s">
        <v>1871</v>
      </c>
      <c r="S5" s="1892" t="s">
        <v>1872</v>
      </c>
      <c r="T5" s="1893" t="s">
        <v>1873</v>
      </c>
      <c r="U5" s="1174" t="s">
        <v>1874</v>
      </c>
      <c r="V5" s="1175" t="s">
        <v>1875</v>
      </c>
      <c r="W5" s="1175" t="s">
        <v>1876</v>
      </c>
      <c r="X5" s="67"/>
      <c r="Y5" s="66" t="s">
        <v>1877</v>
      </c>
      <c r="Z5" s="1894" t="s">
        <v>1874</v>
      </c>
      <c r="AA5" s="1175" t="s">
        <v>1875</v>
      </c>
      <c r="AB5" s="1175" t="s">
        <v>1876</v>
      </c>
      <c r="AC5" s="67"/>
      <c r="AD5" s="67" t="s">
        <v>1877</v>
      </c>
      <c r="AE5" s="1174" t="s">
        <v>1878</v>
      </c>
      <c r="AF5" s="1175" t="s">
        <v>1879</v>
      </c>
      <c r="AG5" s="66" t="s">
        <v>1880</v>
      </c>
      <c r="AH5" s="1174" t="s">
        <v>1881</v>
      </c>
      <c r="AI5" s="1894" t="s">
        <v>1882</v>
      </c>
      <c r="AJ5" s="1894" t="s">
        <v>1883</v>
      </c>
      <c r="AK5" s="1175" t="s">
        <v>1884</v>
      </c>
      <c r="AL5" s="1175" t="s">
        <v>1885</v>
      </c>
      <c r="AM5" s="66" t="s">
        <v>1886</v>
      </c>
      <c r="AN5" s="1895" t="s">
        <v>1887</v>
      </c>
      <c r="AO5" s="1746" t="s">
        <v>1888</v>
      </c>
      <c r="AP5" s="1156" t="s">
        <v>1889</v>
      </c>
      <c r="AQ5" s="1896" t="s">
        <v>1890</v>
      </c>
      <c r="AR5" s="1896" t="s">
        <v>1891</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B办公楼</v>
      </c>
      <c r="B6" s="1898" t="str">
        <f>IF(A6=0,"","经营性")</f>
        <v>经营性</v>
      </c>
      <c r="C6" s="1899" t="s">
        <v>27</v>
      </c>
      <c r="D6" s="964">
        <f>SUMIF(项目基本情况!D$12:I$12,C6,项目基本情况!D$14:I$14)</f>
        <v>50</v>
      </c>
      <c r="E6" s="963">
        <f>IF(B6="","",SUMIF(项目基本情况!D$12:I$12,C6,项目基本情况!D$13:I$13))</f>
        <v>56019</v>
      </c>
      <c r="F6" s="68">
        <f>SUMIF(项目基本情况!D$12:I$12,C6,项目基本情况!D$15:I$15)</f>
        <v>32.54</v>
      </c>
      <c r="G6" s="69">
        <f>IF(ISERROR(ROUND(POWER(1+H6,D6-F6)*(POWER(1+H6,F6)-1)/(POWER(1+H6,D6)-1),3)),0,ROUND(POWER(1+H6,D6-F6)*(POWER(1+H6,F6)-1)/(POWER(1+H6,D6)-1),3))</f>
        <v>0.872</v>
      </c>
      <c r="H6" s="738">
        <v>0.05</v>
      </c>
      <c r="I6" s="738">
        <v>0.06</v>
      </c>
      <c r="J6" s="70">
        <v>8.5000000000000006E-2</v>
      </c>
      <c r="K6" s="1158">
        <f>SUMIF('数据-汇总表'!C$19:C$33,A6,'数据-汇总表'!E$19:E$33)</f>
        <v>45131.9</v>
      </c>
      <c r="L6" s="739">
        <v>4500</v>
      </c>
      <c r="M6" s="71">
        <f t="shared" ref="M6:M14" si="0">ROUND(K6*L6/10000,0)</f>
        <v>20309</v>
      </c>
      <c r="N6" s="737">
        <v>0.6</v>
      </c>
      <c r="O6" s="71">
        <f>IF($N$5="成新度","——",ROUND(M6*N6,0))</f>
        <v>12185</v>
      </c>
      <c r="P6" s="72">
        <f>IF($N$5="成新度","——",M6-O6)</f>
        <v>8124</v>
      </c>
      <c r="Q6" s="740">
        <v>0.2</v>
      </c>
      <c r="R6" s="73">
        <f ca="1">SUMIF('数据-汇总表'!C$19:C$33,A6,'数据-汇总表'!R$19:R$27)</f>
        <v>5242.4799999999996</v>
      </c>
      <c r="S6" s="54">
        <f>IF('数据-汇总表'!$I$17="按面积比例",SUMIF('数据-汇总表'!C$19:C$33,A6,'数据-汇总表'!K$19:K$33),SUMIF('数据-汇总表'!C$19:C$33,A6,'数据-汇总表'!N$19:N$33))</f>
        <v>0</v>
      </c>
      <c r="T6" s="1331">
        <f>ROUND($L$14*S6/10000,0)</f>
        <v>0</v>
      </c>
      <c r="U6" s="74">
        <v>12</v>
      </c>
      <c r="V6" s="75">
        <v>2.5000000000000001E-2</v>
      </c>
      <c r="W6" s="75">
        <v>0.12</v>
      </c>
      <c r="X6" s="1168"/>
      <c r="Y6" s="76">
        <v>1</v>
      </c>
      <c r="Z6" s="77"/>
      <c r="AA6" s="70"/>
      <c r="AB6" s="70"/>
      <c r="AC6" s="1168"/>
      <c r="AD6" s="78"/>
      <c r="AE6" s="1169">
        <f ca="1">IF(AN6="",0,SUMIF(INDIRECT("'"&amp;AN6&amp;"'"&amp;"!E:E"),$AE$5,INDIRECT("'"&amp;AN6&amp;"'"&amp;"!F:F")))</f>
        <v>30.791</v>
      </c>
      <c r="AF6" s="1531"/>
      <c r="AG6" s="141">
        <f>IF(AF6="",0,AE6-AF6)</f>
        <v>0</v>
      </c>
      <c r="AH6" s="79"/>
      <c r="AI6" s="81">
        <v>365</v>
      </c>
      <c r="AJ6" s="82"/>
      <c r="AK6" s="83">
        <v>0.03</v>
      </c>
      <c r="AL6" s="84">
        <v>3.0000000000000001E-3</v>
      </c>
      <c r="AM6" s="85">
        <v>0.03</v>
      </c>
      <c r="AN6" s="1900" t="s">
        <v>3098</v>
      </c>
      <c r="AO6" s="55">
        <f ca="1">SUMIF(INDIRECT("'"&amp;AN6&amp;"'"&amp;"!A:A"),"总价",INDIRECT("'"&amp;AN6&amp;"'"&amp;"!B:B"))</f>
        <v>268626</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t="str">
        <f>'数据-汇总表'!C20</f>
        <v>A、C、D办公楼</v>
      </c>
      <c r="B7" s="1898" t="str">
        <f t="shared" ref="B7:B13" si="1">IF(A7=0,"","经营性")</f>
        <v>经营性</v>
      </c>
      <c r="C7" s="1899" t="s">
        <v>27</v>
      </c>
      <c r="D7" s="964">
        <f>SUMIF(项目基本情况!D$12:I$12,C7,项目基本情况!D$14:I$14)</f>
        <v>50</v>
      </c>
      <c r="E7" s="963">
        <f>IF(B7="","",SUMIF(项目基本情况!D$12:I$12,C7,项目基本情况!D$13:I$13))</f>
        <v>56019</v>
      </c>
      <c r="F7" s="68">
        <f>SUMIF(项目基本情况!D$12:I$12,C7,项目基本情况!D$15:I$15)</f>
        <v>32.54</v>
      </c>
      <c r="G7" s="69">
        <f t="shared" ref="G7:G11" si="2">IF(ISERROR(ROUND(POWER(1+H7,D7-F7)*(POWER(1+H7,F7)-1)/(POWER(1+H7,D7)-1),3)),0,ROUND(POWER(1+H7,D7-F7)*(POWER(1+H7,F7)-1)/(POWER(1+H7,D7)-1),3))</f>
        <v>0.872</v>
      </c>
      <c r="H7" s="738">
        <v>0.05</v>
      </c>
      <c r="I7" s="738">
        <v>0.06</v>
      </c>
      <c r="J7" s="70">
        <v>8.5000000000000006E-2</v>
      </c>
      <c r="K7" s="1158">
        <f>SUMIF('数据-汇总表'!C$19:C$33,A7,'数据-汇总表'!E$19:E$33)</f>
        <v>66464.97</v>
      </c>
      <c r="L7" s="739">
        <v>4500</v>
      </c>
      <c r="M7" s="71">
        <f t="shared" si="0"/>
        <v>29909</v>
      </c>
      <c r="N7" s="737">
        <v>0</v>
      </c>
      <c r="O7" s="71">
        <f t="shared" ref="O7:O14" si="3">IF($N$5="成新度","——",ROUND(M7*N7,0))</f>
        <v>0</v>
      </c>
      <c r="P7" s="72">
        <f t="shared" ref="P7:P14" si="4">IF($N$5="成新度","——",M7-O7)</f>
        <v>29909</v>
      </c>
      <c r="Q7" s="740">
        <v>0.2</v>
      </c>
      <c r="R7" s="73">
        <f ca="1">SUMIF('数据-汇总表'!C$19:C$33,A7,'数据-汇总表'!R$19:R$27)</f>
        <v>7720.51</v>
      </c>
      <c r="S7" s="54">
        <f>IF('数据-汇总表'!$I$17="按面积比例",SUMIF('数据-汇总表'!C$19:C$33,A7,'数据-汇总表'!K$19:K$33),SUMIF('数据-汇总表'!C$19:C$33,A7,'数据-汇总表'!N$19:N$33))</f>
        <v>0</v>
      </c>
      <c r="T7" s="1331">
        <f t="shared" ref="T7:T13" si="5">ROUND($L$14*S7/10000,0)</f>
        <v>0</v>
      </c>
      <c r="U7" s="74">
        <v>12</v>
      </c>
      <c r="V7" s="75">
        <v>2.5000000000000001E-2</v>
      </c>
      <c r="W7" s="75">
        <v>0.12</v>
      </c>
      <c r="X7" s="1168"/>
      <c r="Y7" s="76">
        <v>1</v>
      </c>
      <c r="Z7" s="77"/>
      <c r="AA7" s="70"/>
      <c r="AB7" s="70"/>
      <c r="AC7" s="1168"/>
      <c r="AD7" s="78"/>
      <c r="AE7" s="1169">
        <f t="shared" ref="AE7:AE13" ca="1" si="6">IF(AN7="",0,SUMIF(INDIRECT("'"&amp;AN7&amp;"'"&amp;"!E:E"),$AE$5,INDIRECT("'"&amp;AN7&amp;"'"&amp;"!F:F")))</f>
        <v>30.791</v>
      </c>
      <c r="AF7" s="1531"/>
      <c r="AG7" s="141">
        <f t="shared" ref="AG7:AG13" si="7">IF(AF7="",0,AE7-AF7)</f>
        <v>0</v>
      </c>
      <c r="AH7" s="79"/>
      <c r="AI7" s="81">
        <v>365</v>
      </c>
      <c r="AJ7" s="82"/>
      <c r="AK7" s="83">
        <v>0.03</v>
      </c>
      <c r="AL7" s="84">
        <v>3.0000000000000001E-3</v>
      </c>
      <c r="AM7" s="85">
        <v>0.03</v>
      </c>
      <c r="AN7" s="1900" t="s">
        <v>3100</v>
      </c>
      <c r="AO7" s="55">
        <f t="shared" ref="AO7:AO13" ca="1" si="8">SUMIF(INDIRECT("'"&amp;AN7&amp;"'"&amp;"!A:A"),"总价",INDIRECT("'"&amp;AN7&amp;"'"&amp;"!B:B"))</f>
        <v>395566</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t="str">
        <f>'数据-汇总表'!C21</f>
        <v>车库</v>
      </c>
      <c r="B8" s="1898" t="str">
        <f t="shared" si="1"/>
        <v>经营性</v>
      </c>
      <c r="C8" s="1899" t="s">
        <v>3067</v>
      </c>
      <c r="D8" s="964">
        <f>SUMIF(项目基本情况!D$12:I$12,C8,项目基本情况!D$14:I$14)</f>
        <v>50</v>
      </c>
      <c r="E8" s="963">
        <f>IF(B8="","",SUMIF(项目基本情况!D$12:I$12,C8,项目基本情况!D$13:I$13))</f>
        <v>56019</v>
      </c>
      <c r="F8" s="68">
        <f>SUMIF(项目基本情况!D$12:I$12,C8,项目基本情况!D$15:I$15)</f>
        <v>32.54</v>
      </c>
      <c r="G8" s="69">
        <f t="shared" si="2"/>
        <v>0.85599999999999998</v>
      </c>
      <c r="H8" s="738">
        <v>4.4999999999999998E-2</v>
      </c>
      <c r="I8" s="738">
        <v>0.05</v>
      </c>
      <c r="J8" s="70">
        <v>8.5000000000000006E-2</v>
      </c>
      <c r="K8" s="1158">
        <f>SUMIF('数据-汇总表'!C$19:C$33,A8,'数据-汇总表'!E$19:E$33)</f>
        <v>41869.699999999997</v>
      </c>
      <c r="L8" s="739">
        <v>5000</v>
      </c>
      <c r="M8" s="71">
        <f>ROUND(K8*L8/10000,0)</f>
        <v>20935</v>
      </c>
      <c r="N8" s="737">
        <v>0.9</v>
      </c>
      <c r="O8" s="71">
        <f t="shared" si="3"/>
        <v>18842</v>
      </c>
      <c r="P8" s="72">
        <f t="shared" si="4"/>
        <v>2093</v>
      </c>
      <c r="Q8" s="740">
        <v>0.1</v>
      </c>
      <c r="R8" s="73">
        <f ca="1">SUMIF('数据-汇总表'!C$19:C$33,A8,'数据-汇总表'!R$19:R$27)</f>
        <v>4863.54</v>
      </c>
      <c r="S8" s="54">
        <f>IF('数据-汇总表'!$I$17="按面积比例",SUMIF('数据-汇总表'!C$19:C$33,A8,'数据-汇总表'!K$19:K$33),SUMIF('数据-汇总表'!C$19:C$33,A8,'数据-汇总表'!N$19:N$33))</f>
        <v>0</v>
      </c>
      <c r="T8" s="1331">
        <f t="shared" si="5"/>
        <v>0</v>
      </c>
      <c r="U8" s="741"/>
      <c r="V8" s="742"/>
      <c r="W8" s="742"/>
      <c r="X8" s="1168"/>
      <c r="Y8" s="743"/>
      <c r="Z8" s="77"/>
      <c r="AA8" s="70"/>
      <c r="AB8" s="70"/>
      <c r="AC8" s="1168"/>
      <c r="AD8" s="78"/>
      <c r="AE8" s="1169">
        <f t="shared" ca="1" si="6"/>
        <v>0</v>
      </c>
      <c r="AF8" s="1531"/>
      <c r="AG8" s="141">
        <f t="shared" si="7"/>
        <v>0</v>
      </c>
      <c r="AH8" s="744"/>
      <c r="AI8" s="81"/>
      <c r="AJ8" s="82"/>
      <c r="AK8" s="745"/>
      <c r="AL8" s="746">
        <v>3.0000000000000001E-3</v>
      </c>
      <c r="AM8" s="747"/>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t="str">
        <f>'数据-汇总表'!C22</f>
        <v>商业</v>
      </c>
      <c r="B9" s="1898" t="str">
        <f t="shared" si="1"/>
        <v>经营性</v>
      </c>
      <c r="C9" s="1899" t="s">
        <v>1343</v>
      </c>
      <c r="D9" s="964">
        <f>SUMIF(项目基本情况!D$12:I$12,C9,项目基本情况!D$14:I$14)</f>
        <v>40</v>
      </c>
      <c r="E9" s="963">
        <f>IF(B9="","",SUMIF(项目基本情况!D$12:I$12,C9,项目基本情况!D$13:I$13))</f>
        <v>52366</v>
      </c>
      <c r="F9" s="68">
        <f>SUMIF(项目基本情况!D$12:I$12,C9,项目基本情况!D$15:I$15)</f>
        <v>22.53</v>
      </c>
      <c r="G9" s="69">
        <f t="shared" si="2"/>
        <v>0.77700000000000002</v>
      </c>
      <c r="H9" s="738">
        <v>0.05</v>
      </c>
      <c r="I9" s="738">
        <v>0.06</v>
      </c>
      <c r="J9" s="70">
        <v>8.5000000000000006E-2</v>
      </c>
      <c r="K9" s="1158">
        <f>SUMIF('数据-汇总表'!C$19:C$33,A9,'数据-汇总表'!E$19:E$33)</f>
        <v>7032.3</v>
      </c>
      <c r="L9" s="739">
        <v>4500</v>
      </c>
      <c r="M9" s="71">
        <f t="shared" si="0"/>
        <v>3165</v>
      </c>
      <c r="N9" s="737">
        <v>0</v>
      </c>
      <c r="O9" s="71">
        <f t="shared" si="3"/>
        <v>0</v>
      </c>
      <c r="P9" s="72">
        <f t="shared" si="4"/>
        <v>3165</v>
      </c>
      <c r="Q9" s="86">
        <v>0.2</v>
      </c>
      <c r="R9" s="73">
        <f ca="1">SUMIF('数据-汇总表'!C$19:C$33,A9,'数据-汇总表'!R$19:R$27)</f>
        <v>816.87</v>
      </c>
      <c r="S9" s="54">
        <f>IF('数据-汇总表'!$I$17="按面积比例",SUMIF('数据-汇总表'!C$19:C$33,A9,'数据-汇总表'!K$19:K$33),SUMIF('数据-汇总表'!C$19:C$33,A9,'数据-汇总表'!N$19:N$33))</f>
        <v>0</v>
      </c>
      <c r="T9" s="1331">
        <f t="shared" si="5"/>
        <v>0</v>
      </c>
      <c r="U9" s="74">
        <v>7</v>
      </c>
      <c r="V9" s="75">
        <v>0.02</v>
      </c>
      <c r="W9" s="75">
        <v>0.12</v>
      </c>
      <c r="X9" s="1168"/>
      <c r="Y9" s="76">
        <v>1</v>
      </c>
      <c r="Z9" s="77"/>
      <c r="AA9" s="70"/>
      <c r="AB9" s="70"/>
      <c r="AC9" s="1168"/>
      <c r="AD9" s="78"/>
      <c r="AE9" s="1169">
        <f t="shared" ca="1" si="6"/>
        <v>20.781000000000002</v>
      </c>
      <c r="AF9" s="1531"/>
      <c r="AG9" s="141">
        <f t="shared" si="7"/>
        <v>0</v>
      </c>
      <c r="AH9" s="79"/>
      <c r="AI9" s="81">
        <v>365</v>
      </c>
      <c r="AJ9" s="82"/>
      <c r="AK9" s="83">
        <v>0.03</v>
      </c>
      <c r="AL9" s="84">
        <v>3.0000000000000001E-3</v>
      </c>
      <c r="AM9" s="85">
        <v>0.03</v>
      </c>
      <c r="AN9" s="1900" t="s">
        <v>3090</v>
      </c>
      <c r="AO9" s="55">
        <f t="shared" ca="1" si="8"/>
        <v>17034</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39"/>
      <c r="M10" s="71">
        <f t="shared" si="0"/>
        <v>0</v>
      </c>
      <c r="N10" s="737"/>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31"/>
      <c r="AG10" s="141">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31"/>
      <c r="AG11" s="141">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31"/>
      <c r="AG12" s="141">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31"/>
      <c r="AG13" s="141">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1892</v>
      </c>
      <c r="B14" s="1898" t="s">
        <v>1893</v>
      </c>
      <c r="C14" s="1903" t="s">
        <v>1892</v>
      </c>
      <c r="D14" s="964"/>
      <c r="E14" s="963"/>
      <c r="F14" s="68"/>
      <c r="G14" s="69"/>
      <c r="H14" s="1157"/>
      <c r="I14" s="1157"/>
      <c r="J14" s="1157"/>
      <c r="K14" s="1158">
        <f>SUMIF('数据-汇总表'!C$19:C$33,A14,'数据-汇总表'!E$19:E$33)</f>
        <v>0</v>
      </c>
      <c r="L14" s="87"/>
      <c r="M14" s="71">
        <f t="shared" si="0"/>
        <v>0</v>
      </c>
      <c r="N14" s="88"/>
      <c r="O14" s="71">
        <f t="shared" si="3"/>
        <v>0</v>
      </c>
      <c r="P14" s="72">
        <f t="shared" si="4"/>
        <v>0</v>
      </c>
      <c r="Q14" s="1161"/>
      <c r="R14" s="73"/>
      <c r="S14" s="54"/>
      <c r="T14" s="1331"/>
      <c r="U14" s="677"/>
      <c r="V14" s="1163"/>
      <c r="W14" s="1163"/>
      <c r="X14" s="1164"/>
      <c r="Y14" s="1165"/>
      <c r="Z14" s="1166"/>
      <c r="AA14" s="1167"/>
      <c r="AB14" s="1167"/>
      <c r="AC14" s="1168"/>
      <c r="AD14" s="1164"/>
      <c r="AE14" s="1169"/>
      <c r="AF14" s="55"/>
      <c r="AG14" s="141"/>
      <c r="AH14" s="1169"/>
      <c r="AI14" s="1540"/>
      <c r="AJ14" s="710"/>
      <c r="AK14" s="1170"/>
      <c r="AL14" s="1171"/>
      <c r="AM14" s="1172"/>
      <c r="AN14" s="2898"/>
      <c r="AO14" s="2900"/>
      <c r="AP14" s="2900"/>
      <c r="AQ14" s="2900"/>
      <c r="AR14" s="2900"/>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1894</v>
      </c>
      <c r="B15" s="1898" t="s">
        <v>1893</v>
      </c>
      <c r="C15" s="1903" t="s">
        <v>1895</v>
      </c>
      <c r="D15" s="964"/>
      <c r="E15" s="963"/>
      <c r="F15" s="68"/>
      <c r="G15" s="69"/>
      <c r="H15" s="1157"/>
      <c r="I15" s="1157"/>
      <c r="J15" s="1157"/>
      <c r="K15" s="1158">
        <f>SUMIF('数据-汇总表'!C$19:C$33,A15,'数据-汇总表'!E$19:E$33)</f>
        <v>0</v>
      </c>
      <c r="L15" s="1159"/>
      <c r="M15" s="71"/>
      <c r="N15" s="1160"/>
      <c r="O15" s="71"/>
      <c r="P15" s="72"/>
      <c r="Q15" s="1161"/>
      <c r="R15" s="73"/>
      <c r="S15" s="54"/>
      <c r="T15" s="1331"/>
      <c r="U15" s="677"/>
      <c r="V15" s="1163"/>
      <c r="W15" s="1163"/>
      <c r="X15" s="1164"/>
      <c r="Y15" s="1165"/>
      <c r="Z15" s="1166"/>
      <c r="AA15" s="1167"/>
      <c r="AB15" s="1167"/>
      <c r="AC15" s="1168"/>
      <c r="AD15" s="1164"/>
      <c r="AE15" s="1169"/>
      <c r="AF15" s="55"/>
      <c r="AG15" s="141"/>
      <c r="AH15" s="1169"/>
      <c r="AI15" s="1540"/>
      <c r="AJ15" s="710"/>
      <c r="AK15" s="1170"/>
      <c r="AL15" s="1171"/>
      <c r="AM15" s="1172"/>
      <c r="AN15" s="2898"/>
      <c r="AO15" s="2900"/>
      <c r="AP15" s="2900"/>
      <c r="AQ15" s="2900"/>
      <c r="AR15" s="2900"/>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1896</v>
      </c>
      <c r="B16" s="93"/>
      <c r="C16" s="939"/>
      <c r="D16" s="1905"/>
      <c r="E16" s="93"/>
      <c r="F16" s="93"/>
      <c r="G16" s="94">
        <f>ROUND(SUMPRODUCT(G6:G13,K6:K13)/SUMPRODUCT((G6:G13&gt;0)*(K6:K13)),3)</f>
        <v>0.86399999999999999</v>
      </c>
      <c r="H16" s="95">
        <f>ROUND(SUMPRODUCT(H6:H13,K6:K13)/SUMPRODUCT((H6:H13&gt;0)*(K6:K13)),3)</f>
        <v>4.9000000000000002E-2</v>
      </c>
      <c r="I16" s="96"/>
      <c r="J16" s="96"/>
      <c r="K16" s="97">
        <f>SUM(K6:K15)</f>
        <v>160498.87</v>
      </c>
      <c r="L16" s="98">
        <f>ROUND(M16*10000/SUM(K6:K14),0)</f>
        <v>4630</v>
      </c>
      <c r="M16" s="98">
        <f>SUM(M6:M14)</f>
        <v>74318</v>
      </c>
      <c r="N16" s="99">
        <f>ROUND(SUMPRODUCT(M6:M14,N6:N14)/M16,3)</f>
        <v>0.41699999999999998</v>
      </c>
      <c r="O16" s="98">
        <f>SUM(O6:O14)</f>
        <v>31027</v>
      </c>
      <c r="P16" s="98">
        <f>SUM(P6:P14)</f>
        <v>43291</v>
      </c>
      <c r="Q16" s="100">
        <f>ROUND(SUMPRODUCT(Q6:Q13,K6:K13)/SUMPRODUCT((Q6:Q13&gt;0)*(K6:K13)),2)</f>
        <v>0.17</v>
      </c>
      <c r="R16" s="1162">
        <f ca="1">SUM(R6:R13)</f>
        <v>18643.399999999998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1897</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7" t="s">
        <v>1898</v>
      </c>
      <c r="B19" s="108">
        <v>0</v>
      </c>
      <c r="C19" s="3028" t="s">
        <v>3051</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8" t="s">
        <v>1899</v>
      </c>
      <c r="B20" s="109">
        <v>3</v>
      </c>
      <c r="C20" s="3029" t="s">
        <v>3049</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9" t="s">
        <v>1900</v>
      </c>
      <c r="B21" s="109">
        <f>B20*N16</f>
        <v>1.2509999999999999</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8" t="s">
        <v>1901</v>
      </c>
      <c r="B22" s="110">
        <f>B19+B20</f>
        <v>3</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9" t="s">
        <v>1902</v>
      </c>
      <c r="B23" s="110">
        <f>B19+B21</f>
        <v>1.2509999999999999</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0" t="s">
        <v>1903</v>
      </c>
      <c r="B24" s="111">
        <f>B20-B21</f>
        <v>1.7490000000000001</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1"/>
      <c r="B25" s="1872"/>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8" t="s">
        <v>1904</v>
      </c>
      <c r="B26" s="1911" t="s">
        <v>1905</v>
      </c>
      <c r="C26" s="2904" t="s">
        <v>1906</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3" customFormat="1" ht="27.75">
      <c r="A27" s="1912" t="s">
        <v>1907</v>
      </c>
      <c r="B27" s="112">
        <v>160</v>
      </c>
      <c r="C27" s="3030" t="s">
        <v>3053</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3" customFormat="1" ht="28.5" thickBot="1">
      <c r="A28" s="1914" t="s">
        <v>1908</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3" customFormat="1" ht="28.5" thickBot="1">
      <c r="A29" s="1915" t="s">
        <v>1909</v>
      </c>
      <c r="B29" s="112">
        <f ca="1">成本法!C10</f>
        <v>3210</v>
      </c>
      <c r="C29" s="3031" t="s">
        <v>3039</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3" customFormat="1" ht="27">
      <c r="A30" s="1916" t="s">
        <v>1910</v>
      </c>
      <c r="B30" s="115">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3" customFormat="1" ht="27">
      <c r="A31" s="1914" t="s">
        <v>1911</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3" customFormat="1" ht="27.75" thickBot="1">
      <c r="A32" s="1917" t="s">
        <v>1912</v>
      </c>
      <c r="B32" s="678">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3" customFormat="1" ht="14.25">
      <c r="A33" s="1912" t="s">
        <v>1913</v>
      </c>
      <c r="B33" s="679">
        <v>0.05</v>
      </c>
      <c r="C33" s="3032" t="s">
        <v>3040</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3" customFormat="1" ht="14.25">
      <c r="A34" s="1914" t="s">
        <v>1914</v>
      </c>
      <c r="B34" s="117">
        <v>0.05</v>
      </c>
      <c r="C34" s="3032" t="s">
        <v>3041</v>
      </c>
      <c r="D34" s="2911" t="s">
        <v>3050</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3" customFormat="1" ht="14.25">
      <c r="A35" s="1914" t="s">
        <v>1915</v>
      </c>
      <c r="B35" s="115">
        <v>300</v>
      </c>
      <c r="C35" s="3032" t="s">
        <v>3042</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5" t="s">
        <v>1916</v>
      </c>
      <c r="B36" s="118">
        <v>1.4999999999999999E-2</v>
      </c>
      <c r="C36" s="3032" t="s">
        <v>3043</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6" t="s">
        <v>1917</v>
      </c>
      <c r="B37" s="119">
        <v>0.02</v>
      </c>
      <c r="C37" s="3032" t="s">
        <v>3044</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4" t="s">
        <v>1918</v>
      </c>
      <c r="B38" s="117">
        <v>0.02</v>
      </c>
      <c r="C38" s="3032" t="s">
        <v>3044</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7" t="s">
        <v>1919</v>
      </c>
      <c r="B39" s="321">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17" t="s">
        <v>1920</v>
      </c>
      <c r="B40" s="1207">
        <f ca="1">存贷款利率!G1</f>
        <v>4.7500000000000001E-2</v>
      </c>
      <c r="C40" s="3032" t="s">
        <v>3045</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2" t="s">
        <v>1921</v>
      </c>
      <c r="B41" s="120">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8" t="s">
        <v>1922</v>
      </c>
      <c r="B42" s="121">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8" t="s">
        <v>1923</v>
      </c>
      <c r="B43" s="122">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9" t="s">
        <v>1924</v>
      </c>
      <c r="B44" s="123">
        <v>7.0000000000000007E-2</v>
      </c>
      <c r="C44" s="3032" t="s">
        <v>3054</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9" t="s">
        <v>1925</v>
      </c>
      <c r="B45" s="121">
        <v>0.03</v>
      </c>
      <c r="C45" s="3031" t="s">
        <v>3046</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9" t="s">
        <v>1926</v>
      </c>
      <c r="B46" s="121">
        <v>0.02</v>
      </c>
      <c r="C46" s="3031" t="s">
        <v>3047</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0" t="s">
        <v>1927</v>
      </c>
      <c r="B47" s="124"/>
      <c r="C47" s="3034" t="s">
        <v>3055</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1" t="s">
        <v>1928</v>
      </c>
      <c r="B48" s="3076">
        <v>0.03</v>
      </c>
      <c r="C48" s="3031" t="s">
        <v>3046</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7" t="s">
        <v>1929</v>
      </c>
      <c r="B49" s="3077">
        <v>5.0000000000000001E-4</v>
      </c>
      <c r="C49" s="3031" t="s">
        <v>3048</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2" t="s">
        <v>1930</v>
      </c>
      <c r="B50" s="125">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5" t="s">
        <v>1931</v>
      </c>
      <c r="B51" s="126">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2" t="s">
        <v>1932</v>
      </c>
      <c r="B52" s="127">
        <f>SUMIF(A54:A63,B53,B54:B63)</f>
        <v>30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4" t="s">
        <v>1933</v>
      </c>
      <c r="B53" s="3078" t="s">
        <v>212</v>
      </c>
      <c r="C53" s="2886" t="s">
        <v>1934</v>
      </c>
      <c r="D53" s="3033" t="s">
        <v>3052</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1935</v>
      </c>
      <c r="B54" s="80">
        <v>30</v>
      </c>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1936</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1937</v>
      </c>
      <c r="B56" s="80">
        <v>18</v>
      </c>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1938</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1939</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1940</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1941</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1942</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1943</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1944</v>
      </c>
      <c r="B63" s="128"/>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898"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898"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898"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898"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898"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898" customFormat="1">
      <c r="A69" s="1925"/>
      <c r="D69" s="1926"/>
      <c r="K69" s="734"/>
      <c r="L69" s="734"/>
    </row>
    <row r="70" spans="1:44" s="898" customFormat="1">
      <c r="A70" s="1925"/>
      <c r="D70" s="1926"/>
      <c r="K70" s="734"/>
      <c r="L70" s="734"/>
    </row>
    <row r="71" spans="1:44" s="898" customFormat="1">
      <c r="A71" s="1925"/>
      <c r="D71" s="1926"/>
      <c r="K71" s="734"/>
      <c r="L71" s="734"/>
    </row>
    <row r="72" spans="1:44" s="898" customFormat="1">
      <c r="A72" s="1925"/>
      <c r="D72" s="1926"/>
      <c r="K72" s="734"/>
      <c r="L72" s="734"/>
    </row>
    <row r="73" spans="1:44" s="898" customFormat="1">
      <c r="A73" s="1925"/>
      <c r="D73" s="1926"/>
      <c r="K73" s="734"/>
      <c r="L73" s="734"/>
    </row>
    <row r="74" spans="1:44" s="898" customFormat="1">
      <c r="A74" s="1925"/>
      <c r="D74" s="1926"/>
      <c r="K74" s="734"/>
      <c r="L74" s="734"/>
    </row>
    <row r="75" spans="1:44" s="898" customFormat="1">
      <c r="A75" s="1925"/>
      <c r="D75" s="1926"/>
      <c r="K75" s="734"/>
      <c r="L75" s="734"/>
    </row>
    <row r="76" spans="1:44" s="898" customFormat="1">
      <c r="A76" s="1925"/>
      <c r="D76" s="1926"/>
      <c r="K76" s="734"/>
      <c r="L76" s="734"/>
    </row>
    <row r="77" spans="1:44" s="898" customFormat="1">
      <c r="A77" s="1925"/>
      <c r="D77" s="1926"/>
      <c r="K77" s="734"/>
      <c r="L77" s="734"/>
    </row>
    <row r="78" spans="1:44" s="898" customFormat="1">
      <c r="A78" s="1925"/>
      <c r="D78" s="1926"/>
      <c r="K78" s="734"/>
      <c r="L78" s="734"/>
    </row>
    <row r="79" spans="1:44" s="898" customFormat="1">
      <c r="A79" s="1925"/>
      <c r="D79" s="1926"/>
      <c r="K79" s="734"/>
      <c r="L79" s="734"/>
    </row>
    <row r="80" spans="1:44" s="898" customFormat="1">
      <c r="A80" s="1925"/>
      <c r="D80" s="1926"/>
      <c r="K80" s="734"/>
      <c r="L80" s="734"/>
    </row>
    <row r="81" spans="1:12" s="898" customFormat="1">
      <c r="A81" s="1925"/>
      <c r="D81" s="1926"/>
      <c r="K81" s="734"/>
      <c r="L81" s="734"/>
    </row>
    <row r="82" spans="1:12" s="898" customFormat="1">
      <c r="A82" s="1925"/>
      <c r="D82" s="1926"/>
      <c r="K82" s="734"/>
      <c r="L82" s="734"/>
    </row>
    <row r="83" spans="1:12" s="898" customFormat="1">
      <c r="A83" s="1925"/>
      <c r="D83" s="1926"/>
      <c r="K83" s="734"/>
      <c r="L83" s="734"/>
    </row>
    <row r="84" spans="1:12" s="898" customFormat="1">
      <c r="A84" s="1925"/>
      <c r="D84" s="1926"/>
      <c r="K84" s="734"/>
      <c r="L84" s="734"/>
    </row>
    <row r="85" spans="1:12" s="898" customFormat="1">
      <c r="A85" s="1925"/>
      <c r="D85" s="1926"/>
      <c r="K85" s="734"/>
      <c r="L85" s="734"/>
    </row>
    <row r="86" spans="1:12" s="898" customFormat="1">
      <c r="A86" s="1925"/>
      <c r="D86" s="1926"/>
      <c r="K86" s="734"/>
      <c r="L86" s="734"/>
    </row>
    <row r="87" spans="1:12" s="898" customFormat="1">
      <c r="A87" s="1925"/>
      <c r="D87" s="1926"/>
      <c r="K87" s="734"/>
      <c r="L87" s="734"/>
    </row>
    <row r="88" spans="1:12" s="898" customFormat="1">
      <c r="A88" s="1925"/>
      <c r="D88" s="1926"/>
      <c r="K88" s="734"/>
      <c r="L88" s="734"/>
    </row>
    <row r="89" spans="1:12" s="898" customFormat="1">
      <c r="A89" s="1925"/>
      <c r="D89" s="1926"/>
      <c r="K89" s="734"/>
      <c r="L89" s="734"/>
    </row>
    <row r="90" spans="1:12" s="898" customFormat="1">
      <c r="A90" s="1925"/>
      <c r="D90" s="1926"/>
      <c r="K90" s="734"/>
      <c r="L90" s="734"/>
    </row>
    <row r="91" spans="1:12" s="898" customFormat="1">
      <c r="A91" s="1925"/>
      <c r="D91" s="1926"/>
      <c r="K91" s="734"/>
      <c r="L91" s="734"/>
    </row>
    <row r="92" spans="1:12" s="898" customFormat="1">
      <c r="A92" s="1925"/>
      <c r="D92" s="1926"/>
      <c r="K92" s="734"/>
      <c r="L92" s="734"/>
    </row>
    <row r="93" spans="1:12" s="898" customFormat="1">
      <c r="A93" s="1925"/>
      <c r="D93" s="1926"/>
      <c r="K93" s="734"/>
      <c r="L93" s="734"/>
    </row>
    <row r="94" spans="1:12" s="898" customFormat="1">
      <c r="A94" s="1925"/>
      <c r="D94" s="1926"/>
      <c r="K94" s="734"/>
      <c r="L94" s="734"/>
    </row>
    <row r="95" spans="1:12" s="898" customFormat="1">
      <c r="A95" s="1925"/>
      <c r="D95" s="1926"/>
      <c r="K95" s="734"/>
      <c r="L95" s="734"/>
    </row>
    <row r="96" spans="1:12" s="898" customFormat="1">
      <c r="A96" s="1925"/>
      <c r="D96" s="1926"/>
      <c r="K96" s="734"/>
      <c r="L96" s="734"/>
    </row>
    <row r="97" spans="1:12" s="898" customFormat="1">
      <c r="A97" s="1925"/>
      <c r="D97" s="1926"/>
      <c r="K97" s="734"/>
      <c r="L97" s="734"/>
    </row>
    <row r="98" spans="1:12" s="898" customFormat="1">
      <c r="A98" s="1925"/>
      <c r="D98" s="1926"/>
      <c r="K98" s="734"/>
      <c r="L98" s="734"/>
    </row>
    <row r="99" spans="1:12" s="898" customFormat="1">
      <c r="A99" s="1925"/>
      <c r="D99" s="1926"/>
      <c r="K99" s="734"/>
      <c r="L99" s="734"/>
    </row>
    <row r="100" spans="1:12" s="898" customFormat="1">
      <c r="A100" s="1925"/>
      <c r="D100" s="1926"/>
      <c r="K100" s="734"/>
      <c r="L100" s="734"/>
    </row>
    <row r="101" spans="1:12" s="898" customFormat="1">
      <c r="A101" s="1925"/>
      <c r="D101" s="1926"/>
      <c r="K101" s="734"/>
      <c r="L101" s="734"/>
    </row>
    <row r="102" spans="1:12" s="898" customFormat="1">
      <c r="A102" s="1925"/>
      <c r="D102" s="1926"/>
      <c r="K102" s="734"/>
      <c r="L102" s="734"/>
    </row>
    <row r="103" spans="1:12" s="898" customFormat="1">
      <c r="A103" s="1925"/>
      <c r="D103" s="1926"/>
      <c r="K103" s="734"/>
      <c r="L103" s="734"/>
    </row>
    <row r="104" spans="1:12" s="898" customFormat="1">
      <c r="A104" s="1925"/>
      <c r="D104" s="1926"/>
      <c r="K104" s="734"/>
      <c r="L104" s="734"/>
    </row>
    <row r="105" spans="1:12" s="898" customFormat="1">
      <c r="A105" s="1925"/>
      <c r="D105" s="1926"/>
      <c r="K105" s="734"/>
      <c r="L105" s="734"/>
    </row>
    <row r="106" spans="1:12" s="898" customFormat="1">
      <c r="A106" s="1925"/>
      <c r="D106" s="1926"/>
      <c r="K106" s="734"/>
      <c r="L106" s="734"/>
    </row>
    <row r="107" spans="1:12" s="898" customFormat="1">
      <c r="A107" s="1925"/>
      <c r="D107" s="1926"/>
      <c r="K107" s="734"/>
      <c r="L107" s="734"/>
    </row>
    <row r="108" spans="1:12" s="898" customFormat="1">
      <c r="A108" s="1925"/>
      <c r="D108" s="1926"/>
      <c r="K108" s="734"/>
      <c r="L108" s="734"/>
    </row>
    <row r="109" spans="1:12" s="898" customFormat="1">
      <c r="A109" s="1925"/>
      <c r="D109" s="1926"/>
      <c r="K109" s="734"/>
      <c r="L109" s="734"/>
    </row>
    <row r="110" spans="1:12" s="898" customFormat="1">
      <c r="A110" s="1925"/>
      <c r="D110" s="1926"/>
      <c r="K110" s="734"/>
      <c r="L110" s="734"/>
    </row>
    <row r="111" spans="1:12" s="898" customFormat="1">
      <c r="A111" s="1925"/>
      <c r="D111" s="1926"/>
      <c r="K111" s="734"/>
      <c r="L111" s="734"/>
    </row>
    <row r="112" spans="1:12" s="898" customFormat="1">
      <c r="A112" s="1925"/>
      <c r="D112" s="1926"/>
      <c r="K112" s="734"/>
      <c r="L112" s="734"/>
    </row>
    <row r="113" spans="1:12" s="898" customFormat="1">
      <c r="A113" s="1925"/>
      <c r="D113" s="1926"/>
      <c r="K113" s="734"/>
      <c r="L113" s="734"/>
    </row>
    <row r="114" spans="1:12" s="898" customFormat="1">
      <c r="A114" s="1925"/>
      <c r="D114" s="1926"/>
      <c r="K114" s="734"/>
      <c r="L114" s="734"/>
    </row>
    <row r="115" spans="1:12" s="898" customFormat="1">
      <c r="A115" s="1925"/>
      <c r="D115" s="1926"/>
      <c r="K115" s="734"/>
      <c r="L115" s="734"/>
    </row>
    <row r="116" spans="1:12" s="898" customFormat="1">
      <c r="A116" s="1925"/>
      <c r="D116" s="1926"/>
      <c r="K116" s="734"/>
      <c r="L116" s="734"/>
    </row>
    <row r="117" spans="1:12" s="898" customFormat="1">
      <c r="A117" s="1925"/>
      <c r="D117" s="1926"/>
      <c r="K117" s="734"/>
      <c r="L117" s="734"/>
    </row>
    <row r="118" spans="1:12" s="898" customFormat="1">
      <c r="A118" s="1925"/>
      <c r="D118" s="1926"/>
      <c r="K118" s="734"/>
      <c r="L118" s="734"/>
    </row>
    <row r="119" spans="1:12" s="898" customFormat="1">
      <c r="A119" s="1925"/>
      <c r="D119" s="1926"/>
      <c r="K119" s="734"/>
      <c r="L119" s="734"/>
    </row>
    <row r="120" spans="1:12" s="898" customFormat="1">
      <c r="A120" s="1925"/>
      <c r="D120" s="1926"/>
      <c r="K120" s="734"/>
      <c r="L120" s="734"/>
    </row>
    <row r="121" spans="1:12" s="898" customFormat="1">
      <c r="A121" s="1925"/>
      <c r="D121" s="1926"/>
      <c r="K121" s="734"/>
      <c r="L121" s="734"/>
    </row>
    <row r="122" spans="1:12" s="898" customFormat="1">
      <c r="A122" s="1925"/>
      <c r="D122" s="1926"/>
      <c r="K122" s="734"/>
      <c r="L122" s="734"/>
    </row>
    <row r="123" spans="1:12" s="898" customFormat="1">
      <c r="A123" s="1925"/>
      <c r="D123" s="1926"/>
      <c r="K123" s="734"/>
      <c r="L123" s="734"/>
    </row>
    <row r="124" spans="1:12" s="898" customFormat="1">
      <c r="A124" s="1925"/>
      <c r="D124" s="1926"/>
      <c r="K124" s="734"/>
      <c r="L124" s="734"/>
    </row>
    <row r="125" spans="1:12" s="898" customFormat="1">
      <c r="A125" s="1925"/>
      <c r="D125" s="1926"/>
      <c r="K125" s="734"/>
      <c r="L125" s="734"/>
    </row>
    <row r="126" spans="1:12" s="898" customFormat="1">
      <c r="A126" s="1925"/>
      <c r="D126" s="1926"/>
      <c r="K126" s="734"/>
      <c r="L126" s="734"/>
    </row>
    <row r="127" spans="1:12" s="898" customFormat="1">
      <c r="A127" s="1925"/>
      <c r="D127" s="1926"/>
      <c r="K127" s="734"/>
      <c r="L127" s="734"/>
    </row>
    <row r="128" spans="1:12" s="898" customFormat="1">
      <c r="A128" s="1925"/>
      <c r="D128" s="1926"/>
      <c r="K128" s="734"/>
      <c r="L128" s="734"/>
    </row>
    <row r="129" spans="1:12" s="898" customFormat="1">
      <c r="A129" s="1925"/>
      <c r="D129" s="1926"/>
      <c r="K129" s="734"/>
      <c r="L129" s="734"/>
    </row>
    <row r="130" spans="1:12" s="898" customFormat="1">
      <c r="A130" s="1925"/>
      <c r="D130" s="1926"/>
      <c r="K130" s="734"/>
      <c r="L130" s="734"/>
    </row>
    <row r="131" spans="1:12" s="898" customFormat="1">
      <c r="A131" s="1925"/>
      <c r="D131" s="1926"/>
      <c r="K131" s="734"/>
      <c r="L131" s="734"/>
    </row>
    <row r="132" spans="1:12" s="898" customFormat="1">
      <c r="A132" s="1925"/>
      <c r="D132" s="1926"/>
      <c r="K132" s="734"/>
      <c r="L132" s="734"/>
    </row>
    <row r="133" spans="1:12" s="898" customFormat="1">
      <c r="A133" s="1925"/>
      <c r="D133" s="1926"/>
      <c r="K133" s="734"/>
      <c r="L133" s="734"/>
    </row>
    <row r="134" spans="1:12" s="1866" customFormat="1">
      <c r="A134" s="1927"/>
      <c r="D134" s="1928"/>
      <c r="K134" s="27"/>
      <c r="L134" s="27"/>
    </row>
    <row r="135" spans="1:12" s="1866" customFormat="1">
      <c r="A135" s="1927"/>
      <c r="D135" s="1928"/>
      <c r="K135" s="27"/>
      <c r="L135" s="27"/>
    </row>
    <row r="136" spans="1:12" s="1866" customFormat="1">
      <c r="A136" s="1927"/>
      <c r="D136" s="1928"/>
      <c r="K136" s="27"/>
      <c r="L136" s="27"/>
    </row>
    <row r="137" spans="1:12" s="1866" customFormat="1">
      <c r="A137" s="1927"/>
      <c r="D137" s="1928"/>
      <c r="K137" s="27"/>
      <c r="L137" s="27"/>
    </row>
    <row r="138" spans="1:12" s="1866" customFormat="1">
      <c r="A138" s="1927"/>
      <c r="D138" s="1928"/>
      <c r="K138" s="27"/>
      <c r="L138" s="27"/>
    </row>
    <row r="139" spans="1:12" s="1866" customFormat="1">
      <c r="A139" s="1927"/>
      <c r="D139" s="1928"/>
      <c r="K139" s="27"/>
      <c r="L139" s="27"/>
    </row>
    <row r="140" spans="1:12" s="1866" customFormat="1">
      <c r="A140" s="1927"/>
      <c r="D140" s="1928"/>
      <c r="K140" s="27"/>
      <c r="L140" s="27"/>
    </row>
    <row r="141" spans="1:12" s="1866" customFormat="1">
      <c r="A141" s="1927"/>
      <c r="D141" s="1928"/>
      <c r="K141" s="27"/>
      <c r="L141" s="27"/>
    </row>
    <row r="142" spans="1:12" s="1866" customFormat="1">
      <c r="A142" s="1927"/>
      <c r="D142" s="1928"/>
      <c r="K142" s="27"/>
      <c r="L142" s="27"/>
    </row>
    <row r="143" spans="1:12" s="1866" customFormat="1">
      <c r="A143" s="1927"/>
      <c r="D143" s="1928"/>
      <c r="K143" s="27"/>
      <c r="L143" s="27"/>
    </row>
    <row r="144" spans="1:12" s="1866" customFormat="1">
      <c r="A144" s="1927"/>
      <c r="D144" s="1928"/>
      <c r="K144" s="27"/>
      <c r="L144" s="27"/>
    </row>
    <row r="145" spans="1:12" s="1866" customFormat="1">
      <c r="A145" s="1927"/>
      <c r="D145" s="1928"/>
      <c r="K145" s="27"/>
      <c r="L145" s="27"/>
    </row>
    <row r="146" spans="1:12" s="1866" customFormat="1">
      <c r="A146" s="1927"/>
      <c r="D146" s="1928"/>
      <c r="K146" s="27"/>
      <c r="L146" s="27"/>
    </row>
    <row r="147" spans="1:12" s="1866" customFormat="1">
      <c r="A147" s="1927"/>
      <c r="D147" s="1928"/>
      <c r="K147" s="27"/>
      <c r="L147" s="27"/>
    </row>
    <row r="148" spans="1:12" s="1866" customFormat="1">
      <c r="A148" s="1927"/>
      <c r="D148" s="1928"/>
      <c r="K148" s="27"/>
      <c r="L148" s="27"/>
    </row>
    <row r="149" spans="1:12" s="1866" customFormat="1">
      <c r="A149" s="1927"/>
      <c r="D149" s="1928"/>
      <c r="K149" s="27"/>
      <c r="L149" s="27"/>
    </row>
    <row r="150" spans="1:12" s="1866" customFormat="1">
      <c r="A150" s="1927"/>
      <c r="D150" s="1928"/>
      <c r="K150" s="27"/>
      <c r="L150" s="27"/>
    </row>
    <row r="151" spans="1:12" s="1866" customFormat="1">
      <c r="A151" s="1927"/>
      <c r="D151" s="1928"/>
      <c r="K151" s="27"/>
      <c r="L151" s="27"/>
    </row>
    <row r="152" spans="1:12" s="1866" customFormat="1">
      <c r="A152" s="1927"/>
      <c r="D152" s="1928"/>
      <c r="K152" s="27"/>
      <c r="L152" s="27"/>
    </row>
    <row r="153" spans="1:12" s="1866" customFormat="1">
      <c r="A153" s="1927"/>
      <c r="D153" s="1928"/>
      <c r="K153" s="27"/>
      <c r="L153" s="27"/>
    </row>
    <row r="154" spans="1:12" s="1866" customFormat="1">
      <c r="A154" s="1927"/>
      <c r="D154" s="1928"/>
      <c r="K154" s="27"/>
      <c r="L154" s="27"/>
    </row>
    <row r="155" spans="1:12" s="1866" customFormat="1">
      <c r="A155" s="1927"/>
      <c r="D155" s="1928"/>
      <c r="K155" s="27"/>
      <c r="L155" s="27"/>
    </row>
    <row r="156" spans="1:12" s="1866" customFormat="1">
      <c r="A156" s="1927"/>
      <c r="D156" s="1928"/>
      <c r="K156" s="27"/>
      <c r="L156" s="27"/>
    </row>
    <row r="157" spans="1:12" s="1866" customFormat="1">
      <c r="A157" s="1927"/>
      <c r="D157" s="1928"/>
      <c r="K157" s="27"/>
      <c r="L157" s="27"/>
    </row>
    <row r="158" spans="1:12" s="1866" customFormat="1">
      <c r="A158" s="1927"/>
      <c r="D158" s="1928"/>
      <c r="K158" s="27"/>
      <c r="L158" s="27"/>
    </row>
    <row r="159" spans="1:12" s="1866" customFormat="1">
      <c r="A159" s="1927"/>
      <c r="D159" s="1928"/>
      <c r="K159" s="27"/>
      <c r="L159" s="27"/>
    </row>
    <row r="160" spans="1:12" s="1866" customFormat="1">
      <c r="A160" s="1927"/>
      <c r="D160" s="1928"/>
      <c r="K160" s="27"/>
      <c r="L160" s="27"/>
    </row>
    <row r="161" spans="1:12" s="1866" customFormat="1">
      <c r="A161" s="1927"/>
      <c r="D161" s="1928"/>
      <c r="K161" s="27"/>
      <c r="L161" s="27"/>
    </row>
    <row r="162" spans="1:12" s="1866" customFormat="1">
      <c r="A162" s="1927"/>
      <c r="D162" s="1928"/>
      <c r="K162" s="27"/>
      <c r="L162" s="27"/>
    </row>
    <row r="163" spans="1:12" s="1866" customFormat="1">
      <c r="A163" s="1927"/>
      <c r="D163" s="1928"/>
      <c r="K163" s="27"/>
      <c r="L163" s="27"/>
    </row>
    <row r="164" spans="1:12" s="1866" customFormat="1">
      <c r="A164" s="1927"/>
      <c r="D164" s="1928"/>
      <c r="K164" s="27"/>
      <c r="L164" s="27"/>
    </row>
    <row r="165" spans="1:12" s="1866" customFormat="1">
      <c r="A165" s="1927"/>
      <c r="D165" s="1928"/>
      <c r="K165" s="27"/>
      <c r="L165" s="27"/>
    </row>
    <row r="166" spans="1:12" s="1866" customFormat="1">
      <c r="A166" s="1927"/>
      <c r="D166" s="1928"/>
      <c r="K166" s="27"/>
      <c r="L166" s="27"/>
    </row>
    <row r="167" spans="1:12" s="1866" customFormat="1">
      <c r="A167" s="1927"/>
      <c r="D167" s="1928"/>
      <c r="K167" s="27"/>
      <c r="L167" s="27"/>
    </row>
    <row r="168" spans="1:12" s="1866" customFormat="1">
      <c r="A168" s="1927"/>
      <c r="D168" s="1928"/>
      <c r="K168" s="27"/>
      <c r="L168" s="27"/>
    </row>
    <row r="169" spans="1:12" s="1866" customFormat="1">
      <c r="A169" s="1927"/>
      <c r="D169" s="1928"/>
      <c r="K169" s="27"/>
      <c r="L169" s="27"/>
    </row>
    <row r="170" spans="1:12" s="1866" customFormat="1">
      <c r="A170" s="1927"/>
      <c r="D170" s="1928"/>
      <c r="K170" s="27"/>
      <c r="L170" s="27"/>
    </row>
    <row r="171" spans="1:12" s="1866" customFormat="1">
      <c r="A171" s="1927"/>
      <c r="D171" s="1928"/>
      <c r="K171" s="27"/>
      <c r="L171" s="27"/>
    </row>
    <row r="172" spans="1:12" s="1866" customFormat="1">
      <c r="A172" s="1927"/>
      <c r="D172" s="1928"/>
      <c r="K172" s="27"/>
      <c r="L172" s="27"/>
    </row>
    <row r="173" spans="1:12" s="1866" customFormat="1">
      <c r="A173" s="1927"/>
      <c r="D173" s="1928"/>
      <c r="K173" s="27"/>
      <c r="L173" s="27"/>
    </row>
    <row r="174" spans="1:12" s="1866" customFormat="1">
      <c r="A174" s="1927"/>
      <c r="D174" s="1928"/>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4" customWidth="1"/>
    <col min="4" max="4" width="2.625" style="2734" customWidth="1"/>
    <col min="5" max="5" width="5.875" style="2734" customWidth="1"/>
    <col min="6" max="6" width="27" style="1756"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4"/>
    <col min="30" max="16384" width="9" style="1871"/>
  </cols>
  <sheetData>
    <row r="1" spans="1:29" s="2681" customFormat="1" ht="18.75" thickBot="1">
      <c r="A1" s="3176" t="s">
        <v>3031</v>
      </c>
      <c r="B1" s="3177"/>
      <c r="C1" s="3177"/>
      <c r="D1" s="3177"/>
      <c r="E1" s="3177"/>
      <c r="F1" s="3177"/>
      <c r="G1" s="3177"/>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3026</v>
      </c>
      <c r="D2" s="2685"/>
      <c r="E2" s="2682"/>
      <c r="F2" s="2686"/>
      <c r="G2" s="2684" t="s">
        <v>3027</v>
      </c>
      <c r="H2" s="904"/>
      <c r="I2" s="904"/>
      <c r="J2" s="904"/>
      <c r="K2" s="904"/>
      <c r="L2" s="904"/>
      <c r="M2" s="904"/>
      <c r="N2" s="904"/>
      <c r="O2" s="904"/>
      <c r="P2" s="904"/>
      <c r="Q2" s="904"/>
      <c r="R2" s="904"/>
    </row>
    <row r="3" spans="1:29" ht="48">
      <c r="A3" s="2665" t="s">
        <v>3028</v>
      </c>
      <c r="B3" s="2687" t="s">
        <v>2997</v>
      </c>
      <c r="C3" s="2688" t="s">
        <v>3029</v>
      </c>
      <c r="D3" s="2689"/>
      <c r="E3" s="2666" t="s">
        <v>3028</v>
      </c>
      <c r="F3" s="2690" t="s">
        <v>2998</v>
      </c>
      <c r="G3" s="2691" t="s">
        <v>3030</v>
      </c>
      <c r="H3" s="904"/>
      <c r="I3" s="904"/>
      <c r="J3" s="904"/>
      <c r="K3" s="904"/>
      <c r="L3" s="904"/>
      <c r="M3" s="904"/>
      <c r="N3" s="904"/>
      <c r="O3" s="904"/>
      <c r="P3" s="904"/>
      <c r="Q3" s="904"/>
      <c r="R3" s="904"/>
    </row>
    <row r="4" spans="1:29" ht="36.75">
      <c r="A4" s="2666"/>
      <c r="B4" s="327" t="s">
        <v>2999</v>
      </c>
      <c r="C4" s="2692" t="s">
        <v>3000</v>
      </c>
      <c r="D4" s="2689"/>
      <c r="E4" s="2693"/>
      <c r="F4" s="1556" t="s">
        <v>3001</v>
      </c>
      <c r="G4" s="2694" t="s">
        <v>3002</v>
      </c>
      <c r="H4" s="904"/>
      <c r="I4" s="904"/>
      <c r="J4" s="904"/>
      <c r="K4" s="904"/>
      <c r="L4" s="904"/>
      <c r="M4" s="904"/>
      <c r="N4" s="904"/>
      <c r="O4" s="904"/>
      <c r="P4" s="904"/>
      <c r="Q4" s="904"/>
      <c r="R4" s="904"/>
    </row>
    <row r="5" spans="1:29" ht="36.75">
      <c r="A5" s="2666"/>
      <c r="B5" s="327" t="s">
        <v>3003</v>
      </c>
      <c r="C5" s="2692" t="s">
        <v>3004</v>
      </c>
      <c r="D5" s="2689"/>
      <c r="E5" s="2693"/>
      <c r="F5" s="327" t="s">
        <v>3005</v>
      </c>
      <c r="G5" s="2694" t="s">
        <v>3006</v>
      </c>
      <c r="H5" s="904"/>
      <c r="I5" s="904"/>
      <c r="J5" s="904"/>
      <c r="K5" s="904"/>
      <c r="L5" s="904"/>
      <c r="M5" s="904"/>
      <c r="N5" s="904"/>
      <c r="O5" s="904"/>
      <c r="P5" s="904"/>
      <c r="Q5" s="904"/>
      <c r="R5" s="904"/>
    </row>
    <row r="6" spans="1:29" ht="36">
      <c r="A6" s="2666"/>
      <c r="B6" s="327" t="s">
        <v>3007</v>
      </c>
      <c r="C6" s="2694" t="s">
        <v>3002</v>
      </c>
      <c r="D6" s="2689"/>
      <c r="E6" s="2693"/>
      <c r="F6" s="327" t="s">
        <v>3008</v>
      </c>
      <c r="G6" s="2694" t="s">
        <v>3009</v>
      </c>
      <c r="H6" s="904"/>
      <c r="I6" s="904"/>
      <c r="J6" s="904"/>
      <c r="K6" s="904"/>
      <c r="L6" s="904"/>
      <c r="M6" s="904"/>
      <c r="N6" s="904"/>
      <c r="O6" s="904"/>
      <c r="P6" s="904"/>
      <c r="Q6" s="904"/>
      <c r="R6" s="904"/>
    </row>
    <row r="7" spans="1:29" ht="24.75" thickBot="1">
      <c r="A7" s="2666"/>
      <c r="B7" s="327" t="s">
        <v>3005</v>
      </c>
      <c r="C7" s="2694" t="s">
        <v>3006</v>
      </c>
      <c r="D7" s="2695"/>
      <c r="E7" s="2696"/>
      <c r="F7" s="2697" t="s">
        <v>3010</v>
      </c>
      <c r="G7" s="2698" t="s">
        <v>3011</v>
      </c>
      <c r="H7" s="904"/>
      <c r="I7" s="904"/>
      <c r="J7" s="904"/>
      <c r="K7" s="904"/>
      <c r="L7" s="904"/>
      <c r="M7" s="904"/>
      <c r="N7" s="904"/>
      <c r="O7" s="904"/>
      <c r="P7" s="904"/>
      <c r="Q7" s="904"/>
      <c r="R7" s="904"/>
    </row>
    <row r="8" spans="1:29">
      <c r="A8" s="2666"/>
      <c r="B8" s="327" t="s">
        <v>3008</v>
      </c>
      <c r="C8" s="2694" t="s">
        <v>3009</v>
      </c>
      <c r="D8" s="2695"/>
      <c r="E8" s="2695"/>
      <c r="F8" s="2699"/>
      <c r="G8" s="2699"/>
      <c r="H8" s="904"/>
      <c r="I8" s="904"/>
      <c r="J8" s="904"/>
      <c r="K8" s="904"/>
      <c r="L8" s="904"/>
      <c r="M8" s="904"/>
      <c r="N8" s="904"/>
      <c r="O8" s="904"/>
      <c r="P8" s="904"/>
      <c r="Q8" s="904"/>
      <c r="R8" s="904"/>
    </row>
    <row r="9" spans="1:29" ht="24">
      <c r="A9" s="2666"/>
      <c r="B9" s="327" t="s">
        <v>3012</v>
      </c>
      <c r="C9" s="2692" t="s">
        <v>3013</v>
      </c>
      <c r="D9" s="2689"/>
      <c r="E9" s="2695"/>
      <c r="F9" s="2699"/>
      <c r="G9" s="2699"/>
      <c r="H9" s="904"/>
      <c r="I9" s="904"/>
      <c r="J9" s="904"/>
      <c r="K9" s="904"/>
      <c r="L9" s="904"/>
      <c r="M9" s="904"/>
      <c r="N9" s="904"/>
      <c r="O9" s="904"/>
      <c r="P9" s="904"/>
      <c r="Q9" s="904"/>
      <c r="R9" s="904"/>
    </row>
    <row r="10" spans="1:29" s="2705" customFormat="1" ht="15" thickBot="1">
      <c r="A10" s="2667"/>
      <c r="B10" s="2700" t="s">
        <v>3014</v>
      </c>
      <c r="C10" s="2701"/>
      <c r="D10" s="2689"/>
      <c r="E10" s="2689"/>
      <c r="F10" s="2699"/>
      <c r="G10" s="2699"/>
      <c r="H10" s="2702"/>
      <c r="I10" s="2703"/>
      <c r="J10" s="2704"/>
      <c r="K10" s="2702"/>
      <c r="L10" s="2703"/>
      <c r="M10" s="2704"/>
      <c r="N10" s="2702"/>
      <c r="O10" s="2703"/>
      <c r="P10" s="2704"/>
      <c r="Q10" s="2702"/>
      <c r="R10" s="2703"/>
      <c r="S10" s="904"/>
      <c r="T10" s="904"/>
      <c r="U10" s="904"/>
      <c r="V10" s="904"/>
      <c r="W10" s="904"/>
      <c r="X10" s="904"/>
      <c r="Y10" s="904"/>
      <c r="Z10" s="904"/>
      <c r="AA10" s="904"/>
      <c r="AB10" s="904"/>
      <c r="AC10" s="904"/>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4"/>
      <c r="T11" s="904"/>
      <c r="U11" s="904"/>
      <c r="V11" s="904"/>
      <c r="W11" s="904"/>
      <c r="X11" s="904"/>
      <c r="Y11" s="904"/>
      <c r="Z11" s="904"/>
      <c r="AA11" s="904"/>
      <c r="AB11" s="904"/>
      <c r="AC11" s="904"/>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3032</v>
      </c>
      <c r="B13" s="2708"/>
      <c r="C13" s="2708"/>
      <c r="D13" s="2706"/>
      <c r="E13" s="2708"/>
      <c r="F13" s="2708"/>
      <c r="G13" s="2708"/>
    </row>
    <row r="14" spans="1:29" ht="15" thickBot="1">
      <c r="A14" s="2718"/>
      <c r="B14" s="2718"/>
      <c r="C14" s="2719" t="s">
        <v>3015</v>
      </c>
      <c r="D14" s="2689"/>
      <c r="E14" s="2720"/>
      <c r="F14" s="2720"/>
      <c r="G14" s="2684" t="s">
        <v>3016</v>
      </c>
    </row>
    <row r="15" spans="1:29" ht="51">
      <c r="A15" s="2668" t="s">
        <v>3017</v>
      </c>
      <c r="B15" s="2721" t="s">
        <v>2997</v>
      </c>
      <c r="C15" s="2722" t="str">
        <f>C3</f>
        <v>估价对象周边居住用地比例、居住小区规模和社区发展完善程度，综合评价居住社区成熟度一般</v>
      </c>
      <c r="D15" s="2689"/>
      <c r="E15" s="2669" t="s">
        <v>3018</v>
      </c>
      <c r="F15" s="2721" t="s">
        <v>3019</v>
      </c>
      <c r="G15" s="2723" t="str">
        <f>G3</f>
        <v>估价对象位于XX开发区，园区建设成熟度XX，产业集聚程度XX</v>
      </c>
    </row>
    <row r="16" spans="1:29" ht="38.25">
      <c r="A16" s="2670"/>
      <c r="B16" s="2724" t="s">
        <v>2999</v>
      </c>
      <c r="C16" s="2725" t="str">
        <f>C4</f>
        <v>估价对象位于XX商圈，周边商业氛围成熟，人流量大，商业繁华度好</v>
      </c>
      <c r="D16" s="2689"/>
      <c r="E16" s="2671"/>
      <c r="F16" s="2726" t="s">
        <v>3001</v>
      </c>
      <c r="G16" s="2727" t="str">
        <f>G4</f>
        <v>估价对象周边道路状况、公共交通通达情况、停车便捷程度，综合评价交通便捷度较好</v>
      </c>
    </row>
    <row r="17" spans="1:18" ht="38.25">
      <c r="A17" s="2670"/>
      <c r="B17" s="2724" t="s">
        <v>3003</v>
      </c>
      <c r="C17" s="2725" t="str">
        <f>C5</f>
        <v>估价对象位于XX商圈，周边办公楼项目较多，入驻率高，办公集聚程度较好</v>
      </c>
      <c r="D17" s="2695"/>
      <c r="E17" s="2671"/>
      <c r="F17" s="2726" t="s">
        <v>3020</v>
      </c>
      <c r="G17" s="2728"/>
    </row>
    <row r="18" spans="1:18" ht="38.25">
      <c r="A18" s="2670"/>
      <c r="B18" s="2726" t="s">
        <v>3007</v>
      </c>
      <c r="C18" s="2727" t="str">
        <f>C6</f>
        <v>估价对象周边道路状况、公共交通通达情况、停车便捷程度，综合评价交通便捷度较好</v>
      </c>
      <c r="D18" s="2695"/>
      <c r="E18" s="2671"/>
      <c r="F18" s="2726" t="s">
        <v>3010</v>
      </c>
      <c r="G18" s="2727" t="str">
        <f>G7</f>
        <v>该园区内是否有污染型企业，绿化情况，卫生条件，整体环境状况判断</v>
      </c>
    </row>
    <row r="19" spans="1:18" ht="25.5">
      <c r="A19" s="2670"/>
      <c r="B19" s="2726" t="s">
        <v>3021</v>
      </c>
      <c r="C19" s="2728"/>
      <c r="D19" s="2689"/>
      <c r="E19" s="2671"/>
      <c r="F19" s="327" t="s">
        <v>3005</v>
      </c>
      <c r="G19" s="2727" t="str">
        <f>G5</f>
        <v>估价对象所在区域公共配套设施齐备情况</v>
      </c>
    </row>
    <row r="20" spans="1:18" ht="25.5">
      <c r="A20" s="2670"/>
      <c r="B20" s="2726" t="s">
        <v>3022</v>
      </c>
      <c r="C20" s="2725" t="str">
        <f>C9</f>
        <v>区域自然环境：；人文环境；综合评价环境状况一般</v>
      </c>
      <c r="D20" s="2695"/>
      <c r="E20" s="2671"/>
      <c r="F20" s="327" t="s">
        <v>3008</v>
      </c>
      <c r="G20" s="2727" t="str">
        <f>G6</f>
        <v>估价对象所在区域基础设施水平</v>
      </c>
    </row>
    <row r="21" spans="1:18" ht="25.5">
      <c r="A21" s="2670"/>
      <c r="B21" s="327" t="s">
        <v>3005</v>
      </c>
      <c r="C21" s="2727" t="str">
        <f>C7</f>
        <v>估价对象所在区域公共配套设施齐备情况</v>
      </c>
      <c r="D21" s="2689"/>
      <c r="E21" s="2671"/>
      <c r="F21" s="2726" t="s">
        <v>3023</v>
      </c>
      <c r="G21" s="2729"/>
    </row>
    <row r="22" spans="1:18" ht="13.5" customHeight="1">
      <c r="A22" s="2670"/>
      <c r="B22" s="327" t="s">
        <v>3008</v>
      </c>
      <c r="C22" s="2727" t="str">
        <f>C8</f>
        <v>估价对象所在区域基础设施水平</v>
      </c>
      <c r="D22" s="2689"/>
      <c r="E22" s="2671"/>
      <c r="F22" s="2726" t="s">
        <v>3014</v>
      </c>
      <c r="G22" s="2728"/>
    </row>
    <row r="23" spans="1:18" s="904" customFormat="1" ht="15" thickBot="1">
      <c r="A23" s="2670"/>
      <c r="B23" s="2726" t="s">
        <v>3023</v>
      </c>
      <c r="C23" s="2729"/>
      <c r="D23" s="1925"/>
      <c r="E23" s="2672"/>
      <c r="F23" s="2730" t="s">
        <v>3024</v>
      </c>
      <c r="G23" s="2731"/>
      <c r="H23" s="2715"/>
      <c r="I23" s="2716"/>
      <c r="J23" s="2715"/>
      <c r="K23" s="2715"/>
      <c r="L23" s="2716"/>
      <c r="M23" s="2715"/>
      <c r="N23" s="2715"/>
      <c r="O23" s="2716"/>
      <c r="P23" s="2715"/>
      <c r="Q23" s="2715"/>
      <c r="R23" s="2717"/>
    </row>
    <row r="24" spans="1:18" s="904" customFormat="1" ht="15" thickBot="1">
      <c r="A24" s="2673"/>
      <c r="B24" s="2730" t="s">
        <v>3025</v>
      </c>
      <c r="C24" s="2732">
        <f>C10</f>
        <v>0</v>
      </c>
      <c r="D24" s="1925"/>
      <c r="E24" s="2663"/>
      <c r="F24" s="2663"/>
      <c r="G24" s="2733"/>
      <c r="H24" s="2715"/>
      <c r="I24" s="2716"/>
      <c r="J24" s="2715"/>
      <c r="K24" s="2715"/>
      <c r="L24" s="2716"/>
      <c r="M24" s="2715"/>
      <c r="N24" s="2715"/>
      <c r="O24" s="2716"/>
      <c r="P24" s="2715"/>
      <c r="Q24" s="2715"/>
      <c r="R24" s="2717"/>
    </row>
    <row r="25" spans="1:18" s="904" customFormat="1">
      <c r="B25" s="2715"/>
      <c r="C25" s="2715"/>
      <c r="D25" s="2715"/>
      <c r="H25" s="2715"/>
      <c r="I25" s="2716"/>
      <c r="J25" s="2715"/>
      <c r="K25" s="2715"/>
      <c r="L25" s="2716"/>
      <c r="M25" s="2715"/>
      <c r="N25" s="2715"/>
      <c r="O25" s="2716"/>
      <c r="P25" s="2715"/>
      <c r="Q25" s="2715"/>
      <c r="R25" s="2717"/>
    </row>
    <row r="26" spans="1:18" s="904" customFormat="1">
      <c r="B26" s="2715"/>
      <c r="C26" s="2715"/>
      <c r="D26" s="2715"/>
      <c r="H26" s="2715"/>
      <c r="I26" s="2716"/>
      <c r="J26" s="2715"/>
      <c r="K26" s="2715"/>
      <c r="L26" s="2716"/>
      <c r="M26" s="2715"/>
      <c r="N26" s="2715"/>
      <c r="O26" s="2716"/>
      <c r="P26" s="2715"/>
      <c r="Q26" s="2715"/>
      <c r="R26" s="2717"/>
    </row>
    <row r="27" spans="1:18" s="904" customFormat="1">
      <c r="B27" s="2715"/>
      <c r="C27" s="2715"/>
      <c r="D27" s="2715"/>
      <c r="H27" s="2715"/>
      <c r="I27" s="2716"/>
      <c r="J27" s="2715"/>
      <c r="K27" s="2715"/>
      <c r="L27" s="2716"/>
      <c r="M27" s="2715"/>
      <c r="N27" s="2715"/>
      <c r="O27" s="2716"/>
      <c r="P27" s="2715"/>
      <c r="Q27" s="2715"/>
      <c r="R27" s="2717"/>
    </row>
    <row r="28" spans="1:18" s="904" customFormat="1">
      <c r="B28" s="2715"/>
      <c r="C28" s="2715"/>
      <c r="D28" s="2715"/>
      <c r="H28" s="2715"/>
      <c r="I28" s="2716"/>
      <c r="J28" s="2715"/>
      <c r="K28" s="2715"/>
      <c r="L28" s="2716"/>
      <c r="M28" s="2715"/>
      <c r="N28" s="2715"/>
      <c r="O28" s="2716"/>
      <c r="P28" s="2715"/>
      <c r="Q28" s="2715"/>
      <c r="R28" s="2717"/>
    </row>
    <row r="29" spans="1:18" s="904" customFormat="1">
      <c r="B29" s="2715"/>
      <c r="C29" s="2715"/>
      <c r="D29" s="2715"/>
      <c r="H29" s="2715"/>
      <c r="I29" s="2716"/>
      <c r="J29" s="2715"/>
      <c r="K29" s="2715"/>
      <c r="L29" s="2716"/>
      <c r="M29" s="2715"/>
      <c r="N29" s="2715"/>
      <c r="O29" s="2716"/>
      <c r="P29" s="2715"/>
      <c r="Q29" s="2715"/>
      <c r="R29" s="2717"/>
    </row>
    <row r="30" spans="1:18" s="904" customFormat="1">
      <c r="B30" s="2715"/>
      <c r="C30" s="2715"/>
      <c r="D30" s="2715"/>
      <c r="H30" s="2715"/>
      <c r="I30" s="2716"/>
      <c r="J30" s="2715"/>
      <c r="K30" s="2715"/>
      <c r="L30" s="2716"/>
      <c r="M30" s="2715"/>
      <c r="N30" s="2715"/>
      <c r="O30" s="2716"/>
      <c r="P30" s="2715"/>
      <c r="Q30" s="2715"/>
      <c r="R30" s="2717"/>
    </row>
    <row r="31" spans="1:18" s="904" customFormat="1">
      <c r="B31" s="2715"/>
      <c r="C31" s="2715"/>
      <c r="D31" s="2715"/>
      <c r="H31" s="2715"/>
      <c r="I31" s="2716"/>
      <c r="J31" s="2715"/>
      <c r="K31" s="2715"/>
      <c r="L31" s="2716"/>
      <c r="M31" s="2715"/>
      <c r="N31" s="2715"/>
      <c r="O31" s="2716"/>
      <c r="P31" s="2715"/>
      <c r="Q31" s="2715"/>
      <c r="R31" s="2717"/>
    </row>
    <row r="32" spans="1:18" s="904" customFormat="1">
      <c r="B32" s="2715"/>
      <c r="C32" s="2715"/>
      <c r="D32" s="2715"/>
      <c r="H32" s="2715"/>
      <c r="I32" s="2716"/>
      <c r="J32" s="2715"/>
      <c r="K32" s="2715"/>
      <c r="L32" s="2716"/>
      <c r="M32" s="2715"/>
      <c r="N32" s="2715"/>
      <c r="O32" s="2716"/>
      <c r="P32" s="2715"/>
      <c r="Q32" s="2715"/>
      <c r="R32" s="2717"/>
    </row>
    <row r="33" spans="2:18" s="904" customFormat="1">
      <c r="B33" s="2715"/>
      <c r="C33" s="2715"/>
      <c r="D33" s="2715"/>
      <c r="H33" s="2715"/>
      <c r="I33" s="2716"/>
      <c r="J33" s="2715"/>
      <c r="K33" s="2715"/>
      <c r="L33" s="2716"/>
      <c r="M33" s="2715"/>
      <c r="N33" s="2715"/>
      <c r="O33" s="2716"/>
      <c r="P33" s="2715"/>
      <c r="Q33" s="2715"/>
      <c r="R33" s="2717"/>
    </row>
    <row r="34" spans="2:18" s="904" customFormat="1">
      <c r="B34" s="2715"/>
      <c r="C34" s="2715"/>
      <c r="D34" s="2715"/>
      <c r="H34" s="2715"/>
      <c r="I34" s="2716"/>
      <c r="J34" s="2715"/>
      <c r="K34" s="2715"/>
      <c r="L34" s="2716"/>
      <c r="M34" s="2715"/>
      <c r="N34" s="2715"/>
      <c r="O34" s="2716"/>
      <c r="P34" s="2715"/>
      <c r="Q34" s="2715"/>
      <c r="R34" s="2717"/>
    </row>
    <row r="35" spans="2:18" s="904" customFormat="1">
      <c r="B35" s="2715"/>
      <c r="C35" s="2715"/>
      <c r="D35" s="2715"/>
      <c r="H35" s="2715"/>
      <c r="I35" s="2716"/>
      <c r="J35" s="2715"/>
      <c r="K35" s="2715"/>
      <c r="L35" s="2716"/>
      <c r="M35" s="2715"/>
      <c r="N35" s="2715"/>
      <c r="O35" s="2716"/>
      <c r="P35" s="2715"/>
      <c r="Q35" s="2715"/>
      <c r="R35" s="2717"/>
    </row>
    <row r="36" spans="2:18" s="904" customFormat="1">
      <c r="B36" s="2715"/>
      <c r="C36" s="2715"/>
      <c r="D36" s="2715"/>
      <c r="H36" s="2715"/>
      <c r="I36" s="2716"/>
      <c r="J36" s="2715"/>
      <c r="K36" s="2715"/>
      <c r="L36" s="2716"/>
      <c r="M36" s="2715"/>
      <c r="N36" s="2715"/>
      <c r="O36" s="2716"/>
      <c r="P36" s="2715"/>
      <c r="Q36" s="2715"/>
      <c r="R36" s="2717"/>
    </row>
    <row r="37" spans="2:18" s="904" customFormat="1">
      <c r="B37" s="2715"/>
      <c r="C37" s="2715"/>
      <c r="D37" s="2715"/>
      <c r="H37" s="2715"/>
      <c r="I37" s="2716"/>
      <c r="J37" s="2715"/>
      <c r="K37" s="2715"/>
      <c r="L37" s="2716"/>
      <c r="M37" s="2715"/>
      <c r="N37" s="2715"/>
      <c r="O37" s="2716"/>
      <c r="P37" s="2715"/>
      <c r="Q37" s="2715"/>
      <c r="R37" s="2717"/>
    </row>
    <row r="38" spans="2:18" s="904" customFormat="1">
      <c r="B38" s="2715"/>
      <c r="C38" s="2715"/>
      <c r="D38" s="2715"/>
      <c r="E38" s="2715"/>
      <c r="F38" s="2715"/>
      <c r="G38" s="2716"/>
      <c r="H38" s="2715"/>
      <c r="I38" s="2716"/>
      <c r="J38" s="2715"/>
      <c r="K38" s="2715"/>
      <c r="L38" s="2716"/>
      <c r="M38" s="2715"/>
      <c r="N38" s="2715"/>
      <c r="O38" s="2716"/>
      <c r="P38" s="2715"/>
      <c r="Q38" s="2715"/>
      <c r="R38" s="2717"/>
    </row>
    <row r="39" spans="2:18" s="904" customFormat="1">
      <c r="B39" s="2715"/>
      <c r="C39" s="2715"/>
      <c r="D39" s="2715"/>
      <c r="E39" s="2715"/>
      <c r="F39" s="2715"/>
      <c r="G39" s="2716"/>
      <c r="H39" s="2715"/>
      <c r="I39" s="2716"/>
      <c r="J39" s="2715"/>
      <c r="K39" s="2715"/>
      <c r="L39" s="2716"/>
      <c r="M39" s="2715"/>
      <c r="N39" s="2715"/>
      <c r="O39" s="2716"/>
      <c r="P39" s="2715"/>
      <c r="Q39" s="2715"/>
      <c r="R39" s="2717"/>
    </row>
    <row r="40" spans="2:18" s="904" customFormat="1">
      <c r="B40" s="2715"/>
      <c r="C40" s="2715"/>
      <c r="D40" s="2715"/>
      <c r="E40" s="2715"/>
      <c r="F40" s="2715"/>
      <c r="G40" s="2716"/>
      <c r="H40" s="2715"/>
      <c r="I40" s="2716"/>
      <c r="J40" s="2715"/>
      <c r="K40" s="2715"/>
      <c r="L40" s="2716"/>
      <c r="M40" s="2715"/>
      <c r="N40" s="2715"/>
      <c r="O40" s="2716"/>
      <c r="P40" s="2715"/>
      <c r="Q40" s="2715"/>
      <c r="R40" s="2717"/>
    </row>
    <row r="41" spans="2:18" s="904" customFormat="1">
      <c r="B41" s="2715"/>
      <c r="C41" s="2715"/>
      <c r="D41" s="2715"/>
      <c r="E41" s="2715"/>
      <c r="F41" s="2715"/>
      <c r="G41" s="2716"/>
      <c r="H41" s="2715"/>
      <c r="I41" s="2716"/>
      <c r="J41" s="2715"/>
      <c r="K41" s="2715"/>
      <c r="L41" s="2716"/>
      <c r="M41" s="2715"/>
      <c r="N41" s="2715"/>
      <c r="O41" s="2716"/>
      <c r="P41" s="2715"/>
      <c r="Q41" s="2715"/>
      <c r="R41" s="2717"/>
    </row>
    <row r="42" spans="2:18" s="904" customFormat="1">
      <c r="B42" s="2715"/>
      <c r="C42" s="2715"/>
      <c r="D42" s="2715"/>
      <c r="E42" s="2715"/>
      <c r="F42" s="2715"/>
      <c r="G42" s="2716"/>
      <c r="H42" s="2715"/>
      <c r="I42" s="2716"/>
      <c r="J42" s="2715"/>
      <c r="K42" s="2715"/>
      <c r="L42" s="2716"/>
      <c r="M42" s="2715"/>
      <c r="N42" s="2715"/>
      <c r="O42" s="2716"/>
      <c r="P42" s="2715"/>
      <c r="Q42" s="2715"/>
      <c r="R42" s="2717"/>
    </row>
    <row r="43" spans="2:18" s="904" customFormat="1">
      <c r="B43" s="2715"/>
      <c r="C43" s="2715"/>
      <c r="D43" s="2715"/>
      <c r="E43" s="2715"/>
      <c r="F43" s="2715"/>
      <c r="G43" s="2716"/>
      <c r="H43" s="2715"/>
      <c r="I43" s="2716"/>
      <c r="J43" s="2715"/>
      <c r="K43" s="2715"/>
      <c r="L43" s="2716"/>
      <c r="M43" s="2715"/>
      <c r="N43" s="2715"/>
      <c r="O43" s="2716"/>
      <c r="P43" s="2715"/>
      <c r="Q43" s="2715"/>
      <c r="R43" s="2717"/>
    </row>
    <row r="44" spans="2:18" s="904" customFormat="1">
      <c r="B44" s="2715"/>
      <c r="C44" s="2715"/>
      <c r="D44" s="2715"/>
      <c r="E44" s="2715"/>
      <c r="F44" s="2715"/>
      <c r="G44" s="2716"/>
      <c r="H44" s="2715"/>
      <c r="I44" s="2716"/>
      <c r="J44" s="2715"/>
      <c r="K44" s="2715"/>
      <c r="L44" s="2716"/>
      <c r="M44" s="2715"/>
      <c r="N44" s="2715"/>
      <c r="O44" s="2716"/>
      <c r="P44" s="2715"/>
      <c r="Q44" s="2715"/>
      <c r="R44" s="2717"/>
    </row>
    <row r="45" spans="2:18" s="904" customFormat="1">
      <c r="B45" s="2715"/>
      <c r="C45" s="2715"/>
      <c r="D45" s="2715"/>
      <c r="E45" s="2715"/>
      <c r="F45" s="2715"/>
      <c r="G45" s="2716"/>
      <c r="H45" s="2715"/>
      <c r="I45" s="2716"/>
      <c r="J45" s="2715"/>
      <c r="K45" s="2715"/>
      <c r="L45" s="2716"/>
      <c r="M45" s="2715"/>
      <c r="N45" s="2715"/>
      <c r="O45" s="2716"/>
      <c r="P45" s="2715"/>
      <c r="Q45" s="2715"/>
      <c r="R45" s="2717"/>
    </row>
    <row r="46" spans="2:18" s="904" customFormat="1">
      <c r="B46" s="2715"/>
      <c r="C46" s="2715"/>
      <c r="D46" s="2715"/>
      <c r="E46" s="2715"/>
      <c r="F46" s="2715"/>
      <c r="G46" s="2716"/>
      <c r="H46" s="2715"/>
      <c r="I46" s="2716"/>
      <c r="J46" s="2715"/>
      <c r="K46" s="2715"/>
      <c r="L46" s="2716"/>
      <c r="M46" s="2715"/>
      <c r="N46" s="2715"/>
      <c r="O46" s="2716"/>
      <c r="P46" s="2715"/>
      <c r="Q46" s="2715"/>
      <c r="R46" s="2717"/>
    </row>
    <row r="47" spans="2:18" s="904" customFormat="1">
      <c r="B47" s="2715"/>
      <c r="C47" s="2715"/>
      <c r="D47" s="2715"/>
      <c r="E47" s="2715"/>
      <c r="F47" s="2715"/>
      <c r="G47" s="2716"/>
      <c r="H47" s="2715"/>
      <c r="I47" s="2716"/>
      <c r="J47" s="2715"/>
      <c r="K47" s="2715"/>
      <c r="L47" s="2716"/>
      <c r="M47" s="2715"/>
      <c r="N47" s="2715"/>
      <c r="O47" s="2716"/>
      <c r="P47" s="2715"/>
      <c r="Q47" s="2715"/>
      <c r="R47" s="2717"/>
    </row>
    <row r="48" spans="2:18" s="904" customFormat="1">
      <c r="B48" s="2715"/>
      <c r="C48" s="2715"/>
      <c r="D48" s="2715"/>
      <c r="E48" s="2715"/>
      <c r="F48" s="2715"/>
      <c r="G48" s="2716"/>
      <c r="H48" s="2715"/>
      <c r="I48" s="2716"/>
      <c r="J48" s="2715"/>
      <c r="K48" s="2715"/>
      <c r="L48" s="2716"/>
      <c r="M48" s="2715"/>
      <c r="N48" s="2715"/>
      <c r="O48" s="2716"/>
      <c r="P48" s="2715"/>
      <c r="Q48" s="2715"/>
      <c r="R48" s="2717"/>
    </row>
    <row r="49" spans="2:18" s="904" customFormat="1">
      <c r="B49" s="2715"/>
      <c r="C49" s="2715"/>
      <c r="D49" s="2715"/>
      <c r="E49" s="2715"/>
      <c r="F49" s="2715"/>
      <c r="G49" s="2716"/>
      <c r="H49" s="2715"/>
      <c r="I49" s="2716"/>
      <c r="J49" s="2715"/>
      <c r="K49" s="2715"/>
      <c r="L49" s="2716"/>
      <c r="M49" s="2715"/>
      <c r="N49" s="2715"/>
      <c r="O49" s="2716"/>
      <c r="P49" s="2715"/>
      <c r="Q49" s="2715"/>
      <c r="R49" s="2717"/>
    </row>
    <row r="50" spans="2:18" s="904" customFormat="1">
      <c r="B50" s="2715"/>
      <c r="C50" s="2715"/>
      <c r="D50" s="2715"/>
      <c r="E50" s="2715"/>
      <c r="F50" s="2715"/>
      <c r="G50" s="2716"/>
      <c r="H50" s="2715"/>
      <c r="I50" s="2716"/>
      <c r="J50" s="2715"/>
      <c r="K50" s="2715"/>
      <c r="L50" s="2716"/>
      <c r="M50" s="2715"/>
      <c r="N50" s="2715"/>
      <c r="O50" s="2716"/>
      <c r="P50" s="2715"/>
      <c r="Q50" s="2715"/>
      <c r="R50" s="2717"/>
    </row>
    <row r="51" spans="2:18" s="904" customFormat="1">
      <c r="B51" s="2715"/>
      <c r="C51" s="2715"/>
      <c r="D51" s="2715"/>
      <c r="E51" s="2715"/>
      <c r="F51" s="2715"/>
      <c r="G51" s="2716"/>
      <c r="H51" s="2715"/>
      <c r="I51" s="2716"/>
      <c r="J51" s="2715"/>
      <c r="K51" s="2715"/>
      <c r="L51" s="2716"/>
      <c r="M51" s="2715"/>
      <c r="N51" s="2715"/>
      <c r="O51" s="2716"/>
      <c r="P51" s="2715"/>
      <c r="Q51" s="2715"/>
      <c r="R51" s="2717"/>
    </row>
    <row r="52" spans="2:18" s="904" customFormat="1">
      <c r="B52" s="2715"/>
      <c r="C52" s="2715"/>
      <c r="D52" s="2715"/>
      <c r="E52" s="2715"/>
      <c r="F52" s="2715"/>
      <c r="G52" s="2716"/>
      <c r="H52" s="2715"/>
      <c r="I52" s="2716"/>
      <c r="J52" s="2715"/>
      <c r="K52" s="2715"/>
      <c r="L52" s="2716"/>
      <c r="M52" s="2715"/>
      <c r="N52" s="2715"/>
      <c r="O52" s="2716"/>
      <c r="P52" s="2715"/>
      <c r="Q52" s="2715"/>
      <c r="R52" s="2717"/>
    </row>
    <row r="53" spans="2:18" s="904" customFormat="1">
      <c r="B53" s="2715"/>
      <c r="C53" s="2715"/>
      <c r="D53" s="2715"/>
      <c r="E53" s="2715"/>
      <c r="F53" s="2715"/>
      <c r="G53" s="2716"/>
      <c r="H53" s="2715"/>
      <c r="I53" s="2716"/>
      <c r="J53" s="2715"/>
      <c r="K53" s="2715"/>
      <c r="L53" s="2716"/>
      <c r="M53" s="2715"/>
      <c r="N53" s="2715"/>
      <c r="O53" s="2716"/>
      <c r="P53" s="2715"/>
      <c r="Q53" s="2715"/>
      <c r="R53" s="2717"/>
    </row>
    <row r="54" spans="2:18" s="904" customFormat="1">
      <c r="B54" s="2715"/>
      <c r="C54" s="2715"/>
      <c r="D54" s="2715"/>
      <c r="E54" s="2715"/>
      <c r="F54" s="2715"/>
      <c r="G54" s="2716"/>
      <c r="H54" s="2715"/>
      <c r="I54" s="2716"/>
      <c r="J54" s="2715"/>
      <c r="K54" s="2715"/>
      <c r="L54" s="2716"/>
      <c r="M54" s="2715"/>
      <c r="N54" s="2715"/>
      <c r="O54" s="2716"/>
      <c r="P54" s="2715"/>
      <c r="Q54" s="2715"/>
      <c r="R54" s="2717"/>
    </row>
    <row r="55" spans="2:18" s="904" customFormat="1">
      <c r="B55" s="2715"/>
      <c r="C55" s="2715"/>
      <c r="D55" s="2715"/>
      <c r="E55" s="2715"/>
      <c r="F55" s="2715"/>
      <c r="G55" s="2716"/>
      <c r="H55" s="2715"/>
      <c r="I55" s="2716"/>
      <c r="J55" s="2715"/>
      <c r="K55" s="2715"/>
      <c r="L55" s="2716"/>
      <c r="M55" s="2715"/>
      <c r="N55" s="2715"/>
      <c r="O55" s="2716"/>
      <c r="P55" s="2715"/>
      <c r="Q55" s="2715"/>
      <c r="R55" s="2717"/>
    </row>
    <row r="56" spans="2:18" s="904" customFormat="1">
      <c r="B56" s="2715"/>
      <c r="C56" s="2715"/>
      <c r="D56" s="2715"/>
      <c r="E56" s="2715"/>
      <c r="F56" s="2715"/>
      <c r="G56" s="2716"/>
      <c r="H56" s="2715"/>
      <c r="I56" s="2716"/>
      <c r="J56" s="2715"/>
      <c r="K56" s="2715"/>
      <c r="L56" s="2716"/>
      <c r="M56" s="2715"/>
      <c r="N56" s="2715"/>
      <c r="O56" s="2716"/>
      <c r="P56" s="2715"/>
      <c r="Q56" s="2715"/>
      <c r="R56" s="2717"/>
    </row>
    <row r="57" spans="2:18" s="904" customFormat="1">
      <c r="B57" s="2715"/>
      <c r="C57" s="2715"/>
      <c r="D57" s="2715"/>
      <c r="E57" s="2715"/>
      <c r="F57" s="2715"/>
      <c r="G57" s="2716"/>
      <c r="H57" s="2715"/>
      <c r="I57" s="2716"/>
      <c r="J57" s="2715"/>
      <c r="K57" s="2715"/>
      <c r="L57" s="2716"/>
      <c r="M57" s="2715"/>
      <c r="N57" s="2715"/>
      <c r="O57" s="2716"/>
      <c r="P57" s="2715"/>
      <c r="Q57" s="2715"/>
      <c r="R57" s="2717"/>
    </row>
    <row r="58" spans="2:18" s="904" customFormat="1">
      <c r="B58" s="2715"/>
      <c r="C58" s="2715"/>
      <c r="D58" s="2715"/>
      <c r="E58" s="2715"/>
      <c r="F58" s="2715"/>
      <c r="G58" s="2716"/>
      <c r="H58" s="2715"/>
      <c r="I58" s="2716"/>
      <c r="J58" s="2715"/>
      <c r="K58" s="2715"/>
      <c r="L58" s="2716"/>
      <c r="M58" s="2715"/>
      <c r="N58" s="2715"/>
      <c r="O58" s="2716"/>
      <c r="P58" s="2715"/>
      <c r="Q58" s="2715"/>
      <c r="R58" s="2717"/>
    </row>
    <row r="59" spans="2:18" s="904" customFormat="1">
      <c r="B59" s="2715"/>
      <c r="C59" s="2715"/>
      <c r="D59" s="2715"/>
      <c r="E59" s="2715"/>
      <c r="F59" s="2715"/>
      <c r="G59" s="2716"/>
      <c r="H59" s="2715"/>
      <c r="I59" s="2716"/>
      <c r="J59" s="2715"/>
      <c r="K59" s="2715"/>
      <c r="L59" s="2716"/>
      <c r="M59" s="2715"/>
      <c r="N59" s="2715"/>
      <c r="O59" s="2716"/>
      <c r="P59" s="2715"/>
      <c r="Q59" s="2715"/>
      <c r="R59" s="2717"/>
    </row>
    <row r="60" spans="2:18" s="904" customFormat="1">
      <c r="B60" s="2715"/>
      <c r="C60" s="2715"/>
      <c r="D60" s="2715"/>
      <c r="E60" s="2715"/>
      <c r="F60" s="2715"/>
      <c r="G60" s="2716"/>
      <c r="H60" s="2715"/>
      <c r="I60" s="2716"/>
      <c r="J60" s="2715"/>
      <c r="K60" s="2715"/>
      <c r="L60" s="2716"/>
      <c r="M60" s="2715"/>
      <c r="N60" s="2715"/>
      <c r="O60" s="2716"/>
      <c r="P60" s="2715"/>
      <c r="Q60" s="2715"/>
      <c r="R60" s="2717"/>
    </row>
    <row r="61" spans="2:18" s="904" customFormat="1">
      <c r="B61" s="2715"/>
      <c r="C61" s="2715"/>
      <c r="D61" s="2715"/>
      <c r="E61" s="2715"/>
      <c r="F61" s="2715"/>
      <c r="G61" s="2716"/>
      <c r="H61" s="2715"/>
      <c r="I61" s="2716"/>
      <c r="J61" s="2715"/>
      <c r="K61" s="2715"/>
      <c r="L61" s="2716"/>
      <c r="M61" s="2715"/>
      <c r="N61" s="2715"/>
      <c r="O61" s="2716"/>
      <c r="P61" s="2715"/>
      <c r="Q61" s="2715"/>
      <c r="R61" s="2717"/>
    </row>
    <row r="62" spans="2:18" s="904" customFormat="1">
      <c r="B62" s="2715"/>
      <c r="C62" s="2715"/>
      <c r="D62" s="2715"/>
      <c r="E62" s="2715"/>
      <c r="F62" s="2715"/>
      <c r="G62" s="2716"/>
      <c r="H62" s="2715"/>
      <c r="I62" s="2716"/>
      <c r="J62" s="2715"/>
      <c r="K62" s="2715"/>
      <c r="L62" s="2716"/>
      <c r="M62" s="2715"/>
      <c r="N62" s="2715"/>
      <c r="O62" s="2716"/>
      <c r="P62" s="2715"/>
      <c r="Q62" s="2715"/>
      <c r="R62" s="2717"/>
    </row>
    <row r="63" spans="2:18" s="904" customFormat="1">
      <c r="B63" s="2715"/>
      <c r="C63" s="2715"/>
      <c r="D63" s="2715"/>
      <c r="E63" s="2715"/>
      <c r="F63" s="2715"/>
      <c r="G63" s="2716"/>
      <c r="H63" s="2715"/>
      <c r="I63" s="2716"/>
      <c r="J63" s="2715"/>
      <c r="K63" s="2715"/>
      <c r="L63" s="2716"/>
      <c r="M63" s="2715"/>
      <c r="N63" s="2715"/>
      <c r="O63" s="2716"/>
      <c r="P63" s="2715"/>
      <c r="Q63" s="2715"/>
      <c r="R63" s="2717"/>
    </row>
    <row r="64" spans="2:18" s="904" customFormat="1">
      <c r="B64" s="2715"/>
      <c r="C64" s="2715"/>
      <c r="D64" s="2715"/>
      <c r="E64" s="2715"/>
      <c r="F64" s="2715"/>
      <c r="G64" s="2716"/>
      <c r="H64" s="2715"/>
      <c r="I64" s="2716"/>
      <c r="J64" s="2715"/>
      <c r="K64" s="2715"/>
      <c r="L64" s="2716"/>
      <c r="M64" s="2715"/>
      <c r="N64" s="2715"/>
      <c r="O64" s="2716"/>
      <c r="P64" s="2715"/>
      <c r="Q64" s="2715"/>
      <c r="R64" s="2717"/>
    </row>
    <row r="65" spans="2:18" s="904" customFormat="1">
      <c r="B65" s="2715"/>
      <c r="C65" s="2715"/>
      <c r="D65" s="2715"/>
      <c r="E65" s="2715"/>
      <c r="F65" s="2715"/>
      <c r="G65" s="2716"/>
      <c r="H65" s="2715"/>
      <c r="I65" s="2716"/>
      <c r="J65" s="2715"/>
      <c r="K65" s="2715"/>
      <c r="L65" s="2716"/>
      <c r="M65" s="2715"/>
      <c r="N65" s="2715"/>
      <c r="O65" s="2716"/>
      <c r="P65" s="2715"/>
      <c r="Q65" s="2715"/>
      <c r="R65" s="2717"/>
    </row>
    <row r="66" spans="2:18" s="904" customFormat="1">
      <c r="B66" s="2715"/>
      <c r="C66" s="2715"/>
      <c r="D66" s="2715"/>
      <c r="E66" s="2715"/>
      <c r="F66" s="2715"/>
      <c r="G66" s="2716"/>
      <c r="H66" s="2715"/>
      <c r="I66" s="2716"/>
      <c r="J66" s="2715"/>
      <c r="K66" s="2715"/>
      <c r="L66" s="2716"/>
      <c r="M66" s="2715"/>
      <c r="N66" s="2715"/>
      <c r="O66" s="2716"/>
      <c r="P66" s="2715"/>
      <c r="Q66" s="2715"/>
      <c r="R66" s="2717"/>
    </row>
    <row r="67" spans="2:18" s="904" customFormat="1">
      <c r="B67" s="2715"/>
      <c r="C67" s="2715"/>
      <c r="D67" s="2715"/>
      <c r="E67" s="2715"/>
      <c r="F67" s="2715"/>
      <c r="G67" s="2716"/>
      <c r="H67" s="2715"/>
      <c r="I67" s="2716"/>
      <c r="J67" s="2715"/>
      <c r="K67" s="2715"/>
      <c r="L67" s="2716"/>
      <c r="M67" s="2715"/>
      <c r="N67" s="2715"/>
      <c r="O67" s="2716"/>
      <c r="P67" s="2715"/>
      <c r="Q67" s="2715"/>
      <c r="R67" s="2717"/>
    </row>
    <row r="68" spans="2:18" s="904" customFormat="1">
      <c r="B68" s="2715"/>
      <c r="C68" s="2715"/>
      <c r="D68" s="2715"/>
      <c r="E68" s="2715"/>
      <c r="F68" s="2715"/>
      <c r="G68" s="2716"/>
      <c r="H68" s="2715"/>
      <c r="I68" s="2716"/>
      <c r="J68" s="2715"/>
      <c r="K68" s="2715"/>
      <c r="L68" s="2716"/>
      <c r="M68" s="2715"/>
      <c r="N68" s="2715"/>
      <c r="O68" s="2716"/>
      <c r="P68" s="2715"/>
      <c r="Q68" s="2715"/>
      <c r="R68" s="2717"/>
    </row>
    <row r="69" spans="2:18" s="904" customFormat="1">
      <c r="B69" s="2715"/>
      <c r="C69" s="2715"/>
      <c r="D69" s="2715"/>
      <c r="E69" s="2715"/>
      <c r="F69" s="2715"/>
      <c r="G69" s="2716"/>
      <c r="H69" s="2715"/>
      <c r="I69" s="2716"/>
      <c r="J69" s="2715"/>
      <c r="K69" s="2715"/>
      <c r="L69" s="2716"/>
      <c r="M69" s="2715"/>
      <c r="N69" s="2715"/>
      <c r="O69" s="2716"/>
      <c r="P69" s="2715"/>
      <c r="Q69" s="2715"/>
      <c r="R69" s="2717"/>
    </row>
    <row r="70" spans="2:18" s="904" customFormat="1">
      <c r="B70" s="2715"/>
      <c r="C70" s="2715"/>
      <c r="D70" s="2715"/>
      <c r="E70" s="2715"/>
      <c r="F70" s="2715"/>
      <c r="G70" s="2716"/>
      <c r="H70" s="2715"/>
      <c r="I70" s="2716"/>
      <c r="J70" s="2715"/>
      <c r="K70" s="2715"/>
      <c r="L70" s="2716"/>
      <c r="M70" s="2715"/>
      <c r="N70" s="2715"/>
      <c r="O70" s="2716"/>
      <c r="P70" s="2715"/>
      <c r="Q70" s="2715"/>
      <c r="R70" s="2717"/>
    </row>
    <row r="71" spans="2:18" s="904" customFormat="1">
      <c r="B71" s="2715"/>
      <c r="C71" s="2715"/>
      <c r="D71" s="2715"/>
      <c r="E71" s="2715"/>
      <c r="F71" s="2715"/>
      <c r="G71" s="2716"/>
      <c r="H71" s="2715"/>
      <c r="I71" s="2716"/>
      <c r="J71" s="2715"/>
      <c r="K71" s="2715"/>
      <c r="L71" s="2716"/>
      <c r="M71" s="2715"/>
      <c r="N71" s="2715"/>
      <c r="O71" s="2716"/>
      <c r="P71" s="2715"/>
      <c r="Q71" s="2715"/>
      <c r="R71" s="2717"/>
    </row>
    <row r="72" spans="2:18" s="904" customFormat="1">
      <c r="B72" s="2715"/>
      <c r="C72" s="2715"/>
      <c r="D72" s="2715"/>
      <c r="E72" s="2715"/>
      <c r="F72" s="2715"/>
      <c r="G72" s="2716"/>
      <c r="H72" s="2715"/>
      <c r="I72" s="2716"/>
      <c r="J72" s="2715"/>
      <c r="K72" s="2715"/>
      <c r="L72" s="2716"/>
      <c r="M72" s="2715"/>
      <c r="N72" s="2715"/>
      <c r="O72" s="2716"/>
      <c r="P72" s="2715"/>
      <c r="Q72" s="2715"/>
      <c r="R72" s="2717"/>
    </row>
    <row r="73" spans="2:18" s="904" customFormat="1">
      <c r="B73" s="2715"/>
      <c r="C73" s="2715"/>
      <c r="D73" s="2715"/>
      <c r="E73" s="2715"/>
      <c r="F73" s="2715"/>
      <c r="G73" s="2716"/>
      <c r="H73" s="2715"/>
      <c r="I73" s="2716"/>
      <c r="J73" s="2715"/>
      <c r="K73" s="2715"/>
      <c r="L73" s="2716"/>
      <c r="M73" s="2715"/>
      <c r="N73" s="2715"/>
      <c r="O73" s="2716"/>
      <c r="P73" s="2715"/>
      <c r="Q73" s="2715"/>
      <c r="R73" s="2717"/>
    </row>
    <row r="74" spans="2:18" s="904" customFormat="1">
      <c r="B74" s="2715"/>
      <c r="C74" s="2715"/>
      <c r="D74" s="2715"/>
      <c r="E74" s="2715"/>
      <c r="F74" s="2715"/>
      <c r="G74" s="2716"/>
      <c r="H74" s="2715"/>
      <c r="I74" s="2716"/>
      <c r="J74" s="2715"/>
      <c r="K74" s="2715"/>
      <c r="L74" s="2716"/>
      <c r="M74" s="2715"/>
      <c r="N74" s="2715"/>
      <c r="O74" s="2716"/>
      <c r="P74" s="2715"/>
      <c r="Q74" s="2715"/>
      <c r="R74" s="2717"/>
    </row>
    <row r="75" spans="2:18" s="904" customFormat="1">
      <c r="B75" s="2715"/>
      <c r="C75" s="2715"/>
      <c r="D75" s="2715"/>
      <c r="E75" s="2715"/>
      <c r="F75" s="2715"/>
      <c r="G75" s="2716"/>
      <c r="H75" s="2715"/>
      <c r="I75" s="2716"/>
      <c r="J75" s="2715"/>
      <c r="K75" s="2715"/>
      <c r="L75" s="2716"/>
      <c r="M75" s="2715"/>
      <c r="N75" s="2715"/>
      <c r="O75" s="2716"/>
      <c r="P75" s="2715"/>
      <c r="Q75" s="2715"/>
      <c r="R75" s="2717"/>
    </row>
    <row r="76" spans="2:18" s="904" customFormat="1">
      <c r="B76" s="2715"/>
      <c r="C76" s="2715"/>
      <c r="D76" s="2715"/>
      <c r="E76" s="2715"/>
      <c r="F76" s="2715"/>
      <c r="G76" s="2716"/>
      <c r="H76" s="2715"/>
      <c r="I76" s="2716"/>
      <c r="J76" s="2715"/>
      <c r="K76" s="2715"/>
      <c r="L76" s="2716"/>
      <c r="M76" s="2715"/>
      <c r="N76" s="2715"/>
      <c r="O76" s="2716"/>
      <c r="P76" s="2715"/>
      <c r="Q76" s="2715"/>
      <c r="R76" s="2717"/>
    </row>
    <row r="77" spans="2:18" s="904" customFormat="1">
      <c r="B77" s="2715"/>
      <c r="C77" s="2715"/>
      <c r="D77" s="2715"/>
      <c r="E77" s="2715"/>
      <c r="F77" s="2715"/>
      <c r="G77" s="2716"/>
      <c r="H77" s="2715"/>
      <c r="I77" s="2716"/>
      <c r="J77" s="2715"/>
      <c r="K77" s="2715"/>
      <c r="L77" s="2716"/>
      <c r="M77" s="2715"/>
      <c r="N77" s="2715"/>
      <c r="O77" s="2716"/>
      <c r="P77" s="2715"/>
      <c r="Q77" s="2715"/>
      <c r="R77" s="2717"/>
    </row>
    <row r="78" spans="2:18" s="904" customFormat="1">
      <c r="B78" s="2715"/>
      <c r="C78" s="2715"/>
      <c r="D78" s="2715"/>
      <c r="E78" s="2715"/>
      <c r="F78" s="2715"/>
      <c r="G78" s="2716"/>
      <c r="H78" s="2715"/>
      <c r="I78" s="2716"/>
      <c r="J78" s="2715"/>
      <c r="K78" s="2715"/>
      <c r="L78" s="2716"/>
      <c r="M78" s="2715"/>
      <c r="N78" s="2715"/>
      <c r="O78" s="2716"/>
      <c r="P78" s="2715"/>
      <c r="Q78" s="2715"/>
      <c r="R78" s="2717"/>
    </row>
    <row r="79" spans="2:18" s="904" customFormat="1">
      <c r="B79" s="2715"/>
      <c r="C79" s="2715"/>
      <c r="D79" s="2715"/>
      <c r="E79" s="2715"/>
      <c r="F79" s="2715"/>
      <c r="G79" s="2716"/>
      <c r="H79" s="2715"/>
      <c r="I79" s="2716"/>
      <c r="J79" s="2715"/>
      <c r="K79" s="2715"/>
      <c r="L79" s="2716"/>
      <c r="M79" s="2715"/>
      <c r="N79" s="2715"/>
      <c r="O79" s="2716"/>
      <c r="P79" s="2715"/>
      <c r="Q79" s="2715"/>
      <c r="R79" s="2717"/>
    </row>
    <row r="80" spans="2:18" s="904" customFormat="1">
      <c r="B80" s="2715"/>
      <c r="C80" s="2715"/>
      <c r="D80" s="2715"/>
      <c r="E80" s="2715"/>
      <c r="F80" s="2715"/>
      <c r="G80" s="2716"/>
      <c r="H80" s="2715"/>
      <c r="I80" s="2716"/>
      <c r="J80" s="2715"/>
      <c r="K80" s="2715"/>
      <c r="L80" s="2716"/>
      <c r="M80" s="2715"/>
      <c r="N80" s="2715"/>
      <c r="O80" s="2716"/>
      <c r="P80" s="2715"/>
      <c r="Q80" s="2715"/>
      <c r="R80" s="2717"/>
    </row>
    <row r="81" spans="2:18" s="904" customFormat="1">
      <c r="B81" s="2715"/>
      <c r="C81" s="2715"/>
      <c r="D81" s="2715"/>
      <c r="E81" s="2715"/>
      <c r="F81" s="2715"/>
      <c r="G81" s="2716"/>
      <c r="H81" s="2715"/>
      <c r="I81" s="2716"/>
      <c r="J81" s="2715"/>
      <c r="K81" s="2715"/>
      <c r="L81" s="2716"/>
      <c r="M81" s="2715"/>
      <c r="N81" s="2715"/>
      <c r="O81" s="2716"/>
      <c r="P81" s="2715"/>
      <c r="Q81" s="2715"/>
      <c r="R81" s="2717"/>
    </row>
    <row r="82" spans="2:18" s="904" customFormat="1">
      <c r="B82" s="2715"/>
      <c r="C82" s="2715"/>
      <c r="D82" s="2715"/>
      <c r="E82" s="2715"/>
      <c r="F82" s="2715"/>
      <c r="G82" s="2716"/>
      <c r="H82" s="2715"/>
      <c r="I82" s="2716"/>
      <c r="J82" s="2715"/>
      <c r="K82" s="2715"/>
      <c r="L82" s="2716"/>
      <c r="M82" s="2715"/>
      <c r="N82" s="2715"/>
      <c r="O82" s="2716"/>
      <c r="P82" s="2715"/>
      <c r="Q82" s="2715"/>
      <c r="R82" s="2717"/>
    </row>
    <row r="83" spans="2:18" s="904" customFormat="1">
      <c r="B83" s="2715"/>
      <c r="C83" s="2715"/>
      <c r="D83" s="2715"/>
      <c r="E83" s="2715"/>
      <c r="F83" s="2715"/>
      <c r="G83" s="2716"/>
      <c r="H83" s="2715"/>
      <c r="I83" s="2716"/>
      <c r="J83" s="2715"/>
      <c r="K83" s="2715"/>
      <c r="L83" s="2716"/>
      <c r="M83" s="2715"/>
      <c r="N83" s="2715"/>
      <c r="O83" s="2716"/>
      <c r="P83" s="2715"/>
      <c r="Q83" s="2715"/>
      <c r="R83" s="2717"/>
    </row>
    <row r="84" spans="2:18" s="904" customFormat="1">
      <c r="B84" s="2715"/>
      <c r="C84" s="2715"/>
      <c r="D84" s="2715"/>
      <c r="E84" s="2715"/>
      <c r="F84" s="2715"/>
      <c r="G84" s="2716"/>
      <c r="H84" s="2715"/>
      <c r="I84" s="2716"/>
      <c r="J84" s="2715"/>
      <c r="K84" s="2715"/>
      <c r="L84" s="2716"/>
      <c r="M84" s="2715"/>
      <c r="N84" s="2715"/>
      <c r="O84" s="2716"/>
      <c r="P84" s="2715"/>
      <c r="Q84" s="2715"/>
      <c r="R84" s="2717"/>
    </row>
    <row r="85" spans="2:18" s="904" customFormat="1">
      <c r="B85" s="2715"/>
      <c r="C85" s="2715"/>
      <c r="D85" s="2715"/>
      <c r="E85" s="2715"/>
      <c r="F85" s="2715"/>
      <c r="G85" s="2716"/>
      <c r="H85" s="2715"/>
      <c r="I85" s="2716"/>
      <c r="J85" s="2715"/>
      <c r="K85" s="2715"/>
      <c r="L85" s="2716"/>
      <c r="M85" s="2715"/>
      <c r="N85" s="2715"/>
      <c r="O85" s="2716"/>
      <c r="P85" s="2715"/>
      <c r="Q85" s="2715"/>
      <c r="R85" s="2717"/>
    </row>
    <row r="86" spans="2:18" s="904" customFormat="1">
      <c r="B86" s="2715"/>
      <c r="C86" s="2715"/>
      <c r="D86" s="2715"/>
      <c r="E86" s="2715"/>
      <c r="F86" s="2715"/>
      <c r="G86" s="2716"/>
      <c r="H86" s="2715"/>
      <c r="I86" s="2716"/>
      <c r="J86" s="2715"/>
      <c r="K86" s="2715"/>
      <c r="L86" s="2716"/>
      <c r="M86" s="2715"/>
      <c r="N86" s="2715"/>
      <c r="O86" s="2716"/>
      <c r="P86" s="2715"/>
      <c r="Q86" s="2715"/>
      <c r="R86" s="2717"/>
    </row>
    <row r="87" spans="2:18" s="904" customFormat="1">
      <c r="B87" s="2715"/>
      <c r="C87" s="2715"/>
      <c r="D87" s="2715"/>
      <c r="E87" s="2715"/>
      <c r="F87" s="2715"/>
      <c r="G87" s="2716"/>
      <c r="H87" s="2715"/>
      <c r="I87" s="2716"/>
      <c r="J87" s="2715"/>
      <c r="K87" s="2715"/>
      <c r="L87" s="2716"/>
      <c r="M87" s="2715"/>
      <c r="N87" s="2715"/>
      <c r="O87" s="2716"/>
      <c r="P87" s="2715"/>
      <c r="Q87" s="2715"/>
      <c r="R87" s="2717"/>
    </row>
    <row r="88" spans="2:18" s="904" customFormat="1">
      <c r="B88" s="2715"/>
      <c r="C88" s="2715"/>
      <c r="D88" s="2715"/>
      <c r="E88" s="2715"/>
      <c r="F88" s="2715"/>
      <c r="G88" s="2716"/>
      <c r="H88" s="2715"/>
      <c r="I88" s="2716"/>
      <c r="J88" s="2715"/>
      <c r="K88" s="2715"/>
      <c r="L88" s="2716"/>
      <c r="M88" s="2715"/>
      <c r="N88" s="2715"/>
      <c r="O88" s="2716"/>
      <c r="P88" s="2715"/>
      <c r="Q88" s="2715"/>
      <c r="R88" s="2717"/>
    </row>
    <row r="89" spans="2:18" s="904" customFormat="1">
      <c r="B89" s="2715"/>
      <c r="C89" s="2715"/>
      <c r="D89" s="2715"/>
      <c r="E89" s="2715"/>
      <c r="F89" s="2715"/>
      <c r="G89" s="2716"/>
      <c r="H89" s="2715"/>
      <c r="I89" s="2716"/>
      <c r="J89" s="2715"/>
      <c r="K89" s="2715"/>
      <c r="L89" s="2716"/>
      <c r="M89" s="2715"/>
      <c r="N89" s="2715"/>
      <c r="O89" s="2716"/>
      <c r="P89" s="2715"/>
      <c r="Q89" s="2715"/>
      <c r="R89" s="2717"/>
    </row>
    <row r="90" spans="2:18" s="904" customFormat="1">
      <c r="B90" s="2715"/>
      <c r="C90" s="2715"/>
      <c r="D90" s="2715"/>
      <c r="E90" s="2715"/>
      <c r="F90" s="2715"/>
      <c r="G90" s="2716"/>
      <c r="H90" s="2715"/>
      <c r="I90" s="2716"/>
      <c r="J90" s="2715"/>
      <c r="K90" s="2715"/>
      <c r="L90" s="2716"/>
      <c r="M90" s="2715"/>
      <c r="N90" s="2715"/>
      <c r="O90" s="2716"/>
      <c r="P90" s="2715"/>
      <c r="Q90" s="2715"/>
      <c r="R90" s="2717"/>
    </row>
    <row r="91" spans="2:18" s="904" customFormat="1">
      <c r="B91" s="2715"/>
      <c r="C91" s="2715"/>
      <c r="D91" s="2715"/>
      <c r="E91" s="2715"/>
      <c r="F91" s="2715"/>
      <c r="G91" s="2716"/>
      <c r="H91" s="2715"/>
      <c r="I91" s="2716"/>
      <c r="J91" s="2715"/>
      <c r="K91" s="2715"/>
      <c r="L91" s="2716"/>
      <c r="M91" s="2715"/>
      <c r="N91" s="2715"/>
      <c r="O91" s="2716"/>
      <c r="P91" s="2715"/>
      <c r="Q91" s="2715"/>
      <c r="R91" s="2717"/>
    </row>
    <row r="92" spans="2:18" s="904" customFormat="1">
      <c r="B92" s="2715"/>
      <c r="C92" s="2715"/>
      <c r="D92" s="2715"/>
      <c r="E92" s="2715"/>
      <c r="F92" s="2715"/>
      <c r="G92" s="2716"/>
      <c r="H92" s="2715"/>
      <c r="I92" s="2716"/>
      <c r="J92" s="2715"/>
      <c r="K92" s="2715"/>
      <c r="L92" s="2716"/>
      <c r="M92" s="2715"/>
      <c r="N92" s="2715"/>
      <c r="O92" s="2716"/>
      <c r="P92" s="2715"/>
      <c r="Q92" s="2715"/>
      <c r="R92" s="2717"/>
    </row>
    <row r="93" spans="2:18" s="904" customFormat="1">
      <c r="B93" s="2715"/>
      <c r="C93" s="2715"/>
      <c r="D93" s="2715"/>
      <c r="E93" s="2715"/>
      <c r="F93" s="2715"/>
      <c r="G93" s="2716"/>
      <c r="H93" s="2715"/>
      <c r="I93" s="2716"/>
      <c r="J93" s="2715"/>
      <c r="K93" s="2715"/>
      <c r="L93" s="2716"/>
      <c r="M93" s="2715"/>
      <c r="N93" s="2715"/>
      <c r="O93" s="2716"/>
      <c r="P93" s="2715"/>
      <c r="Q93" s="2715"/>
      <c r="R93" s="2717"/>
    </row>
    <row r="94" spans="2:18" s="904" customFormat="1">
      <c r="B94" s="2715"/>
      <c r="C94" s="2715"/>
      <c r="D94" s="2715"/>
      <c r="E94" s="2715"/>
      <c r="F94" s="2715"/>
      <c r="G94" s="2716"/>
      <c r="H94" s="2715"/>
      <c r="I94" s="2716"/>
      <c r="J94" s="2715"/>
      <c r="K94" s="2715"/>
      <c r="L94" s="2716"/>
      <c r="M94" s="2715"/>
      <c r="N94" s="2715"/>
      <c r="O94" s="2716"/>
      <c r="P94" s="2715"/>
      <c r="Q94" s="2715"/>
      <c r="R94" s="2717"/>
    </row>
    <row r="95" spans="2:18" s="904" customFormat="1">
      <c r="B95" s="2715"/>
      <c r="C95" s="2715"/>
      <c r="D95" s="2715"/>
      <c r="E95" s="2715"/>
      <c r="F95" s="2715"/>
      <c r="G95" s="2716"/>
      <c r="H95" s="2715"/>
      <c r="I95" s="2716"/>
      <c r="J95" s="2715"/>
      <c r="K95" s="2715"/>
      <c r="L95" s="2716"/>
      <c r="M95" s="2715"/>
      <c r="N95" s="2715"/>
      <c r="O95" s="2716"/>
      <c r="P95" s="2715"/>
      <c r="Q95" s="2715"/>
      <c r="R95" s="2717"/>
    </row>
    <row r="96" spans="2:18" s="904" customFormat="1">
      <c r="B96" s="2715"/>
      <c r="C96" s="2715"/>
      <c r="D96" s="2715"/>
      <c r="E96" s="2715"/>
      <c r="F96" s="2715"/>
      <c r="G96" s="2716"/>
      <c r="H96" s="2715"/>
      <c r="I96" s="2716"/>
      <c r="J96" s="2715"/>
      <c r="K96" s="2715"/>
      <c r="L96" s="2716"/>
      <c r="M96" s="2715"/>
      <c r="N96" s="2715"/>
      <c r="O96" s="2716"/>
      <c r="P96" s="2715"/>
      <c r="Q96" s="2715"/>
      <c r="R96" s="2717"/>
    </row>
    <row r="97" spans="2:18" s="904" customFormat="1">
      <c r="B97" s="2715"/>
      <c r="C97" s="2715"/>
      <c r="D97" s="2715"/>
      <c r="E97" s="2715"/>
      <c r="F97" s="2715"/>
      <c r="G97" s="2716"/>
      <c r="H97" s="2715"/>
      <c r="I97" s="2716"/>
      <c r="J97" s="2715"/>
      <c r="K97" s="2715"/>
      <c r="L97" s="2716"/>
      <c r="M97" s="2715"/>
      <c r="N97" s="2715"/>
      <c r="O97" s="2716"/>
      <c r="P97" s="2715"/>
      <c r="Q97" s="2715"/>
      <c r="R97" s="2717"/>
    </row>
    <row r="98" spans="2:18" s="904" customFormat="1">
      <c r="B98" s="2715"/>
      <c r="C98" s="2715"/>
      <c r="D98" s="2715"/>
      <c r="E98" s="2715"/>
      <c r="F98" s="2715"/>
      <c r="G98" s="2716"/>
      <c r="H98" s="2715"/>
      <c r="I98" s="2716"/>
      <c r="J98" s="2715"/>
      <c r="K98" s="2715"/>
      <c r="L98" s="2716"/>
      <c r="M98" s="2715"/>
      <c r="N98" s="2715"/>
      <c r="O98" s="2716"/>
      <c r="P98" s="2715"/>
      <c r="Q98" s="2715"/>
      <c r="R98" s="2717"/>
    </row>
    <row r="99" spans="2:18" s="904" customFormat="1">
      <c r="B99" s="2715"/>
      <c r="C99" s="2715"/>
      <c r="D99" s="2715"/>
      <c r="E99" s="2715"/>
      <c r="F99" s="2715"/>
      <c r="G99" s="2716"/>
      <c r="H99" s="2715"/>
      <c r="I99" s="2716"/>
      <c r="J99" s="2715"/>
      <c r="K99" s="2715"/>
      <c r="L99" s="2716"/>
      <c r="M99" s="2715"/>
      <c r="N99" s="2715"/>
      <c r="O99" s="2716"/>
      <c r="P99" s="2715"/>
      <c r="Q99" s="2715"/>
      <c r="R99" s="2717"/>
    </row>
    <row r="100" spans="2:18" s="904" customFormat="1">
      <c r="B100" s="2715"/>
      <c r="C100" s="2715"/>
      <c r="D100" s="2715"/>
      <c r="E100" s="2715"/>
      <c r="F100" s="2715"/>
      <c r="G100" s="2716"/>
      <c r="H100" s="2715"/>
      <c r="I100" s="2716"/>
      <c r="J100" s="2715"/>
      <c r="K100" s="2715"/>
      <c r="L100" s="2716"/>
      <c r="M100" s="2715"/>
      <c r="N100" s="2715"/>
      <c r="O100" s="2716"/>
      <c r="P100" s="2715"/>
      <c r="Q100" s="2715"/>
      <c r="R100" s="2717"/>
    </row>
    <row r="101" spans="2:18" s="904" customFormat="1">
      <c r="B101" s="2715"/>
      <c r="C101" s="2715"/>
      <c r="D101" s="2715"/>
      <c r="E101" s="2715"/>
      <c r="F101" s="2715"/>
      <c r="G101" s="2716"/>
      <c r="H101" s="2715"/>
      <c r="I101" s="2716"/>
      <c r="J101" s="2715"/>
      <c r="K101" s="2715"/>
      <c r="L101" s="2716"/>
      <c r="M101" s="2715"/>
      <c r="N101" s="2715"/>
      <c r="O101" s="2716"/>
      <c r="P101" s="2715"/>
      <c r="Q101" s="2715"/>
      <c r="R101" s="2717"/>
    </row>
    <row r="102" spans="2:18" s="904" customFormat="1">
      <c r="B102" s="2715"/>
      <c r="C102" s="2715"/>
      <c r="D102" s="2715"/>
      <c r="E102" s="2715"/>
      <c r="F102" s="2715"/>
      <c r="G102" s="2716"/>
      <c r="H102" s="2715"/>
      <c r="I102" s="2716"/>
      <c r="J102" s="2715"/>
      <c r="K102" s="2715"/>
      <c r="L102" s="2716"/>
      <c r="M102" s="2715"/>
      <c r="N102" s="2715"/>
      <c r="O102" s="2716"/>
      <c r="P102" s="2715"/>
      <c r="Q102" s="2715"/>
      <c r="R102" s="2717"/>
    </row>
    <row r="103" spans="2:18" s="904" customFormat="1">
      <c r="B103" s="2715"/>
      <c r="C103" s="2715"/>
      <c r="D103" s="2715"/>
      <c r="E103" s="2715"/>
      <c r="F103" s="2715"/>
      <c r="G103" s="2716"/>
      <c r="H103" s="2715"/>
      <c r="I103" s="2716"/>
      <c r="J103" s="2715"/>
      <c r="K103" s="2715"/>
      <c r="L103" s="2716"/>
      <c r="M103" s="2715"/>
      <c r="N103" s="2715"/>
      <c r="O103" s="2716"/>
      <c r="P103" s="2715"/>
      <c r="Q103" s="2715"/>
      <c r="R103" s="2717"/>
    </row>
    <row r="104" spans="2:18" s="904" customFormat="1">
      <c r="B104" s="2715"/>
      <c r="C104" s="2715"/>
      <c r="D104" s="2715"/>
      <c r="E104" s="2715"/>
      <c r="F104" s="2715"/>
      <c r="G104" s="2716"/>
      <c r="H104" s="2715"/>
      <c r="I104" s="2716"/>
      <c r="J104" s="2715"/>
      <c r="K104" s="2715"/>
      <c r="L104" s="2716"/>
      <c r="M104" s="2715"/>
      <c r="N104" s="2715"/>
      <c r="O104" s="2716"/>
      <c r="P104" s="2715"/>
      <c r="Q104" s="2715"/>
      <c r="R104" s="2717"/>
    </row>
    <row r="105" spans="2:18" s="904" customFormat="1">
      <c r="B105" s="2715"/>
      <c r="C105" s="2715"/>
      <c r="D105" s="2715"/>
      <c r="E105" s="2715"/>
      <c r="F105" s="2715"/>
      <c r="G105" s="2716"/>
      <c r="H105" s="2715"/>
      <c r="I105" s="2716"/>
      <c r="J105" s="2715"/>
      <c r="K105" s="2715"/>
      <c r="L105" s="2716"/>
      <c r="M105" s="2715"/>
      <c r="N105" s="2715"/>
      <c r="O105" s="2716"/>
      <c r="P105" s="2715"/>
      <c r="Q105" s="2715"/>
      <c r="R105" s="2717"/>
    </row>
    <row r="106" spans="2:18" s="904" customFormat="1">
      <c r="B106" s="2715"/>
      <c r="C106" s="2715"/>
      <c r="D106" s="2715"/>
      <c r="E106" s="2715"/>
      <c r="F106" s="2715"/>
      <c r="G106" s="2716"/>
      <c r="H106" s="2715"/>
      <c r="I106" s="2716"/>
      <c r="J106" s="2715"/>
      <c r="K106" s="2715"/>
      <c r="L106" s="2716"/>
      <c r="M106" s="2715"/>
      <c r="N106" s="2715"/>
      <c r="O106" s="2716"/>
      <c r="P106" s="2715"/>
      <c r="Q106" s="2715"/>
      <c r="R106" s="2717"/>
    </row>
    <row r="107" spans="2:18" s="904" customFormat="1">
      <c r="B107" s="2715"/>
      <c r="C107" s="2715"/>
      <c r="D107" s="2715"/>
      <c r="E107" s="2715"/>
      <c r="F107" s="2715"/>
      <c r="G107" s="2716"/>
      <c r="H107" s="2715"/>
      <c r="I107" s="2716"/>
      <c r="J107" s="2715"/>
      <c r="K107" s="2715"/>
      <c r="L107" s="2716"/>
      <c r="M107" s="2715"/>
      <c r="N107" s="2715"/>
      <c r="O107" s="2716"/>
      <c r="P107" s="2715"/>
      <c r="Q107" s="2715"/>
      <c r="R107" s="2717"/>
    </row>
    <row r="108" spans="2:18" s="904" customFormat="1">
      <c r="B108" s="2715"/>
      <c r="C108" s="2715"/>
      <c r="D108" s="2715"/>
      <c r="E108" s="2715"/>
      <c r="F108" s="2715"/>
      <c r="G108" s="2716"/>
      <c r="H108" s="2715"/>
      <c r="I108" s="2716"/>
      <c r="J108" s="2715"/>
      <c r="K108" s="2715"/>
      <c r="L108" s="2716"/>
      <c r="M108" s="2715"/>
      <c r="N108" s="2715"/>
      <c r="O108" s="2716"/>
      <c r="P108" s="2715"/>
      <c r="Q108" s="2715"/>
      <c r="R108" s="2717"/>
    </row>
    <row r="109" spans="2:18" s="904" customFormat="1">
      <c r="B109" s="2715"/>
      <c r="C109" s="2715"/>
      <c r="D109" s="2715"/>
      <c r="E109" s="2715"/>
      <c r="F109" s="2715"/>
      <c r="G109" s="2716"/>
      <c r="H109" s="2715"/>
      <c r="I109" s="2716"/>
      <c r="J109" s="2715"/>
      <c r="K109" s="2715"/>
      <c r="L109" s="2716"/>
      <c r="M109" s="2715"/>
      <c r="N109" s="2715"/>
      <c r="O109" s="2716"/>
      <c r="P109" s="2715"/>
      <c r="Q109" s="2715"/>
      <c r="R109" s="2717"/>
    </row>
    <row r="110" spans="2:18" s="904" customFormat="1">
      <c r="B110" s="2715"/>
      <c r="C110" s="2715"/>
      <c r="D110" s="2715"/>
      <c r="E110" s="2715"/>
      <c r="F110" s="2715"/>
      <c r="G110" s="2716"/>
      <c r="H110" s="2715"/>
      <c r="I110" s="2716"/>
      <c r="J110" s="2715"/>
      <c r="K110" s="2715"/>
      <c r="L110" s="2716"/>
      <c r="M110" s="2715"/>
      <c r="N110" s="2715"/>
      <c r="O110" s="2716"/>
      <c r="P110" s="2715"/>
      <c r="Q110" s="2715"/>
      <c r="R110" s="2717"/>
    </row>
    <row r="111" spans="2:18" s="904" customFormat="1">
      <c r="B111" s="2715"/>
      <c r="C111" s="2715"/>
      <c r="D111" s="2715"/>
      <c r="E111" s="2715"/>
      <c r="F111" s="2715"/>
      <c r="G111" s="2716"/>
      <c r="H111" s="2715"/>
      <c r="I111" s="2716"/>
      <c r="J111" s="2715"/>
      <c r="K111" s="2715"/>
      <c r="L111" s="2716"/>
      <c r="M111" s="2715"/>
      <c r="N111" s="2715"/>
      <c r="O111" s="2716"/>
      <c r="P111" s="2715"/>
      <c r="Q111" s="2715"/>
      <c r="R111" s="2717"/>
    </row>
    <row r="112" spans="2:18" s="904" customFormat="1">
      <c r="B112" s="2715"/>
      <c r="C112" s="2715"/>
      <c r="D112" s="2715"/>
      <c r="E112" s="2715"/>
      <c r="F112" s="2715"/>
      <c r="G112" s="2716"/>
      <c r="H112" s="2715"/>
      <c r="I112" s="2716"/>
      <c r="J112" s="2715"/>
      <c r="K112" s="2715"/>
      <c r="L112" s="2716"/>
      <c r="M112" s="2715"/>
      <c r="N112" s="2715"/>
      <c r="O112" s="2716"/>
      <c r="P112" s="2715"/>
      <c r="Q112" s="2715"/>
      <c r="R112" s="2717"/>
    </row>
    <row r="113" spans="2:18" s="904" customFormat="1">
      <c r="B113" s="2715"/>
      <c r="C113" s="2715"/>
      <c r="D113" s="2715"/>
      <c r="E113" s="2715"/>
      <c r="F113" s="2715"/>
      <c r="G113" s="2716"/>
      <c r="H113" s="2715"/>
      <c r="I113" s="2716"/>
      <c r="J113" s="2715"/>
      <c r="K113" s="2715"/>
      <c r="L113" s="2716"/>
      <c r="M113" s="2715"/>
      <c r="N113" s="2715"/>
      <c r="O113" s="2716"/>
      <c r="P113" s="2715"/>
      <c r="Q113" s="2715"/>
      <c r="R113" s="2717"/>
    </row>
    <row r="114" spans="2:18" s="904" customFormat="1">
      <c r="B114" s="2715"/>
      <c r="C114" s="2715"/>
      <c r="D114" s="2715"/>
      <c r="E114" s="2715"/>
      <c r="F114" s="2715"/>
      <c r="G114" s="2716"/>
      <c r="H114" s="2715"/>
      <c r="I114" s="2716"/>
      <c r="J114" s="2715"/>
      <c r="K114" s="2715"/>
      <c r="L114" s="2716"/>
      <c r="M114" s="2715"/>
      <c r="N114" s="2715"/>
      <c r="O114" s="2716"/>
      <c r="P114" s="2715"/>
      <c r="Q114" s="2715"/>
      <c r="R114" s="2717"/>
    </row>
    <row r="115" spans="2:18" s="904" customFormat="1">
      <c r="B115" s="2715"/>
      <c r="C115" s="2715"/>
      <c r="D115" s="2715"/>
      <c r="E115" s="2715"/>
      <c r="F115" s="2715"/>
      <c r="G115" s="2716"/>
      <c r="H115" s="2715"/>
      <c r="I115" s="2716"/>
      <c r="J115" s="2715"/>
      <c r="K115" s="2715"/>
      <c r="L115" s="2716"/>
      <c r="M115" s="2715"/>
      <c r="N115" s="2715"/>
      <c r="O115" s="2716"/>
      <c r="P115" s="2715"/>
      <c r="Q115" s="2715"/>
      <c r="R115" s="2717"/>
    </row>
    <row r="116" spans="2:18" s="904" customFormat="1">
      <c r="B116" s="2715"/>
      <c r="C116" s="2715"/>
      <c r="D116" s="2715"/>
      <c r="E116" s="2715"/>
      <c r="F116" s="2715"/>
      <c r="G116" s="2716"/>
      <c r="H116" s="2715"/>
      <c r="I116" s="2716"/>
      <c r="J116" s="2715"/>
      <c r="K116" s="2715"/>
      <c r="L116" s="2716"/>
      <c r="M116" s="2715"/>
      <c r="N116" s="2715"/>
      <c r="O116" s="2716"/>
      <c r="P116" s="2715"/>
      <c r="Q116" s="2715"/>
      <c r="R116" s="2717"/>
    </row>
    <row r="117" spans="2:18" s="904" customFormat="1">
      <c r="B117" s="2715"/>
      <c r="C117" s="2715"/>
      <c r="D117" s="2715"/>
      <c r="E117" s="2715"/>
      <c r="F117" s="2715"/>
      <c r="G117" s="2716"/>
      <c r="H117" s="2715"/>
      <c r="I117" s="2716"/>
      <c r="J117" s="2715"/>
      <c r="K117" s="2715"/>
      <c r="L117" s="2716"/>
      <c r="M117" s="2715"/>
      <c r="N117" s="2715"/>
      <c r="O117" s="2716"/>
      <c r="P117" s="2715"/>
      <c r="Q117" s="2715"/>
      <c r="R117" s="2717"/>
    </row>
    <row r="118" spans="2:18" s="904" customFormat="1">
      <c r="B118" s="2715"/>
      <c r="C118" s="2715"/>
      <c r="D118" s="2715"/>
      <c r="E118" s="2715"/>
      <c r="F118" s="2715"/>
      <c r="G118" s="2716"/>
      <c r="H118" s="2715"/>
      <c r="I118" s="2716"/>
      <c r="J118" s="2715"/>
      <c r="K118" s="2715"/>
      <c r="L118" s="2716"/>
      <c r="M118" s="2715"/>
      <c r="N118" s="2715"/>
      <c r="O118" s="2716"/>
      <c r="P118" s="2715"/>
      <c r="Q118" s="2715"/>
      <c r="R118" s="2717"/>
    </row>
    <row r="119" spans="2:18" s="904" customFormat="1">
      <c r="B119" s="2715"/>
      <c r="C119" s="2715"/>
      <c r="D119" s="2715"/>
      <c r="E119" s="2715"/>
      <c r="F119" s="2715"/>
      <c r="G119" s="2716"/>
      <c r="H119" s="2715"/>
      <c r="I119" s="2716"/>
      <c r="J119" s="2715"/>
      <c r="K119" s="2715"/>
      <c r="L119" s="2716"/>
      <c r="M119" s="2715"/>
      <c r="N119" s="2715"/>
      <c r="O119" s="2716"/>
      <c r="P119" s="2715"/>
      <c r="Q119" s="2715"/>
      <c r="R119" s="2717"/>
    </row>
    <row r="120" spans="2:18" s="904" customFormat="1">
      <c r="B120" s="2715"/>
      <c r="C120" s="2715"/>
      <c r="D120" s="2715"/>
      <c r="E120" s="2715"/>
      <c r="F120" s="2715"/>
      <c r="G120" s="2716"/>
      <c r="H120" s="2715"/>
      <c r="I120" s="2716"/>
      <c r="J120" s="2715"/>
      <c r="K120" s="2715"/>
      <c r="L120" s="2716"/>
      <c r="M120" s="2715"/>
      <c r="N120" s="2715"/>
      <c r="O120" s="2716"/>
      <c r="P120" s="2715"/>
      <c r="Q120" s="2715"/>
      <c r="R120" s="2717"/>
    </row>
    <row r="121" spans="2:18" s="904" customFormat="1">
      <c r="B121" s="2715"/>
      <c r="C121" s="2715"/>
      <c r="D121" s="2715"/>
      <c r="E121" s="2715"/>
      <c r="F121" s="2715"/>
      <c r="G121" s="2716"/>
      <c r="H121" s="2715"/>
      <c r="I121" s="2716"/>
      <c r="J121" s="2715"/>
      <c r="K121" s="2715"/>
      <c r="L121" s="2716"/>
      <c r="M121" s="2715"/>
      <c r="N121" s="2715"/>
      <c r="O121" s="2716"/>
      <c r="P121" s="2715"/>
      <c r="Q121" s="2715"/>
      <c r="R121" s="2717"/>
    </row>
    <row r="122" spans="2:18" s="904" customFormat="1">
      <c r="B122" s="2715"/>
      <c r="C122" s="2715"/>
      <c r="D122" s="2715"/>
      <c r="E122" s="2715"/>
      <c r="F122" s="2715"/>
      <c r="G122" s="2716"/>
      <c r="H122" s="2715"/>
      <c r="I122" s="2716"/>
      <c r="J122" s="2715"/>
      <c r="K122" s="2715"/>
      <c r="L122" s="2716"/>
      <c r="M122" s="2715"/>
      <c r="N122" s="2715"/>
      <c r="O122" s="2716"/>
      <c r="P122" s="2715"/>
      <c r="Q122" s="2715"/>
      <c r="R122" s="2717"/>
    </row>
    <row r="123" spans="2:18" s="904" customFormat="1">
      <c r="B123" s="2715"/>
      <c r="C123" s="2715"/>
      <c r="D123" s="2715"/>
      <c r="E123" s="2715"/>
      <c r="F123" s="2715"/>
      <c r="G123" s="2716"/>
      <c r="H123" s="2715"/>
      <c r="I123" s="2716"/>
      <c r="J123" s="2715"/>
      <c r="K123" s="2715"/>
      <c r="L123" s="2716"/>
      <c r="M123" s="2715"/>
      <c r="N123" s="2715"/>
      <c r="O123" s="2716"/>
      <c r="P123" s="2715"/>
      <c r="Q123" s="2715"/>
      <c r="R123" s="2717"/>
    </row>
    <row r="124" spans="2:18" s="904" customFormat="1">
      <c r="B124" s="2715"/>
      <c r="C124" s="2715"/>
      <c r="D124" s="2715"/>
      <c r="E124" s="2715"/>
      <c r="F124" s="2715"/>
      <c r="G124" s="2716"/>
      <c r="H124" s="2715"/>
      <c r="I124" s="2716"/>
      <c r="J124" s="2715"/>
      <c r="K124" s="2715"/>
      <c r="L124" s="2716"/>
      <c r="M124" s="2715"/>
      <c r="N124" s="2715"/>
      <c r="O124" s="2716"/>
      <c r="P124" s="2715"/>
      <c r="Q124" s="2715"/>
      <c r="R124" s="2717"/>
    </row>
    <row r="125" spans="2:18" s="904" customFormat="1">
      <c r="B125" s="2715"/>
      <c r="C125" s="2715"/>
      <c r="D125" s="2715"/>
      <c r="E125" s="2715"/>
      <c r="F125" s="2715"/>
      <c r="G125" s="2716"/>
      <c r="H125" s="2715"/>
      <c r="I125" s="2716"/>
      <c r="J125" s="2715"/>
      <c r="K125" s="2715"/>
      <c r="L125" s="2716"/>
      <c r="M125" s="2715"/>
      <c r="N125" s="2715"/>
      <c r="O125" s="2716"/>
      <c r="P125" s="2715"/>
      <c r="Q125" s="2715"/>
      <c r="R125" s="2717"/>
    </row>
    <row r="126" spans="2:18" s="904" customFormat="1">
      <c r="B126" s="2715"/>
      <c r="C126" s="2715"/>
      <c r="D126" s="2715"/>
      <c r="E126" s="2715"/>
      <c r="F126" s="2715"/>
      <c r="G126" s="2716"/>
      <c r="H126" s="2715"/>
      <c r="I126" s="2716"/>
      <c r="J126" s="2715"/>
      <c r="K126" s="2715"/>
      <c r="L126" s="2716"/>
      <c r="M126" s="2715"/>
      <c r="N126" s="2715"/>
      <c r="O126" s="2716"/>
      <c r="P126" s="2715"/>
      <c r="Q126" s="2715"/>
      <c r="R126" s="2717"/>
    </row>
    <row r="127" spans="2:18" s="904" customFormat="1">
      <c r="B127" s="2715"/>
      <c r="C127" s="2715"/>
      <c r="D127" s="2715"/>
      <c r="E127" s="2715"/>
      <c r="F127" s="2715"/>
      <c r="G127" s="2716"/>
      <c r="H127" s="2715"/>
      <c r="I127" s="2716"/>
      <c r="J127" s="2715"/>
      <c r="K127" s="2715"/>
      <c r="L127" s="2716"/>
      <c r="M127" s="2715"/>
      <c r="N127" s="2715"/>
      <c r="O127" s="2716"/>
      <c r="P127" s="2715"/>
      <c r="Q127" s="2715"/>
      <c r="R127" s="2717"/>
    </row>
    <row r="128" spans="2:18" s="904" customFormat="1">
      <c r="B128" s="2715"/>
      <c r="C128" s="2715"/>
      <c r="D128" s="2715"/>
      <c r="E128" s="2715"/>
      <c r="F128" s="2715"/>
      <c r="G128" s="2716"/>
      <c r="H128" s="2715"/>
      <c r="I128" s="2716"/>
      <c r="J128" s="2715"/>
      <c r="K128" s="2715"/>
      <c r="L128" s="2716"/>
      <c r="M128" s="2715"/>
      <c r="N128" s="2715"/>
      <c r="O128" s="2716"/>
      <c r="P128" s="2715"/>
      <c r="Q128" s="2715"/>
      <c r="R128" s="2717"/>
    </row>
    <row r="129" spans="2:18" s="904" customFormat="1">
      <c r="B129" s="2715"/>
      <c r="C129" s="2715"/>
      <c r="D129" s="2715"/>
      <c r="E129" s="2715"/>
      <c r="F129" s="2715"/>
      <c r="G129" s="2716"/>
      <c r="H129" s="2715"/>
      <c r="I129" s="2716"/>
      <c r="J129" s="2715"/>
      <c r="K129" s="2715"/>
      <c r="L129" s="2716"/>
      <c r="M129" s="2715"/>
      <c r="N129" s="2715"/>
      <c r="O129" s="2716"/>
      <c r="P129" s="2715"/>
      <c r="Q129" s="2715"/>
      <c r="R129" s="2717"/>
    </row>
    <row r="130" spans="2:18" s="904" customFormat="1">
      <c r="B130" s="2715"/>
      <c r="C130" s="2715"/>
      <c r="D130" s="2715"/>
      <c r="E130" s="2715"/>
      <c r="F130" s="2715"/>
      <c r="G130" s="2716"/>
      <c r="H130" s="2715"/>
      <c r="I130" s="2716"/>
      <c r="J130" s="2715"/>
      <c r="K130" s="2715"/>
      <c r="L130" s="2716"/>
      <c r="M130" s="2715"/>
      <c r="N130" s="2715"/>
      <c r="O130" s="2716"/>
      <c r="P130" s="2715"/>
      <c r="Q130" s="2715"/>
      <c r="R130" s="2717"/>
    </row>
    <row r="131" spans="2:18" s="904" customFormat="1">
      <c r="B131" s="2715"/>
      <c r="C131" s="2715"/>
      <c r="D131" s="2715"/>
      <c r="E131" s="2715"/>
      <c r="F131" s="2715"/>
      <c r="G131" s="2716"/>
      <c r="H131" s="2715"/>
      <c r="I131" s="2716"/>
      <c r="J131" s="2715"/>
      <c r="K131" s="2715"/>
      <c r="L131" s="2716"/>
      <c r="M131" s="2715"/>
      <c r="N131" s="2715"/>
      <c r="O131" s="2716"/>
      <c r="P131" s="2715"/>
      <c r="Q131" s="2715"/>
      <c r="R131" s="2717"/>
    </row>
    <row r="132" spans="2:18" s="904" customFormat="1">
      <c r="B132" s="2715"/>
      <c r="C132" s="2715"/>
      <c r="D132" s="2715"/>
      <c r="E132" s="2715"/>
      <c r="F132" s="2715"/>
      <c r="G132" s="2716"/>
      <c r="H132" s="2715"/>
      <c r="I132" s="2716"/>
      <c r="J132" s="2715"/>
      <c r="K132" s="2715"/>
      <c r="L132" s="2716"/>
      <c r="M132" s="2715"/>
      <c r="N132" s="2715"/>
      <c r="O132" s="2716"/>
      <c r="P132" s="2715"/>
      <c r="Q132" s="2715"/>
      <c r="R132" s="2717"/>
    </row>
    <row r="133" spans="2:18" s="904" customFormat="1">
      <c r="B133" s="2715"/>
      <c r="C133" s="2715"/>
      <c r="D133" s="2715"/>
      <c r="E133" s="2715"/>
      <c r="F133" s="2715"/>
      <c r="G133" s="2716"/>
      <c r="H133" s="2715"/>
      <c r="I133" s="2716"/>
      <c r="J133" s="2715"/>
      <c r="K133" s="2715"/>
      <c r="L133" s="2716"/>
      <c r="M133" s="2715"/>
      <c r="N133" s="2715"/>
      <c r="O133" s="2716"/>
      <c r="P133" s="2715"/>
      <c r="Q133" s="2715"/>
      <c r="R133" s="2717"/>
    </row>
    <row r="134" spans="2:18" s="904" customFormat="1">
      <c r="B134" s="2715"/>
      <c r="C134" s="2715"/>
      <c r="D134" s="2715"/>
      <c r="E134" s="2715"/>
      <c r="F134" s="2715"/>
      <c r="G134" s="2716"/>
      <c r="H134" s="2715"/>
      <c r="I134" s="2716"/>
      <c r="J134" s="2715"/>
      <c r="K134" s="2715"/>
      <c r="L134" s="2716"/>
      <c r="M134" s="2715"/>
      <c r="N134" s="2715"/>
      <c r="O134" s="2716"/>
      <c r="P134" s="2715"/>
      <c r="Q134" s="2715"/>
      <c r="R134" s="2717"/>
    </row>
    <row r="135" spans="2:18" s="904" customFormat="1">
      <c r="B135" s="2715"/>
      <c r="C135" s="2715"/>
      <c r="D135" s="2715"/>
      <c r="E135" s="2715"/>
      <c r="F135" s="2715"/>
      <c r="G135" s="2716"/>
      <c r="H135" s="2715"/>
      <c r="I135" s="2716"/>
      <c r="J135" s="2715"/>
      <c r="K135" s="2715"/>
      <c r="L135" s="2716"/>
      <c r="M135" s="2715"/>
      <c r="N135" s="2715"/>
      <c r="O135" s="2716"/>
      <c r="P135" s="2715"/>
      <c r="Q135" s="2715"/>
      <c r="R135" s="2717"/>
    </row>
    <row r="136" spans="2:18" s="904" customFormat="1">
      <c r="B136" s="2715"/>
      <c r="C136" s="2715"/>
      <c r="D136" s="2715"/>
      <c r="E136" s="2715"/>
      <c r="F136" s="2715"/>
      <c r="G136" s="2716"/>
      <c r="H136" s="2715"/>
      <c r="I136" s="2716"/>
      <c r="J136" s="2715"/>
      <c r="K136" s="2715"/>
      <c r="L136" s="2716"/>
      <c r="M136" s="2715"/>
      <c r="N136" s="2715"/>
      <c r="O136" s="2716"/>
      <c r="P136" s="2715"/>
      <c r="Q136" s="2715"/>
      <c r="R136" s="2717"/>
    </row>
    <row r="137" spans="2:18" s="904" customFormat="1">
      <c r="B137" s="2715"/>
      <c r="C137" s="2715"/>
      <c r="D137" s="2715"/>
      <c r="E137" s="2715"/>
      <c r="F137" s="2715"/>
      <c r="G137" s="2716"/>
      <c r="H137" s="2715"/>
      <c r="I137" s="2716"/>
      <c r="J137" s="2715"/>
      <c r="K137" s="2715"/>
      <c r="L137" s="2716"/>
      <c r="M137" s="2715"/>
      <c r="N137" s="2715"/>
      <c r="O137" s="2716"/>
      <c r="P137" s="2715"/>
      <c r="Q137" s="2715"/>
      <c r="R137" s="2717"/>
    </row>
    <row r="138" spans="2:18" s="904" customFormat="1">
      <c r="B138" s="2715"/>
      <c r="C138" s="2715"/>
      <c r="D138" s="2715"/>
      <c r="E138" s="2715"/>
      <c r="F138" s="2715"/>
      <c r="G138" s="2716"/>
      <c r="H138" s="2715"/>
      <c r="I138" s="2716"/>
      <c r="J138" s="2715"/>
      <c r="K138" s="2715"/>
      <c r="L138" s="2716"/>
      <c r="M138" s="2715"/>
      <c r="N138" s="2715"/>
      <c r="O138" s="2716"/>
      <c r="P138" s="2715"/>
      <c r="Q138" s="2715"/>
      <c r="R138" s="2717"/>
    </row>
    <row r="139" spans="2:18" s="904" customFormat="1">
      <c r="B139" s="2715"/>
      <c r="C139" s="2715"/>
      <c r="D139" s="2715"/>
      <c r="E139" s="2715"/>
      <c r="F139" s="2715"/>
      <c r="G139" s="2716"/>
      <c r="H139" s="2715"/>
      <c r="I139" s="2716"/>
      <c r="J139" s="2715"/>
      <c r="K139" s="2715"/>
      <c r="L139" s="2716"/>
      <c r="M139" s="2715"/>
      <c r="N139" s="2715"/>
      <c r="O139" s="2716"/>
      <c r="P139" s="2715"/>
      <c r="Q139" s="2715"/>
      <c r="R139" s="2717"/>
    </row>
    <row r="140" spans="2:18" s="904" customFormat="1">
      <c r="B140" s="2715"/>
      <c r="C140" s="2715"/>
      <c r="D140" s="2715"/>
      <c r="E140" s="2715"/>
      <c r="F140" s="2715"/>
      <c r="G140" s="2716"/>
      <c r="H140" s="2715"/>
      <c r="I140" s="2716"/>
      <c r="J140" s="2715"/>
      <c r="K140" s="2715"/>
      <c r="L140" s="2716"/>
      <c r="M140" s="2715"/>
      <c r="N140" s="2715"/>
      <c r="O140" s="2716"/>
      <c r="P140" s="2715"/>
      <c r="Q140" s="2715"/>
      <c r="R140" s="2717"/>
    </row>
    <row r="141" spans="2:18" s="904" customFormat="1">
      <c r="B141" s="2715"/>
      <c r="C141" s="2715"/>
      <c r="D141" s="2715"/>
      <c r="E141" s="2715"/>
      <c r="F141" s="2715"/>
      <c r="G141" s="2716"/>
      <c r="H141" s="2715"/>
      <c r="I141" s="2716"/>
      <c r="J141" s="2715"/>
      <c r="K141" s="2715"/>
      <c r="L141" s="2716"/>
      <c r="M141" s="2715"/>
      <c r="N141" s="2715"/>
      <c r="O141" s="2716"/>
      <c r="P141" s="2715"/>
      <c r="Q141" s="2715"/>
      <c r="R141" s="2717"/>
    </row>
    <row r="142" spans="2:18" s="904" customFormat="1">
      <c r="B142" s="2715"/>
      <c r="C142" s="2715"/>
      <c r="D142" s="2715"/>
      <c r="E142" s="2715"/>
      <c r="F142" s="2715"/>
      <c r="G142" s="2716"/>
      <c r="H142" s="2715"/>
      <c r="I142" s="2716"/>
      <c r="J142" s="2715"/>
      <c r="K142" s="2715"/>
      <c r="L142" s="2716"/>
      <c r="M142" s="2715"/>
      <c r="N142" s="2715"/>
      <c r="O142" s="2716"/>
      <c r="P142" s="2715"/>
      <c r="Q142" s="2715"/>
      <c r="R142" s="2717"/>
    </row>
    <row r="143" spans="2:18" s="904" customFormat="1">
      <c r="B143" s="2715"/>
      <c r="C143" s="2715"/>
      <c r="D143" s="2715"/>
      <c r="E143" s="2715"/>
      <c r="F143" s="2715"/>
      <c r="G143" s="2716"/>
      <c r="H143" s="2715"/>
      <c r="I143" s="2716"/>
      <c r="J143" s="2715"/>
      <c r="K143" s="2715"/>
      <c r="L143" s="2716"/>
      <c r="M143" s="2715"/>
      <c r="N143" s="2715"/>
      <c r="O143" s="2716"/>
      <c r="P143" s="2715"/>
      <c r="Q143" s="2715"/>
      <c r="R143" s="2717"/>
    </row>
    <row r="144" spans="2:18" s="904" customFormat="1">
      <c r="B144" s="2715"/>
      <c r="C144" s="2715"/>
      <c r="D144" s="2715"/>
      <c r="E144" s="2715"/>
      <c r="F144" s="2715"/>
      <c r="G144" s="2716"/>
      <c r="H144" s="2715"/>
      <c r="I144" s="2716"/>
      <c r="J144" s="2715"/>
      <c r="K144" s="2715"/>
      <c r="L144" s="2716"/>
      <c r="M144" s="2715"/>
      <c r="N144" s="2715"/>
      <c r="O144" s="2716"/>
      <c r="P144" s="2715"/>
      <c r="Q144" s="2715"/>
      <c r="R144" s="2717"/>
    </row>
    <row r="145" spans="2:18" s="904" customFormat="1">
      <c r="B145" s="2715"/>
      <c r="C145" s="2715"/>
      <c r="D145" s="2715"/>
      <c r="E145" s="2715"/>
      <c r="F145" s="2715"/>
      <c r="G145" s="2716"/>
      <c r="H145" s="2715"/>
      <c r="I145" s="2716"/>
      <c r="J145" s="2715"/>
      <c r="K145" s="2715"/>
      <c r="L145" s="2716"/>
      <c r="M145" s="2715"/>
      <c r="N145" s="2715"/>
      <c r="O145" s="2716"/>
      <c r="P145" s="2715"/>
      <c r="Q145" s="2715"/>
      <c r="R145" s="2717"/>
    </row>
    <row r="146" spans="2:18" s="904" customFormat="1">
      <c r="B146" s="2715"/>
      <c r="C146" s="2715"/>
      <c r="D146" s="2715"/>
      <c r="E146" s="2715"/>
      <c r="F146" s="2715"/>
      <c r="G146" s="2716"/>
      <c r="H146" s="2715"/>
      <c r="I146" s="2716"/>
      <c r="J146" s="2715"/>
      <c r="K146" s="2715"/>
      <c r="L146" s="2716"/>
      <c r="M146" s="2715"/>
      <c r="N146" s="2715"/>
      <c r="O146" s="2716"/>
      <c r="P146" s="2715"/>
      <c r="Q146" s="2715"/>
      <c r="R146" s="2717"/>
    </row>
    <row r="147" spans="2:18" s="904" customFormat="1">
      <c r="B147" s="2715"/>
      <c r="C147" s="2715"/>
      <c r="D147" s="2715"/>
      <c r="E147" s="2715"/>
      <c r="F147" s="2715"/>
      <c r="G147" s="2716"/>
      <c r="H147" s="2715"/>
      <c r="I147" s="2716"/>
      <c r="J147" s="2715"/>
      <c r="K147" s="2715"/>
      <c r="L147" s="2716"/>
      <c r="M147" s="2715"/>
      <c r="N147" s="2715"/>
      <c r="O147" s="2716"/>
      <c r="P147" s="2715"/>
      <c r="Q147" s="2715"/>
      <c r="R147" s="2717"/>
    </row>
    <row r="148" spans="2:18" s="904" customFormat="1">
      <c r="B148" s="2715"/>
      <c r="C148" s="2715"/>
      <c r="D148" s="2715"/>
      <c r="E148" s="2715"/>
      <c r="F148" s="2715"/>
      <c r="G148" s="2716"/>
      <c r="H148" s="2715"/>
      <c r="I148" s="2716"/>
      <c r="J148" s="2715"/>
      <c r="K148" s="2715"/>
      <c r="L148" s="2716"/>
      <c r="M148" s="2715"/>
      <c r="N148" s="2715"/>
      <c r="O148" s="2716"/>
      <c r="P148" s="2715"/>
      <c r="Q148" s="2715"/>
      <c r="R148" s="2717"/>
    </row>
    <row r="149" spans="2:18" s="904" customFormat="1">
      <c r="B149" s="2715"/>
      <c r="C149" s="2715"/>
      <c r="D149" s="2715"/>
      <c r="E149" s="2715"/>
      <c r="F149" s="2715"/>
      <c r="G149" s="2716"/>
      <c r="H149" s="2715"/>
      <c r="I149" s="2716"/>
      <c r="J149" s="2715"/>
      <c r="K149" s="2715"/>
      <c r="L149" s="2716"/>
      <c r="M149" s="2715"/>
      <c r="N149" s="2715"/>
      <c r="O149" s="2716"/>
      <c r="P149" s="2715"/>
      <c r="Q149" s="2715"/>
      <c r="R149" s="2717"/>
    </row>
    <row r="150" spans="2:18" s="904" customFormat="1">
      <c r="B150" s="2715"/>
      <c r="C150" s="2715"/>
      <c r="D150" s="2715"/>
      <c r="E150" s="2715"/>
      <c r="F150" s="2715"/>
      <c r="G150" s="2716"/>
      <c r="H150" s="2715"/>
      <c r="I150" s="2716"/>
      <c r="J150" s="2715"/>
      <c r="K150" s="2715"/>
      <c r="L150" s="2716"/>
      <c r="M150" s="2715"/>
      <c r="N150" s="2715"/>
      <c r="O150" s="2716"/>
      <c r="P150" s="2715"/>
      <c r="Q150" s="2715"/>
      <c r="R150" s="2717"/>
    </row>
    <row r="151" spans="2:18" s="904" customFormat="1">
      <c r="B151" s="2715"/>
      <c r="C151" s="2715"/>
      <c r="D151" s="2715"/>
      <c r="E151" s="2715"/>
      <c r="F151" s="2715"/>
      <c r="G151" s="2716"/>
      <c r="H151" s="2715"/>
      <c r="I151" s="2716"/>
      <c r="J151" s="2715"/>
      <c r="K151" s="2715"/>
      <c r="L151" s="2716"/>
      <c r="M151" s="2715"/>
      <c r="N151" s="2715"/>
      <c r="O151" s="2716"/>
      <c r="P151" s="2715"/>
      <c r="Q151" s="2715"/>
      <c r="R151" s="2717"/>
    </row>
    <row r="152" spans="2:18" s="904" customFormat="1">
      <c r="B152" s="2715"/>
      <c r="C152" s="2715"/>
      <c r="D152" s="2715"/>
      <c r="E152" s="2715"/>
      <c r="F152" s="2715"/>
      <c r="G152" s="2716"/>
      <c r="H152" s="2715"/>
      <c r="I152" s="2716"/>
      <c r="J152" s="2715"/>
      <c r="K152" s="2715"/>
      <c r="L152" s="2716"/>
      <c r="M152" s="2715"/>
      <c r="N152" s="2715"/>
      <c r="O152" s="2716"/>
      <c r="P152" s="2715"/>
      <c r="Q152" s="2715"/>
      <c r="R152" s="2717"/>
    </row>
    <row r="153" spans="2:18" s="904" customFormat="1">
      <c r="B153" s="2715"/>
      <c r="C153" s="2715"/>
      <c r="D153" s="2715"/>
      <c r="E153" s="2715"/>
      <c r="F153" s="2715"/>
      <c r="G153" s="2716"/>
      <c r="H153" s="2715"/>
      <c r="I153" s="2716"/>
      <c r="J153" s="2715"/>
      <c r="K153" s="2715"/>
      <c r="L153" s="2716"/>
      <c r="M153" s="2715"/>
      <c r="N153" s="2715"/>
      <c r="O153" s="2716"/>
      <c r="P153" s="2715"/>
      <c r="Q153" s="2715"/>
      <c r="R153" s="2717"/>
    </row>
    <row r="154" spans="2:18" s="904" customFormat="1">
      <c r="B154" s="2715"/>
      <c r="C154" s="2715"/>
      <c r="D154" s="2715"/>
      <c r="E154" s="2715"/>
      <c r="F154" s="2715"/>
      <c r="G154" s="2716"/>
      <c r="H154" s="2715"/>
      <c r="I154" s="2716"/>
      <c r="J154" s="2715"/>
      <c r="K154" s="2715"/>
      <c r="L154" s="2716"/>
      <c r="M154" s="2715"/>
      <c r="N154" s="2715"/>
      <c r="O154" s="2716"/>
      <c r="P154" s="2715"/>
      <c r="Q154" s="2715"/>
      <c r="R154" s="2717"/>
    </row>
    <row r="155" spans="2:18" s="904" customFormat="1">
      <c r="B155" s="2715"/>
      <c r="C155" s="2715"/>
      <c r="D155" s="2715"/>
      <c r="E155" s="2715"/>
      <c r="F155" s="2715"/>
      <c r="G155" s="2716"/>
      <c r="H155" s="2715"/>
      <c r="I155" s="2716"/>
      <c r="J155" s="2715"/>
      <c r="K155" s="2715"/>
      <c r="L155" s="2716"/>
      <c r="M155" s="2715"/>
      <c r="N155" s="2715"/>
      <c r="O155" s="2716"/>
      <c r="P155" s="2715"/>
      <c r="Q155" s="2715"/>
      <c r="R155" s="2717"/>
    </row>
    <row r="156" spans="2:18" s="904" customFormat="1">
      <c r="B156" s="2715"/>
      <c r="C156" s="2715"/>
      <c r="D156" s="2715"/>
      <c r="E156" s="2715"/>
      <c r="F156" s="2715"/>
      <c r="G156" s="2716"/>
      <c r="H156" s="2715"/>
      <c r="I156" s="2716"/>
      <c r="J156" s="2715"/>
      <c r="K156" s="2715"/>
      <c r="L156" s="2716"/>
      <c r="M156" s="2715"/>
      <c r="N156" s="2715"/>
      <c r="O156" s="2716"/>
      <c r="P156" s="2715"/>
      <c r="Q156" s="2715"/>
      <c r="R156" s="2717"/>
    </row>
    <row r="157" spans="2:18" s="904" customFormat="1">
      <c r="B157" s="2715"/>
      <c r="C157" s="2715"/>
      <c r="D157" s="2715"/>
      <c r="E157" s="2715"/>
      <c r="F157" s="2715"/>
      <c r="G157" s="2716"/>
      <c r="H157" s="2715"/>
      <c r="I157" s="2716"/>
      <c r="J157" s="2715"/>
      <c r="K157" s="2715"/>
      <c r="L157" s="2716"/>
      <c r="M157" s="2715"/>
      <c r="N157" s="2715"/>
      <c r="O157" s="2716"/>
      <c r="P157" s="2715"/>
      <c r="Q157" s="2715"/>
      <c r="R157" s="2717"/>
    </row>
    <row r="158" spans="2:18" s="904" customFormat="1">
      <c r="B158" s="2715"/>
      <c r="C158" s="2715"/>
      <c r="D158" s="2715"/>
      <c r="E158" s="2715"/>
      <c r="F158" s="2715"/>
      <c r="G158" s="2716"/>
      <c r="H158" s="2715"/>
      <c r="I158" s="2716"/>
      <c r="J158" s="2715"/>
      <c r="K158" s="2715"/>
      <c r="L158" s="2716"/>
      <c r="M158" s="2715"/>
      <c r="N158" s="2715"/>
      <c r="O158" s="2716"/>
      <c r="P158" s="2715"/>
      <c r="Q158" s="2715"/>
      <c r="R158" s="2717"/>
    </row>
    <row r="159" spans="2:18" s="904" customFormat="1">
      <c r="B159" s="2715"/>
      <c r="C159" s="2715"/>
      <c r="D159" s="2715"/>
      <c r="E159" s="2715"/>
      <c r="F159" s="2715"/>
      <c r="G159" s="2716"/>
      <c r="H159" s="2715"/>
      <c r="I159" s="2716"/>
      <c r="J159" s="2715"/>
      <c r="K159" s="2715"/>
      <c r="L159" s="2716"/>
      <c r="M159" s="2715"/>
      <c r="N159" s="2715"/>
      <c r="O159" s="2716"/>
      <c r="P159" s="2715"/>
      <c r="Q159" s="2715"/>
      <c r="R159" s="2717"/>
    </row>
    <row r="160" spans="2:18" s="904" customFormat="1">
      <c r="B160" s="2715"/>
      <c r="C160" s="2715"/>
      <c r="D160" s="2715"/>
      <c r="E160" s="2715"/>
      <c r="F160" s="2715"/>
      <c r="G160" s="2716"/>
      <c r="H160" s="2715"/>
      <c r="I160" s="2716"/>
      <c r="J160" s="2715"/>
      <c r="K160" s="2715"/>
      <c r="L160" s="2716"/>
      <c r="M160" s="2715"/>
      <c r="N160" s="2715"/>
      <c r="O160" s="2716"/>
      <c r="P160" s="2715"/>
      <c r="Q160" s="2715"/>
      <c r="R160" s="2717"/>
    </row>
    <row r="161" spans="2:18" s="904" customFormat="1">
      <c r="B161" s="2715"/>
      <c r="C161" s="2715"/>
      <c r="D161" s="2715"/>
      <c r="E161" s="2715"/>
      <c r="F161" s="2715"/>
      <c r="G161" s="2716"/>
      <c r="H161" s="2715"/>
      <c r="I161" s="2716"/>
      <c r="J161" s="2715"/>
      <c r="K161" s="2715"/>
      <c r="L161" s="2716"/>
      <c r="M161" s="2715"/>
      <c r="N161" s="2715"/>
      <c r="O161" s="2716"/>
      <c r="P161" s="2715"/>
      <c r="Q161" s="2715"/>
      <c r="R161" s="2717"/>
    </row>
    <row r="162" spans="2:18" s="904" customFormat="1">
      <c r="B162" s="2715"/>
      <c r="C162" s="2715"/>
      <c r="D162" s="2715"/>
      <c r="E162" s="2715"/>
      <c r="F162" s="2715"/>
      <c r="G162" s="2716"/>
      <c r="H162" s="2715"/>
      <c r="I162" s="2716"/>
      <c r="J162" s="2715"/>
      <c r="K162" s="2715"/>
      <c r="L162" s="2716"/>
      <c r="M162" s="2715"/>
      <c r="N162" s="2715"/>
      <c r="O162" s="2716"/>
      <c r="P162" s="2715"/>
      <c r="Q162" s="2715"/>
      <c r="R162" s="2717"/>
    </row>
    <row r="163" spans="2:18" s="904" customFormat="1">
      <c r="B163" s="2715"/>
      <c r="C163" s="2715"/>
      <c r="D163" s="2715"/>
      <c r="E163" s="2715"/>
      <c r="F163" s="2715"/>
      <c r="G163" s="2716"/>
      <c r="H163" s="2715"/>
      <c r="I163" s="2716"/>
      <c r="J163" s="2715"/>
      <c r="K163" s="2715"/>
      <c r="L163" s="2716"/>
      <c r="M163" s="2715"/>
      <c r="N163" s="2715"/>
      <c r="O163" s="2716"/>
      <c r="P163" s="2715"/>
      <c r="Q163" s="2715"/>
      <c r="R163" s="2717"/>
    </row>
    <row r="164" spans="2:18" s="904" customFormat="1">
      <c r="B164" s="2715"/>
      <c r="C164" s="2715"/>
      <c r="D164" s="2715"/>
      <c r="E164" s="2715"/>
      <c r="F164" s="2715"/>
      <c r="G164" s="2716"/>
      <c r="H164" s="2715"/>
      <c r="I164" s="2716"/>
      <c r="J164" s="2715"/>
      <c r="K164" s="2715"/>
      <c r="L164" s="2716"/>
      <c r="M164" s="2715"/>
      <c r="N164" s="2715"/>
      <c r="O164" s="2716"/>
      <c r="P164" s="2715"/>
      <c r="Q164" s="2715"/>
      <c r="R164" s="2717"/>
    </row>
    <row r="165" spans="2:18" s="904" customFormat="1">
      <c r="B165" s="2715"/>
      <c r="C165" s="2715"/>
      <c r="D165" s="2715"/>
      <c r="E165" s="2715"/>
      <c r="F165" s="2715"/>
      <c r="G165" s="2716"/>
      <c r="H165" s="2715"/>
      <c r="I165" s="2716"/>
      <c r="J165" s="2715"/>
      <c r="K165" s="2715"/>
      <c r="L165" s="2716"/>
      <c r="M165" s="2715"/>
      <c r="N165" s="2715"/>
      <c r="O165" s="2716"/>
      <c r="P165" s="2715"/>
      <c r="Q165" s="2715"/>
      <c r="R165" s="2717"/>
    </row>
    <row r="166" spans="2:18" s="904" customFormat="1">
      <c r="B166" s="2715"/>
      <c r="C166" s="2715"/>
      <c r="D166" s="2715"/>
      <c r="E166" s="2715"/>
      <c r="F166" s="2715"/>
      <c r="G166" s="2716"/>
      <c r="H166" s="2715"/>
      <c r="I166" s="2716"/>
      <c r="J166" s="2715"/>
      <c r="K166" s="2715"/>
      <c r="L166" s="2716"/>
      <c r="M166" s="2715"/>
      <c r="N166" s="2715"/>
      <c r="O166" s="2716"/>
      <c r="P166" s="2715"/>
      <c r="Q166" s="2715"/>
      <c r="R166" s="2717"/>
    </row>
    <row r="167" spans="2:18" s="904" customFormat="1">
      <c r="B167" s="2715"/>
      <c r="C167" s="2715"/>
      <c r="D167" s="2715"/>
      <c r="E167" s="2715"/>
      <c r="F167" s="2715"/>
      <c r="G167" s="2716"/>
      <c r="H167" s="2715"/>
      <c r="I167" s="2716"/>
      <c r="J167" s="2715"/>
      <c r="K167" s="2715"/>
      <c r="L167" s="2716"/>
      <c r="M167" s="2715"/>
      <c r="N167" s="2715"/>
      <c r="O167" s="2716"/>
      <c r="P167" s="2715"/>
      <c r="Q167" s="2715"/>
      <c r="R167" s="2717"/>
    </row>
    <row r="168" spans="2:18" s="904" customFormat="1">
      <c r="B168" s="2715"/>
      <c r="C168" s="2715"/>
      <c r="D168" s="2715"/>
      <c r="E168" s="2715"/>
      <c r="F168" s="2715"/>
      <c r="G168" s="2716"/>
      <c r="H168" s="2715"/>
      <c r="I168" s="2716"/>
      <c r="J168" s="2715"/>
      <c r="K168" s="2715"/>
      <c r="L168" s="2716"/>
      <c r="M168" s="2715"/>
      <c r="N168" s="2715"/>
      <c r="O168" s="2716"/>
      <c r="P168" s="2715"/>
      <c r="Q168" s="2715"/>
      <c r="R168" s="2717"/>
    </row>
    <row r="169" spans="2:18" s="904" customFormat="1">
      <c r="B169" s="2715"/>
      <c r="C169" s="2715"/>
      <c r="D169" s="2715"/>
      <c r="E169" s="2715"/>
      <c r="F169" s="2715"/>
      <c r="G169" s="2716"/>
      <c r="H169" s="2715"/>
      <c r="I169" s="2716"/>
      <c r="J169" s="2715"/>
      <c r="K169" s="2715"/>
      <c r="L169" s="2716"/>
      <c r="M169" s="2715"/>
      <c r="N169" s="2715"/>
      <c r="O169" s="2716"/>
      <c r="P169" s="2715"/>
      <c r="Q169" s="2715"/>
      <c r="R169" s="2717"/>
    </row>
    <row r="170" spans="2:18" s="904" customFormat="1">
      <c r="B170" s="2715"/>
      <c r="C170" s="2715"/>
      <c r="D170" s="2715"/>
      <c r="E170" s="2715"/>
      <c r="F170" s="2715"/>
      <c r="G170" s="2716"/>
      <c r="H170" s="2715"/>
      <c r="I170" s="2716"/>
      <c r="J170" s="2715"/>
      <c r="K170" s="2715"/>
      <c r="L170" s="2716"/>
      <c r="M170" s="2715"/>
      <c r="N170" s="2715"/>
      <c r="O170" s="2716"/>
      <c r="P170" s="2715"/>
      <c r="Q170" s="2715"/>
      <c r="R170" s="2717"/>
    </row>
    <row r="171" spans="2:18" s="904" customFormat="1">
      <c r="B171" s="2715"/>
      <c r="C171" s="2715"/>
      <c r="D171" s="2715"/>
      <c r="E171" s="2715"/>
      <c r="F171" s="2715"/>
      <c r="G171" s="2716"/>
      <c r="H171" s="2715"/>
      <c r="I171" s="2716"/>
      <c r="J171" s="2715"/>
      <c r="K171" s="2715"/>
      <c r="L171" s="2716"/>
      <c r="M171" s="2715"/>
      <c r="N171" s="2715"/>
      <c r="O171" s="2716"/>
      <c r="P171" s="2715"/>
      <c r="Q171" s="2715"/>
      <c r="R171" s="2717"/>
    </row>
    <row r="172" spans="2:18" s="904" customFormat="1">
      <c r="B172" s="2715"/>
      <c r="C172" s="2715"/>
      <c r="D172" s="2715"/>
      <c r="E172" s="2715"/>
      <c r="F172" s="2715"/>
      <c r="G172" s="2716"/>
      <c r="H172" s="2715"/>
      <c r="I172" s="2716"/>
      <c r="J172" s="2715"/>
      <c r="K172" s="2715"/>
      <c r="L172" s="2716"/>
      <c r="M172" s="2715"/>
      <c r="N172" s="2715"/>
      <c r="O172" s="2716"/>
      <c r="P172" s="2715"/>
      <c r="Q172" s="2715"/>
      <c r="R172" s="2717"/>
    </row>
    <row r="173" spans="2:18" s="904" customFormat="1">
      <c r="B173" s="2715"/>
      <c r="C173" s="2715"/>
      <c r="D173" s="2715"/>
      <c r="E173" s="2715"/>
      <c r="F173" s="2715"/>
      <c r="G173" s="2716"/>
      <c r="H173" s="2715"/>
      <c r="I173" s="2716"/>
      <c r="J173" s="2715"/>
      <c r="K173" s="2715"/>
      <c r="L173" s="2716"/>
      <c r="M173" s="2715"/>
      <c r="N173" s="2715"/>
      <c r="O173" s="2716"/>
      <c r="P173" s="2715"/>
      <c r="Q173" s="2715"/>
      <c r="R173" s="2717"/>
    </row>
    <row r="174" spans="2:18" s="904" customFormat="1">
      <c r="B174" s="2715"/>
      <c r="C174" s="2715"/>
      <c r="D174" s="2715"/>
      <c r="E174" s="2715"/>
      <c r="F174" s="2715"/>
      <c r="G174" s="2716"/>
      <c r="H174" s="2715"/>
      <c r="I174" s="2716"/>
      <c r="J174" s="2715"/>
      <c r="K174" s="2715"/>
      <c r="L174" s="2716"/>
      <c r="M174" s="2715"/>
      <c r="N174" s="2715"/>
      <c r="O174" s="2716"/>
      <c r="P174" s="2715"/>
      <c r="Q174" s="2715"/>
      <c r="R174" s="2717"/>
    </row>
    <row r="175" spans="2:18" s="904" customFormat="1">
      <c r="B175" s="2715"/>
      <c r="C175" s="2715"/>
      <c r="D175" s="2715"/>
      <c r="E175" s="2715"/>
      <c r="F175" s="2715"/>
      <c r="G175" s="2716"/>
      <c r="H175" s="2715"/>
      <c r="I175" s="2716"/>
      <c r="J175" s="2715"/>
      <c r="K175" s="2715"/>
      <c r="L175" s="2716"/>
      <c r="M175" s="2715"/>
      <c r="N175" s="2715"/>
      <c r="O175" s="2716"/>
      <c r="P175" s="2715"/>
      <c r="Q175" s="2715"/>
      <c r="R175" s="2717"/>
    </row>
    <row r="176" spans="2:18" s="904" customFormat="1">
      <c r="B176" s="2715"/>
      <c r="C176" s="2715"/>
      <c r="D176" s="2715"/>
      <c r="E176" s="2715"/>
      <c r="F176" s="2715"/>
      <c r="G176" s="2716"/>
      <c r="H176" s="2715"/>
      <c r="I176" s="2716"/>
      <c r="J176" s="2715"/>
      <c r="K176" s="2715"/>
      <c r="L176" s="2716"/>
      <c r="M176" s="2715"/>
      <c r="N176" s="2715"/>
      <c r="O176" s="2716"/>
      <c r="P176" s="2715"/>
      <c r="Q176" s="2715"/>
      <c r="R176" s="2717"/>
    </row>
    <row r="177" spans="1:18" s="904" customFormat="1">
      <c r="B177" s="2715"/>
      <c r="C177" s="2715"/>
      <c r="D177" s="2715"/>
      <c r="E177" s="2715"/>
      <c r="F177" s="2715"/>
      <c r="G177" s="2716"/>
      <c r="H177" s="2715"/>
      <c r="I177" s="2716"/>
      <c r="J177" s="2715"/>
      <c r="K177" s="2715"/>
      <c r="L177" s="2716"/>
      <c r="M177" s="2715"/>
      <c r="N177" s="2715"/>
      <c r="O177" s="2716"/>
      <c r="P177" s="2715"/>
      <c r="Q177" s="2715"/>
      <c r="R177" s="2717"/>
    </row>
    <row r="178" spans="1:18" s="904" customFormat="1">
      <c r="B178" s="2715"/>
      <c r="C178" s="2715"/>
      <c r="D178" s="2715"/>
      <c r="E178" s="2715"/>
      <c r="F178" s="2715"/>
      <c r="G178" s="2716"/>
      <c r="H178" s="2715"/>
      <c r="I178" s="2716"/>
      <c r="J178" s="2715"/>
      <c r="K178" s="2715"/>
      <c r="L178" s="2716"/>
      <c r="M178" s="2715"/>
      <c r="N178" s="2715"/>
      <c r="O178" s="2716"/>
      <c r="P178" s="2715"/>
      <c r="Q178" s="2715"/>
      <c r="R178" s="2717"/>
    </row>
    <row r="179" spans="1:18" s="904" customFormat="1">
      <c r="B179" s="2715"/>
      <c r="C179" s="2715"/>
      <c r="D179" s="2715"/>
      <c r="E179" s="2715"/>
      <c r="F179" s="2715"/>
      <c r="G179" s="2716"/>
      <c r="H179" s="2715"/>
      <c r="I179" s="2716"/>
      <c r="J179" s="2715"/>
      <c r="K179" s="2715"/>
      <c r="L179" s="2716"/>
      <c r="M179" s="2715"/>
      <c r="N179" s="2715"/>
      <c r="O179" s="2716"/>
      <c r="P179" s="2715"/>
      <c r="Q179" s="2715"/>
      <c r="R179" s="2717"/>
    </row>
    <row r="180" spans="1:18" s="904" customFormat="1">
      <c r="B180" s="2715"/>
      <c r="C180" s="2715"/>
      <c r="D180" s="2715"/>
      <c r="E180" s="2715"/>
      <c r="F180" s="2715"/>
      <c r="G180" s="2716"/>
      <c r="H180" s="2715"/>
      <c r="I180" s="2716"/>
      <c r="J180" s="2715"/>
      <c r="K180" s="2715"/>
      <c r="L180" s="2716"/>
      <c r="M180" s="2715"/>
      <c r="N180" s="2715"/>
      <c r="O180" s="2716"/>
      <c r="P180" s="2715"/>
      <c r="Q180" s="2715"/>
      <c r="R180" s="2717"/>
    </row>
    <row r="181" spans="1:18" s="904" customFormat="1">
      <c r="B181" s="2715"/>
      <c r="C181" s="2715"/>
      <c r="D181" s="2715"/>
      <c r="E181" s="2715"/>
      <c r="F181" s="2715"/>
      <c r="G181" s="2716"/>
      <c r="H181" s="2715"/>
      <c r="I181" s="2716"/>
      <c r="J181" s="2715"/>
      <c r="K181" s="2715"/>
      <c r="L181" s="2716"/>
      <c r="M181" s="2715"/>
      <c r="N181" s="2715"/>
      <c r="O181" s="2716"/>
      <c r="P181" s="2715"/>
      <c r="Q181" s="2715"/>
      <c r="R181" s="2717"/>
    </row>
    <row r="182" spans="1:18" s="904" customFormat="1">
      <c r="B182" s="2715"/>
      <c r="C182" s="2715"/>
      <c r="D182" s="2715"/>
      <c r="E182" s="2715"/>
      <c r="F182" s="2715"/>
      <c r="G182" s="2716"/>
      <c r="H182" s="2715"/>
      <c r="I182" s="2716"/>
      <c r="J182" s="2715"/>
      <c r="K182" s="2715"/>
      <c r="L182" s="2716"/>
      <c r="M182" s="2715"/>
      <c r="N182" s="2715"/>
      <c r="O182" s="2716"/>
      <c r="P182" s="2715"/>
      <c r="Q182" s="2715"/>
      <c r="R182" s="2717"/>
    </row>
    <row r="183" spans="1:18" s="904" customFormat="1">
      <c r="B183" s="2715"/>
      <c r="C183" s="2715"/>
      <c r="D183" s="2715"/>
      <c r="E183" s="2715"/>
      <c r="F183" s="2715"/>
      <c r="G183" s="2716"/>
      <c r="H183" s="2715"/>
      <c r="I183" s="2716"/>
      <c r="J183" s="2715"/>
      <c r="K183" s="2715"/>
      <c r="L183" s="2716"/>
      <c r="M183" s="2715"/>
      <c r="N183" s="2715"/>
      <c r="O183" s="2716"/>
      <c r="P183" s="2715"/>
      <c r="Q183" s="2715"/>
      <c r="R183" s="2717"/>
    </row>
    <row r="184" spans="1:18" s="904" customFormat="1">
      <c r="B184" s="2715"/>
      <c r="C184" s="2715"/>
      <c r="D184" s="2715"/>
      <c r="E184" s="2715"/>
      <c r="F184" s="2715"/>
      <c r="G184" s="2716"/>
      <c r="H184" s="2715"/>
      <c r="I184" s="2716"/>
      <c r="J184" s="2715"/>
      <c r="K184" s="2715"/>
      <c r="L184" s="2716"/>
      <c r="M184" s="2715"/>
      <c r="N184" s="2715"/>
      <c r="O184" s="2716"/>
      <c r="P184" s="2715"/>
      <c r="Q184" s="2715"/>
      <c r="R184" s="2717"/>
    </row>
    <row r="185" spans="1:18" s="904"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4"/>
      <c r="B186" s="2715"/>
      <c r="C186" s="2715"/>
      <c r="E186" s="2715"/>
      <c r="F186" s="2715"/>
      <c r="G186" s="2716"/>
    </row>
    <row r="187" spans="1:18">
      <c r="A187" s="904"/>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D14" sqref="D14"/>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160498.87</v>
      </c>
      <c r="C1" s="2913"/>
      <c r="D1" s="2913"/>
      <c r="E1" s="2913"/>
      <c r="F1" s="2913"/>
      <c r="G1" s="2914"/>
      <c r="H1" s="2915"/>
      <c r="I1" s="2915"/>
      <c r="J1" s="2915"/>
      <c r="K1" s="2915"/>
    </row>
    <row r="2" spans="1:11" ht="16.5">
      <c r="A2" s="2736" t="s">
        <v>1319</v>
      </c>
      <c r="B2" s="2736">
        <f>SUM(C14:C23)</f>
        <v>18643.39</v>
      </c>
      <c r="C2" s="2913"/>
      <c r="D2" s="2913"/>
      <c r="E2" s="2913"/>
      <c r="F2" s="2913"/>
      <c r="G2" s="2914"/>
      <c r="H2" s="2915"/>
      <c r="I2" s="2915"/>
      <c r="J2" s="2915"/>
      <c r="K2" s="2915"/>
    </row>
    <row r="3" spans="1:11" ht="16.5">
      <c r="A3" s="2736" t="s">
        <v>1328</v>
      </c>
      <c r="B3" s="2738">
        <f>项目基本情况!D3</f>
        <v>44141</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559563</v>
      </c>
      <c r="C5" s="2736">
        <f ca="1">ROUND(B5*10000/$B$1,0)</f>
        <v>34864</v>
      </c>
      <c r="D5" s="2736">
        <f ca="1">ROUND(B5*10000/$B$2,0)</f>
        <v>300140</v>
      </c>
      <c r="E5" s="2913"/>
      <c r="F5" s="2914"/>
      <c r="G5" s="2914"/>
      <c r="H5" s="2915"/>
      <c r="I5" s="2915"/>
      <c r="J5" s="2915"/>
      <c r="K5" s="2915"/>
    </row>
    <row r="6" spans="1:11" ht="16.5">
      <c r="A6" s="2736" t="s">
        <v>1322</v>
      </c>
      <c r="B6" s="2736">
        <f ca="1">SUM(G14:G23)</f>
        <v>559563</v>
      </c>
      <c r="C6" s="2736">
        <f ca="1">ROUND(B6*10000/$B$1,0)</f>
        <v>34864</v>
      </c>
      <c r="D6" s="2736">
        <f ca="1">ROUND(B6*10000/$B$2,0)</f>
        <v>300140</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160498.87</v>
      </c>
      <c r="C14" s="2742">
        <f>结果表!C118</f>
        <v>18643.39</v>
      </c>
      <c r="D14" s="2742">
        <f ca="1">结果表!H118</f>
        <v>559563</v>
      </c>
      <c r="E14" s="2742">
        <f ca="1">ROUND(D14*10000/B14,0)</f>
        <v>34864</v>
      </c>
      <c r="F14" s="2742">
        <f ca="1">ROUND(D14*10000/C14,0)</f>
        <v>300140</v>
      </c>
      <c r="G14" s="2742">
        <f ca="1">结果表!D122</f>
        <v>559563</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9"/>
      <c r="H15" s="1499"/>
      <c r="I15" s="2743"/>
      <c r="J15" s="2914"/>
      <c r="K15" s="2915"/>
    </row>
    <row r="16" spans="1:11" ht="16.5">
      <c r="A16" s="2741" t="s">
        <v>1314</v>
      </c>
      <c r="B16" s="2743"/>
      <c r="C16" s="2743"/>
      <c r="D16" s="2743"/>
      <c r="E16" s="2742" t="e">
        <f t="shared" si="0"/>
        <v>#DIV/0!</v>
      </c>
      <c r="F16" s="2742" t="e">
        <f t="shared" si="1"/>
        <v>#DIV/0!</v>
      </c>
      <c r="G16" s="1499"/>
      <c r="H16" s="1499"/>
      <c r="I16" s="2743"/>
      <c r="J16" s="2915"/>
      <c r="K16" s="2915"/>
    </row>
    <row r="17" spans="1:11" ht="16.5">
      <c r="A17" s="2741" t="s">
        <v>1313</v>
      </c>
      <c r="B17" s="2743"/>
      <c r="C17" s="2743"/>
      <c r="D17" s="2743"/>
      <c r="E17" s="2742" t="e">
        <f t="shared" si="0"/>
        <v>#DIV/0!</v>
      </c>
      <c r="F17" s="2742" t="e">
        <f t="shared" si="1"/>
        <v>#DIV/0!</v>
      </c>
      <c r="G17" s="1499"/>
      <c r="H17" s="1499"/>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J18" sqref="J18"/>
    </sheetView>
  </sheetViews>
  <sheetFormatPr defaultColWidth="12.625" defaultRowHeight="21.75" customHeight="1"/>
  <cols>
    <col min="1" max="2" width="12.625" style="1937"/>
    <col min="3" max="4" width="12.625" style="1937" customWidth="1"/>
    <col min="5" max="9" width="12.625" style="1937"/>
    <col min="10" max="11" width="12.625" style="731" customWidth="1"/>
    <col min="12" max="12" width="12.625" style="731"/>
    <col min="13" max="13" width="14.125" style="731" bestFit="1" customWidth="1"/>
    <col min="14" max="26" width="12.625" style="731"/>
    <col min="27" max="35" width="12.625" style="1936"/>
    <col min="36" max="16384" width="12.625" style="1937"/>
  </cols>
  <sheetData>
    <row r="1" spans="1:12" ht="21.75" customHeight="1" thickBot="1">
      <c r="A1" s="1821" t="s">
        <v>1950</v>
      </c>
      <c r="B1" s="1931"/>
      <c r="C1" s="1932"/>
      <c r="D1" s="1931"/>
      <c r="E1" s="1931"/>
      <c r="F1" s="1933" t="s">
        <v>1951</v>
      </c>
      <c r="G1" s="1745" t="s">
        <v>3083</v>
      </c>
      <c r="H1" s="1934" t="str">
        <f>IF(G1="现房","——","估价对象范围")</f>
        <v>估价对象范围</v>
      </c>
      <c r="I1" s="1935"/>
    </row>
    <row r="2" spans="1:12" ht="21.75" customHeight="1" thickBot="1">
      <c r="A2" s="3248" t="str">
        <f>项目基本情况!S2</f>
        <v>北京市出让国有建设用地使用权及在建建筑物房地产</v>
      </c>
      <c r="B2" s="3249"/>
      <c r="C2" s="3249"/>
      <c r="D2" s="3249"/>
      <c r="E2" s="3249"/>
      <c r="F2" s="3249"/>
      <c r="G2" s="3249"/>
      <c r="H2" s="3249"/>
      <c r="I2" s="3250"/>
    </row>
    <row r="3" spans="1:12" ht="12.75">
      <c r="A3" s="3252" t="s">
        <v>1952</v>
      </c>
      <c r="B3" s="3253"/>
      <c r="C3" s="3253"/>
      <c r="D3" s="3253"/>
      <c r="E3" s="3253"/>
      <c r="F3" s="3253"/>
      <c r="G3" s="3253"/>
      <c r="H3" s="3253"/>
      <c r="I3" s="3253"/>
    </row>
    <row r="4" spans="1:12" ht="14.25">
      <c r="A4" s="1938" t="s">
        <v>1953</v>
      </c>
      <c r="B4" s="1939" t="s">
        <v>1954</v>
      </c>
      <c r="C4" s="1940" t="s">
        <v>3084</v>
      </c>
      <c r="D4" s="1940" t="s">
        <v>3085</v>
      </c>
      <c r="E4" s="3257" t="s">
        <v>1955</v>
      </c>
      <c r="F4" s="3258"/>
      <c r="G4" s="3258"/>
      <c r="H4" s="3258"/>
      <c r="I4" s="3259"/>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假设开发法</v>
      </c>
    </row>
    <row r="5" spans="1:12" ht="12.75">
      <c r="A5" s="3193" t="s">
        <v>1956</v>
      </c>
      <c r="B5" s="3251">
        <v>25</v>
      </c>
      <c r="C5" s="3254">
        <v>5</v>
      </c>
      <c r="D5" s="3242">
        <f>10-C5</f>
        <v>5</v>
      </c>
      <c r="E5" s="134" t="s">
        <v>1957</v>
      </c>
      <c r="F5" s="1941"/>
      <c r="G5" s="1941"/>
      <c r="H5" s="1941"/>
      <c r="I5" s="1556"/>
    </row>
    <row r="6" spans="1:12" ht="12.75">
      <c r="A6" s="3193"/>
      <c r="B6" s="3251"/>
      <c r="C6" s="3256"/>
      <c r="D6" s="3242"/>
      <c r="E6" s="134" t="s">
        <v>1958</v>
      </c>
      <c r="F6" s="1941"/>
      <c r="G6" s="1941"/>
      <c r="H6" s="1941"/>
      <c r="I6" s="1556"/>
    </row>
    <row r="7" spans="1:12" ht="12.75">
      <c r="A7" s="3193"/>
      <c r="B7" s="3251"/>
      <c r="C7" s="3255"/>
      <c r="D7" s="3242"/>
      <c r="E7" s="134" t="s">
        <v>1959</v>
      </c>
      <c r="F7" s="1941"/>
      <c r="G7" s="1941"/>
      <c r="H7" s="1941"/>
      <c r="I7" s="1556"/>
    </row>
    <row r="8" spans="1:12" ht="12.75">
      <c r="A8" s="3193" t="s">
        <v>1960</v>
      </c>
      <c r="B8" s="3251">
        <v>15</v>
      </c>
      <c r="C8" s="3254"/>
      <c r="D8" s="3242"/>
      <c r="E8" s="134" t="s">
        <v>1961</v>
      </c>
      <c r="F8" s="1941"/>
      <c r="G8" s="1941"/>
      <c r="H8" s="1941"/>
      <c r="I8" s="1556"/>
    </row>
    <row r="9" spans="1:12" ht="12.75">
      <c r="A9" s="3193"/>
      <c r="B9" s="3251"/>
      <c r="C9" s="3255"/>
      <c r="D9" s="3242"/>
      <c r="E9" s="134" t="s">
        <v>1962</v>
      </c>
      <c r="F9" s="1941"/>
      <c r="G9" s="1941"/>
      <c r="H9" s="1941"/>
      <c r="I9" s="1556"/>
    </row>
    <row r="10" spans="1:12" ht="12.75">
      <c r="A10" s="3193" t="s">
        <v>1963</v>
      </c>
      <c r="B10" s="3251">
        <v>15</v>
      </c>
      <c r="C10" s="3254"/>
      <c r="D10" s="3242"/>
      <c r="E10" s="134" t="s">
        <v>1964</v>
      </c>
      <c r="F10" s="1941"/>
      <c r="G10" s="1941"/>
      <c r="H10" s="1941"/>
      <c r="I10" s="1556"/>
    </row>
    <row r="11" spans="1:12" ht="12.75">
      <c r="A11" s="3193"/>
      <c r="B11" s="3251"/>
      <c r="C11" s="3255"/>
      <c r="D11" s="3242"/>
      <c r="E11" s="134" t="s">
        <v>1965</v>
      </c>
      <c r="F11" s="1941"/>
      <c r="G11" s="1941"/>
      <c r="H11" s="1941"/>
      <c r="I11" s="1556"/>
    </row>
    <row r="12" spans="1:12" ht="12.75">
      <c r="A12" s="3193" t="s">
        <v>1966</v>
      </c>
      <c r="B12" s="3251">
        <v>15</v>
      </c>
      <c r="C12" s="3254"/>
      <c r="D12" s="3242"/>
      <c r="E12" s="134" t="s">
        <v>1967</v>
      </c>
      <c r="F12" s="1941"/>
      <c r="G12" s="1941"/>
      <c r="H12" s="1941"/>
      <c r="I12" s="1556"/>
    </row>
    <row r="13" spans="1:12" ht="12.75">
      <c r="A13" s="3193"/>
      <c r="B13" s="3251"/>
      <c r="C13" s="3255"/>
      <c r="D13" s="3242"/>
      <c r="E13" s="134" t="s">
        <v>1968</v>
      </c>
      <c r="F13" s="1941"/>
      <c r="G13" s="1941"/>
      <c r="H13" s="1941"/>
      <c r="I13" s="1556"/>
    </row>
    <row r="14" spans="1:12" ht="12.75">
      <c r="A14" s="3193" t="s">
        <v>1969</v>
      </c>
      <c r="B14" s="3251">
        <v>30</v>
      </c>
      <c r="C14" s="3254"/>
      <c r="D14" s="3242"/>
      <c r="E14" s="134" t="s">
        <v>1970</v>
      </c>
      <c r="F14" s="1941"/>
      <c r="G14" s="1941"/>
      <c r="H14" s="1941"/>
      <c r="I14" s="1556"/>
    </row>
    <row r="15" spans="1:12" ht="12.75">
      <c r="A15" s="3193"/>
      <c r="B15" s="3251"/>
      <c r="C15" s="3256"/>
      <c r="D15" s="3242"/>
      <c r="E15" s="134" t="s">
        <v>1971</v>
      </c>
      <c r="F15" s="1941"/>
      <c r="G15" s="1941"/>
      <c r="H15" s="1941"/>
      <c r="I15" s="1556"/>
    </row>
    <row r="16" spans="1:12" ht="12.75">
      <c r="A16" s="3193"/>
      <c r="B16" s="3251"/>
      <c r="C16" s="3255"/>
      <c r="D16" s="3242"/>
      <c r="E16" s="134" t="s">
        <v>1972</v>
      </c>
      <c r="F16" s="1941"/>
      <c r="G16" s="1941"/>
      <c r="H16" s="1941"/>
      <c r="I16" s="1556"/>
    </row>
    <row r="17" spans="1:36" ht="15">
      <c r="A17" s="1942" t="s">
        <v>1973</v>
      </c>
      <c r="B17" s="60"/>
      <c r="C17" s="135">
        <f>SUM(C5:C16)</f>
        <v>5</v>
      </c>
      <c r="D17" s="135">
        <f>SUM(D5:D16)</f>
        <v>5</v>
      </c>
      <c r="E17" s="132"/>
      <c r="F17" s="132"/>
      <c r="G17" s="132"/>
      <c r="H17" s="132"/>
      <c r="I17" s="132"/>
      <c r="K17" s="306"/>
      <c r="L17" s="306" t="s">
        <v>1974</v>
      </c>
      <c r="M17" s="306" t="s">
        <v>1975</v>
      </c>
    </row>
    <row r="18" spans="1:36" ht="31.9" customHeight="1" thickBot="1">
      <c r="A18" s="1943" t="s">
        <v>1976</v>
      </c>
      <c r="B18" s="1944"/>
      <c r="C18" s="136">
        <f>ROUND(C17/SUM(C17:D17),2)</f>
        <v>0.5</v>
      </c>
      <c r="D18" s="136">
        <f>1-C18</f>
        <v>0.5</v>
      </c>
      <c r="E18" s="3273" t="s">
        <v>2872</v>
      </c>
      <c r="F18" s="3274"/>
      <c r="G18" s="3274"/>
      <c r="H18" s="3274"/>
      <c r="I18" s="3274"/>
      <c r="K18" s="306" t="s">
        <v>1977</v>
      </c>
      <c r="L18" s="306">
        <f>IF(C1="",'数据-汇总表'!E3,SUMIF(项目类型,C1,'数据-汇总表'!E17:E26)+SUMIF(项目类型,C1,'数据-汇总表'!I17:I26))</f>
        <v>160498.87</v>
      </c>
      <c r="M18" s="306">
        <f>IF(C1="",'数据-汇总表'!E3,SUMIF(项目类型,C1,'数据-汇总表'!E17:E26))</f>
        <v>160498.87</v>
      </c>
    </row>
    <row r="19" spans="1:36" ht="15">
      <c r="A19" s="1945" t="s">
        <v>1978</v>
      </c>
      <c r="B19" s="1946" t="s">
        <v>1979</v>
      </c>
      <c r="C19" s="137">
        <f ca="1">SUMIF(INDIRECT("'"&amp;C4&amp;"'"&amp;"!A:A"),结果表!B19,INDIRECT("'"&amp;C4&amp;"'"&amp;"!B:B"))</f>
        <v>619579</v>
      </c>
      <c r="D19" s="138">
        <f ca="1">SUMIF(INDIRECT("'"&amp;D4&amp;"'"&amp;"!A:A"),结果表!B19,INDIRECT("'"&amp;D4&amp;"'"&amp;"!B:B"))</f>
        <v>499547</v>
      </c>
      <c r="E19" s="1945" t="s">
        <v>1980</v>
      </c>
      <c r="F19" s="1946" t="s">
        <v>1979</v>
      </c>
      <c r="G19" s="139">
        <f ca="1">ROUND(C19*$C$18+D19*$D$18,0)</f>
        <v>559563</v>
      </c>
      <c r="H19" s="1947" t="s">
        <v>1981</v>
      </c>
      <c r="I19" s="132"/>
      <c r="K19" s="306" t="s">
        <v>1982</v>
      </c>
      <c r="L19" s="306">
        <f>IF(C1="",'数据-汇总表'!D3,SUMIF(项目类型,C1,'数据-汇总表'!D17:D26)+SUMIF(项目类型,C1,'数据-汇总表'!H17:H27))</f>
        <v>18643.39</v>
      </c>
      <c r="M19" s="306">
        <f>IF(C1="",'数据-汇总表'!D3,SUMIF(项目类型,C1,'数据-汇总表'!D17:D26))</f>
        <v>18643.39</v>
      </c>
    </row>
    <row r="20" spans="1:36" ht="15">
      <c r="A20" s="1948"/>
      <c r="B20" s="1154" t="s">
        <v>1983</v>
      </c>
      <c r="C20" s="140">
        <f ca="1">SUMIF(INDIRECT("'"&amp;C4&amp;"'"&amp;"!A:A"),结果表!B20,INDIRECT("'"&amp;C4&amp;"'"&amp;"!B:B"))</f>
        <v>38603</v>
      </c>
      <c r="D20" s="141">
        <f ca="1">SUMIF(INDIRECT("'"&amp;D4&amp;"'"&amp;"!A:A"),结果表!B20,INDIRECT("'"&amp;D4&amp;"'"&amp;"!B:B"))</f>
        <v>31125</v>
      </c>
      <c r="E20" s="1948"/>
      <c r="F20" s="1154" t="s">
        <v>1983</v>
      </c>
      <c r="G20" s="142">
        <f ca="1">ROUND(C20*$C$18+D20*$D$18,0)</f>
        <v>34864</v>
      </c>
      <c r="H20" s="914" t="s">
        <v>1984</v>
      </c>
      <c r="I20" s="132"/>
    </row>
    <row r="21" spans="1:36" ht="15" customHeight="1" thickBot="1">
      <c r="A21" s="934"/>
      <c r="B21" s="1949" t="s">
        <v>1985</v>
      </c>
      <c r="C21" s="725">
        <f ca="1">ROUND(C19*10000/L19,0)</f>
        <v>332332</v>
      </c>
      <c r="D21" s="726">
        <f ca="1">ROUND(D19*10000/L19,0)</f>
        <v>267949</v>
      </c>
      <c r="E21" s="934"/>
      <c r="F21" s="1949" t="s">
        <v>1985</v>
      </c>
      <c r="G21" s="143">
        <f ca="1">ROUND(G19*10000/L19,0)</f>
        <v>300140</v>
      </c>
      <c r="H21" s="1950" t="s">
        <v>1984</v>
      </c>
      <c r="I21" s="132"/>
      <c r="K21" s="3079"/>
      <c r="L21" s="3079"/>
    </row>
    <row r="22" spans="1:36" ht="15" thickBot="1">
      <c r="A22" s="1873" t="s">
        <v>1986</v>
      </c>
      <c r="B22" s="1951"/>
      <c r="C22" s="1952"/>
      <c r="D22" s="727">
        <f ca="1">IF(C19&lt;D19,D19/C19-1,C19/D19-1)</f>
        <v>0.24028169521586551</v>
      </c>
      <c r="E22" s="132"/>
      <c r="F22" s="132"/>
      <c r="G22" s="132"/>
      <c r="H22" s="132"/>
      <c r="I22" s="132"/>
    </row>
    <row r="23" spans="1:36" ht="13.5" thickBot="1">
      <c r="A23" s="1931"/>
      <c r="B23" s="1931"/>
      <c r="C23" s="1931"/>
      <c r="D23" s="1931"/>
      <c r="E23" s="132"/>
      <c r="F23" s="132"/>
      <c r="G23" s="132"/>
      <c r="H23" s="132"/>
      <c r="I23" s="132"/>
    </row>
    <row r="24" spans="1:36" ht="14.25">
      <c r="A24" s="3266" t="s">
        <v>1987</v>
      </c>
      <c r="B24" s="1946" t="s">
        <v>1979</v>
      </c>
      <c r="C24" s="139">
        <f>IF(B30=0,0,D30)</f>
        <v>0</v>
      </c>
      <c r="D24" s="1953"/>
      <c r="E24" s="132"/>
      <c r="F24" s="132"/>
      <c r="G24" s="132"/>
      <c r="H24" s="132"/>
      <c r="I24" s="132"/>
      <c r="L24" s="3079"/>
      <c r="M24" s="3079"/>
    </row>
    <row r="25" spans="1:36" ht="14.25">
      <c r="A25" s="3267"/>
      <c r="B25" s="1154" t="s">
        <v>1983</v>
      </c>
      <c r="C25" s="144">
        <f>IF(B30=0,0,C30)</f>
        <v>0</v>
      </c>
      <c r="D25" s="1954"/>
      <c r="E25" s="132"/>
      <c r="F25" s="132"/>
      <c r="G25" s="132"/>
      <c r="H25" s="132"/>
      <c r="I25" s="132"/>
    </row>
    <row r="26" spans="1:36" ht="13.5" customHeight="1">
      <c r="A26" s="1955" t="s">
        <v>1988</v>
      </c>
      <c r="B26" s="145" t="s">
        <v>1989</v>
      </c>
      <c r="C26" s="145" t="s">
        <v>1990</v>
      </c>
      <c r="D26" s="146" t="s">
        <v>1991</v>
      </c>
      <c r="E26" s="132"/>
      <c r="F26" s="132"/>
      <c r="G26" s="132"/>
      <c r="H26" s="132"/>
      <c r="I26" s="132"/>
    </row>
    <row r="27" spans="1:36" ht="14.25">
      <c r="A27" s="1955"/>
      <c r="B27" s="145">
        <v>0</v>
      </c>
      <c r="C27" s="145">
        <v>0</v>
      </c>
      <c r="D27" s="146">
        <f>ROUND(C27*B27/10000,0)</f>
        <v>0</v>
      </c>
      <c r="E27" s="132"/>
      <c r="F27" s="132"/>
      <c r="G27" s="132"/>
      <c r="H27" s="132"/>
      <c r="I27" s="132"/>
    </row>
    <row r="28" spans="1:36" ht="14.25">
      <c r="A28" s="1955"/>
      <c r="B28" s="145"/>
      <c r="C28" s="145"/>
      <c r="D28" s="146"/>
      <c r="E28" s="132"/>
      <c r="F28" s="132"/>
      <c r="G28" s="132"/>
      <c r="H28" s="132"/>
      <c r="I28" s="132"/>
    </row>
    <row r="29" spans="1:36" ht="14.25">
      <c r="A29" s="1955"/>
      <c r="B29" s="145"/>
      <c r="C29" s="145"/>
      <c r="D29" s="146"/>
      <c r="E29" s="132"/>
      <c r="F29" s="132"/>
      <c r="G29" s="132"/>
      <c r="H29" s="132"/>
      <c r="I29" s="132"/>
    </row>
    <row r="30" spans="1:36" ht="15" thickBot="1">
      <c r="A30" s="145" t="s">
        <v>1992</v>
      </c>
      <c r="B30" s="145"/>
      <c r="C30" s="145"/>
      <c r="D30" s="145"/>
      <c r="E30" s="2519" t="s">
        <v>2873</v>
      </c>
      <c r="F30" s="132"/>
      <c r="G30" s="132"/>
      <c r="H30" s="132"/>
      <c r="I30" s="132"/>
    </row>
    <row r="31" spans="1:36" s="2525" customFormat="1" ht="26.45" customHeight="1" thickTop="1" thickBot="1">
      <c r="A31" s="2520"/>
      <c r="B31" s="2521"/>
      <c r="C31" s="2521"/>
      <c r="D31" s="2521"/>
      <c r="E31" s="2521"/>
      <c r="F31" s="2521"/>
      <c r="G31" s="2521"/>
      <c r="H31" s="2521"/>
      <c r="I31" s="2522" t="s">
        <v>2874</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1993</v>
      </c>
      <c r="B32" s="1958"/>
      <c r="C32" s="147">
        <f ca="1">IF(D32="总价",G19-C24,G20-C25)</f>
        <v>559563</v>
      </c>
      <c r="D32" s="1959" t="s">
        <v>3108</v>
      </c>
      <c r="E32" s="132"/>
      <c r="F32" s="132"/>
      <c r="G32" s="132"/>
      <c r="H32" s="132"/>
      <c r="I32" s="132"/>
    </row>
    <row r="33" spans="1:15" ht="15">
      <c r="A33" s="891" t="s">
        <v>1994</v>
      </c>
      <c r="B33" s="1960"/>
      <c r="C33" s="1961"/>
      <c r="D33" s="1962"/>
      <c r="E33" s="1963" t="s">
        <v>1995</v>
      </c>
      <c r="F33" s="1964" t="str">
        <f>IF(D32="楼面单价","取值（单价）","取值（总价）")</f>
        <v>取值（总价）</v>
      </c>
      <c r="G33" s="132"/>
      <c r="H33" s="132"/>
      <c r="I33" s="132"/>
    </row>
    <row r="34" spans="1:15" ht="15">
      <c r="A34" s="1965"/>
      <c r="B34" s="1966" t="s">
        <v>1996</v>
      </c>
      <c r="C34" s="151" t="e">
        <f ca="1">IF(C33="自定义",F34,C32-C35)</f>
        <v>#REF!</v>
      </c>
      <c r="D34" s="967" t="e">
        <f ca="1">IF(C33="自定义",ROUND(C34/C32,3),IF(C33="收益比率",SUMIF(INDIRECT("'"&amp;D33&amp;"'"&amp;"!b:b"),"土地收益比率",INDIRECT("'"&amp;D33&amp;"'"&amp;"!c:c")),SUMIF(INDIRECT("'"&amp;D33&amp;"'"&amp;"!b:b"),"土地成本比率",INDIRECT("'"&amp;D33&amp;"'"&amp;"!c:c"))))</f>
        <v>#REF!</v>
      </c>
      <c r="E34" s="1967" t="s">
        <v>1997</v>
      </c>
      <c r="F34" s="1497"/>
      <c r="G34" s="132"/>
      <c r="H34" s="132"/>
      <c r="I34" s="132"/>
    </row>
    <row r="35" spans="1:15" ht="15.75" thickBot="1">
      <c r="A35" s="1968"/>
      <c r="B35" s="1969" t="s">
        <v>1998</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70" t="s">
        <v>1999</v>
      </c>
      <c r="F35" s="157"/>
      <c r="G35" s="132"/>
      <c r="H35" s="132"/>
      <c r="I35" s="132"/>
    </row>
    <row r="36" spans="1:15" ht="15.75" thickBot="1">
      <c r="A36" s="3243" t="s">
        <v>2000</v>
      </c>
      <c r="B36" s="1971" t="s">
        <v>2001</v>
      </c>
      <c r="C36" s="148"/>
      <c r="D36" s="1972"/>
      <c r="E36" s="1973"/>
      <c r="F36" s="1974"/>
      <c r="G36" s="132"/>
      <c r="H36" s="132"/>
      <c r="I36" s="132"/>
    </row>
    <row r="37" spans="1:15" ht="15.75" thickBot="1">
      <c r="A37" s="3244"/>
      <c r="B37" s="1859" t="s">
        <v>2002</v>
      </c>
      <c r="C37" s="150"/>
      <c r="D37" s="1298"/>
      <c r="E37" s="1298"/>
      <c r="F37" s="1974"/>
      <c r="G37" s="132"/>
      <c r="H37" s="132"/>
      <c r="I37" s="132"/>
    </row>
    <row r="38" spans="1:15" ht="15.75" thickBot="1">
      <c r="A38" s="3245"/>
      <c r="B38" s="1975" t="s">
        <v>2003</v>
      </c>
      <c r="C38" s="680"/>
      <c r="D38" s="1976" t="s">
        <v>2004</v>
      </c>
      <c r="E38" s="1298"/>
      <c r="F38" s="1974"/>
      <c r="G38" s="132"/>
      <c r="H38" s="132"/>
      <c r="I38" s="132"/>
    </row>
    <row r="39" spans="1:15" ht="15">
      <c r="A39" s="1948" t="s">
        <v>2005</v>
      </c>
      <c r="B39" s="1977" t="s">
        <v>2006</v>
      </c>
      <c r="C39" s="1978" t="s">
        <v>2007</v>
      </c>
      <c r="D39" s="1978" t="s">
        <v>2008</v>
      </c>
      <c r="E39" s="1979" t="s">
        <v>2009</v>
      </c>
      <c r="F39" s="1974"/>
      <c r="G39" s="132"/>
      <c r="H39" s="132"/>
      <c r="I39" s="132"/>
    </row>
    <row r="40" spans="1:15" ht="14.25">
      <c r="A40" s="1980" t="s">
        <v>2010</v>
      </c>
      <c r="B40" s="152"/>
      <c r="C40" s="153"/>
      <c r="D40" s="153"/>
      <c r="E40" s="154"/>
      <c r="F40" s="1974"/>
      <c r="G40" s="132"/>
      <c r="H40" s="132"/>
      <c r="I40" s="132"/>
    </row>
    <row r="41" spans="1:15" ht="14.25">
      <c r="A41" s="1980" t="s">
        <v>2011</v>
      </c>
      <c r="B41" s="152"/>
      <c r="C41" s="153"/>
      <c r="D41" s="153"/>
      <c r="E41" s="154"/>
      <c r="F41" s="1974"/>
      <c r="G41" s="132"/>
      <c r="H41" s="132"/>
      <c r="I41" s="132"/>
    </row>
    <row r="42" spans="1:15" ht="15" thickBot="1">
      <c r="A42" s="1981"/>
      <c r="B42" s="155"/>
      <c r="C42" s="156"/>
      <c r="D42" s="156"/>
      <c r="E42" s="157"/>
      <c r="F42" s="1974"/>
      <c r="G42" s="132"/>
      <c r="H42" s="132"/>
      <c r="I42" s="132"/>
    </row>
    <row r="43" spans="1:15" ht="12.75">
      <c r="A43" s="1761"/>
      <c r="B43" s="1761"/>
      <c r="C43" s="1761"/>
      <c r="D43" s="1761"/>
      <c r="E43" s="1761"/>
      <c r="F43" s="1982"/>
      <c r="G43" s="1982"/>
      <c r="H43" s="1982"/>
      <c r="I43" s="1983"/>
    </row>
    <row r="44" spans="1:15" ht="18.75">
      <c r="A44" s="1984" t="s">
        <v>2012</v>
      </c>
      <c r="B44" s="1985"/>
      <c r="C44" s="1985"/>
      <c r="D44" s="1986"/>
      <c r="E44" s="1986"/>
      <c r="F44" s="1987"/>
      <c r="G44" s="1987"/>
      <c r="H44" s="1987"/>
      <c r="I44" s="1987"/>
      <c r="J44" s="1988" t="s">
        <v>2013</v>
      </c>
      <c r="K44" s="1989"/>
      <c r="L44" s="1989"/>
      <c r="M44" s="1989"/>
      <c r="N44" s="1989"/>
      <c r="O44" s="1989"/>
    </row>
    <row r="45" spans="1:15" ht="14.25" customHeight="1" thickBot="1">
      <c r="A45" s="3263" t="s">
        <v>2014</v>
      </c>
      <c r="B45" s="3264"/>
      <c r="C45" s="3265"/>
      <c r="D45" s="158">
        <f ca="1">ROUND(H101*F45,0)</f>
        <v>559563</v>
      </c>
      <c r="E45" s="159" t="s">
        <v>2015</v>
      </c>
      <c r="F45" s="160">
        <v>1</v>
      </c>
      <c r="G45" s="161" t="s">
        <v>2016</v>
      </c>
      <c r="H45" s="132"/>
      <c r="I45" s="132"/>
      <c r="J45" s="3180" t="s">
        <v>2017</v>
      </c>
      <c r="K45" s="3180"/>
      <c r="L45" s="3180"/>
      <c r="M45" s="3180"/>
      <c r="N45" s="3180"/>
      <c r="O45" s="3180"/>
    </row>
    <row r="46" spans="1:15" ht="14.25" customHeight="1">
      <c r="A46" s="3260" t="s">
        <v>2018</v>
      </c>
      <c r="B46" s="3261"/>
      <c r="C46" s="3261"/>
      <c r="D46" s="3261"/>
      <c r="E46" s="3261"/>
      <c r="F46" s="3261"/>
      <c r="G46" s="3262"/>
      <c r="H46" s="1990"/>
      <c r="I46" s="162"/>
      <c r="J46" s="2747">
        <v>1</v>
      </c>
      <c r="K46" s="3181" t="s">
        <v>2019</v>
      </c>
      <c r="L46" s="3181"/>
      <c r="M46" s="3182"/>
      <c r="N46" s="3182"/>
      <c r="O46" s="3182"/>
    </row>
    <row r="47" spans="1:15" ht="12" customHeight="1">
      <c r="A47" s="163" t="s">
        <v>2020</v>
      </c>
      <c r="B47" s="164"/>
      <c r="C47" s="165"/>
      <c r="D47" s="1244" t="s">
        <v>2021</v>
      </c>
      <c r="E47" s="306" t="s">
        <v>2022</v>
      </c>
      <c r="F47" s="166" t="s">
        <v>2023</v>
      </c>
      <c r="G47" s="2770" t="s">
        <v>2024</v>
      </c>
      <c r="H47" s="2771"/>
      <c r="I47" s="162"/>
      <c r="J47" s="2747">
        <v>2</v>
      </c>
      <c r="K47" s="3181" t="s">
        <v>2025</v>
      </c>
      <c r="L47" s="3181"/>
      <c r="M47" s="3183">
        <f>'数据-取费表'!B2</f>
        <v>44141</v>
      </c>
      <c r="N47" s="3183"/>
      <c r="O47" s="3183"/>
    </row>
    <row r="48" spans="1:15" ht="25.5">
      <c r="A48" s="3246" t="s">
        <v>2026</v>
      </c>
      <c r="B48" s="3247"/>
      <c r="C48" s="3247"/>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2027</v>
      </c>
      <c r="H48" s="2774"/>
      <c r="I48" s="1990"/>
      <c r="J48" s="2747">
        <v>3</v>
      </c>
      <c r="K48" s="3181" t="s">
        <v>2028</v>
      </c>
      <c r="L48" s="3181"/>
      <c r="M48" s="3184">
        <f ca="1">H101</f>
        <v>559563</v>
      </c>
      <c r="N48" s="3184"/>
      <c r="O48" s="3184"/>
    </row>
    <row r="49" spans="1:35" ht="25.5" customHeight="1">
      <c r="A49" s="2554" t="s">
        <v>2029</v>
      </c>
      <c r="B49" s="3229" t="s">
        <v>2030</v>
      </c>
      <c r="C49" s="3229"/>
      <c r="D49" s="1774">
        <v>0</v>
      </c>
      <c r="E49" s="328" t="s">
        <v>2031</v>
      </c>
      <c r="F49" s="2648" t="s">
        <v>34</v>
      </c>
      <c r="G49" s="3212"/>
      <c r="H49" s="2526" t="s">
        <v>2875</v>
      </c>
      <c r="I49" s="2527"/>
      <c r="J49" s="2747">
        <v>4</v>
      </c>
      <c r="K49" s="3181" t="str">
        <f>IF(项目基本情况!E8="房地产抵押价值","房地产抵押价值","抵押担保权已注销时的房地产抵押价值")</f>
        <v>房地产抵押价值</v>
      </c>
      <c r="L49" s="3181"/>
      <c r="M49" s="3184">
        <f ca="1">IF(项目基本情况!E8="房地产抵押价值",H107,H109)</f>
        <v>559563</v>
      </c>
      <c r="N49" s="3184"/>
      <c r="O49" s="3184"/>
    </row>
    <row r="50" spans="1:35" ht="25.5" customHeight="1">
      <c r="A50" s="2775"/>
      <c r="B50" s="3229" t="s">
        <v>2032</v>
      </c>
      <c r="C50" s="3229"/>
      <c r="D50" s="2776"/>
      <c r="E50" s="336"/>
      <c r="F50" s="2648"/>
      <c r="G50" s="3213"/>
      <c r="H50" s="2528" t="s">
        <v>2876</v>
      </c>
      <c r="I50" s="2527"/>
      <c r="J50" s="3180" t="s">
        <v>2033</v>
      </c>
      <c r="K50" s="3180"/>
      <c r="L50" s="3180"/>
      <c r="M50" s="3180"/>
      <c r="N50" s="3180"/>
      <c r="O50" s="3180"/>
    </row>
    <row r="51" spans="1:35" ht="20.45" customHeight="1">
      <c r="A51" s="2777"/>
      <c r="B51" s="3229" t="s">
        <v>2034</v>
      </c>
      <c r="C51" s="3229"/>
      <c r="D51" s="1244"/>
      <c r="E51" s="331"/>
      <c r="F51" s="2648"/>
      <c r="G51" s="3214"/>
      <c r="H51" s="2528" t="s">
        <v>2877</v>
      </c>
      <c r="I51" s="2527"/>
      <c r="J51" s="2748" t="s">
        <v>2035</v>
      </c>
      <c r="K51" s="3181" t="s">
        <v>2036</v>
      </c>
      <c r="L51" s="3181"/>
      <c r="M51" s="2748" t="s">
        <v>2037</v>
      </c>
      <c r="N51" s="2748" t="s">
        <v>2038</v>
      </c>
      <c r="O51" s="2748" t="s">
        <v>2039</v>
      </c>
    </row>
    <row r="52" spans="1:35" ht="24" customHeight="1">
      <c r="A52" s="2556" t="s">
        <v>2040</v>
      </c>
      <c r="B52" s="3229" t="s">
        <v>2041</v>
      </c>
      <c r="C52" s="3229"/>
      <c r="D52" s="1244">
        <f ca="1">ROUND(D45*'数据-取费表'!B41/(1+'数据-取费表'!C42),0)</f>
        <v>29843</v>
      </c>
      <c r="E52" s="2555" t="s">
        <v>2042</v>
      </c>
      <c r="F52" s="2778">
        <f>'数据-取费表'!B41</f>
        <v>5.6000000000000001E-2</v>
      </c>
      <c r="G52" s="2779"/>
      <c r="H52" s="2768"/>
      <c r="I52" s="1991"/>
      <c r="J52" s="2747">
        <v>1</v>
      </c>
      <c r="K52" s="3206" t="s">
        <v>2043</v>
      </c>
      <c r="L52" s="3206"/>
      <c r="M52" s="2749" t="b">
        <f>D48</f>
        <v>0</v>
      </c>
      <c r="N52" s="2747" t="str">
        <f>E48</f>
        <v>销售额×税（费）率</v>
      </c>
      <c r="O52" s="2750">
        <f>F48</f>
        <v>5.6000000000000001E-2</v>
      </c>
    </row>
    <row r="53" spans="1:35" ht="12" customHeight="1">
      <c r="A53" s="2556" t="s">
        <v>2044</v>
      </c>
      <c r="B53" s="3230" t="s">
        <v>3036</v>
      </c>
      <c r="C53" s="3231"/>
      <c r="D53" s="1244">
        <f ca="1">ROUND(D45*'数据-取费表'!B41/(1+'数据-取费表'!C42),0)</f>
        <v>29843</v>
      </c>
      <c r="E53" s="2555" t="s">
        <v>2042</v>
      </c>
      <c r="F53" s="2778">
        <f>'数据-取费表'!B41</f>
        <v>5.6000000000000001E-2</v>
      </c>
      <c r="G53" s="2779"/>
      <c r="H53" s="2768"/>
      <c r="I53" s="1991"/>
      <c r="J53" s="2747">
        <v>2</v>
      </c>
      <c r="K53" s="3206" t="s">
        <v>2045</v>
      </c>
      <c r="L53" s="3206"/>
      <c r="M53" s="2749">
        <f t="shared" ref="M53:O54" ca="1" si="0">D55</f>
        <v>280</v>
      </c>
      <c r="N53" s="2747" t="str">
        <f t="shared" si="0"/>
        <v>销售额×税（费）率</v>
      </c>
      <c r="O53" s="2750" t="str">
        <f t="shared" si="0"/>
        <v>免征</v>
      </c>
    </row>
    <row r="54" spans="1:35" ht="12" customHeight="1">
      <c r="A54" s="2556" t="s">
        <v>2046</v>
      </c>
      <c r="B54" s="3230" t="s">
        <v>3037</v>
      </c>
      <c r="C54" s="3231"/>
      <c r="D54" s="1244">
        <f ca="1">C68</f>
        <v>29843</v>
      </c>
      <c r="E54" s="331" t="s">
        <v>2047</v>
      </c>
      <c r="F54" s="2778">
        <f>'数据-取费表'!B41</f>
        <v>5.6000000000000001E-2</v>
      </c>
      <c r="G54" s="2779"/>
      <c r="H54" s="2780"/>
      <c r="I54" s="1991"/>
      <c r="J54" s="2747">
        <v>3</v>
      </c>
      <c r="K54" s="3206" t="s">
        <v>2048</v>
      </c>
      <c r="L54" s="3206"/>
      <c r="M54" s="2749">
        <f t="shared" ca="1" si="0"/>
        <v>316712</v>
      </c>
      <c r="N54" s="2747" t="str">
        <f t="shared" si="0"/>
        <v>增值额×税（费）率</v>
      </c>
      <c r="O54" s="2751" t="str">
        <f t="shared" si="0"/>
        <v>免征</v>
      </c>
    </row>
    <row r="55" spans="1:35" ht="24" customHeight="1">
      <c r="A55" s="3269" t="s">
        <v>2049</v>
      </c>
      <c r="B55" s="3247"/>
      <c r="C55" s="3247"/>
      <c r="D55" s="2545">
        <f ca="1">IF(H55="个人住宅",0,ROUND(D45*I55,0))</f>
        <v>280</v>
      </c>
      <c r="E55" s="2555" t="s">
        <v>2050</v>
      </c>
      <c r="F55" s="2778" t="str">
        <f>IF(H55="正常",I55,"免征")</f>
        <v>免征</v>
      </c>
      <c r="G55" s="2779"/>
      <c r="H55" s="2774"/>
      <c r="I55" s="168">
        <f>'数据-取费表'!B49</f>
        <v>5.0000000000000001E-4</v>
      </c>
      <c r="J55" s="2747">
        <f>IF(H59="非个人房产","",4)</f>
        <v>4</v>
      </c>
      <c r="K55" s="3206" t="str">
        <f>IF(H59="非个人房产","——","个人所得税")</f>
        <v>个人所得税</v>
      </c>
      <c r="L55" s="3206"/>
      <c r="M55" s="2752">
        <f ca="1">D59</f>
        <v>5329</v>
      </c>
      <c r="N55" s="2226" t="str">
        <f>E59</f>
        <v>差额计税</v>
      </c>
      <c r="O55" s="2753">
        <f>F59</f>
        <v>0.01</v>
      </c>
    </row>
    <row r="56" spans="1:35" ht="24.75">
      <c r="A56" s="3269" t="s">
        <v>2051</v>
      </c>
      <c r="B56" s="3247"/>
      <c r="C56" s="3247"/>
      <c r="D56" s="2545">
        <f ca="1">IF(H56="个人住宅",D57,D58)</f>
        <v>316712</v>
      </c>
      <c r="E56" s="2555" t="s">
        <v>2052</v>
      </c>
      <c r="F56" s="2778" t="str">
        <f>IF(H56="正常",F58,"免征")</f>
        <v>免征</v>
      </c>
      <c r="G56" s="2781" t="s">
        <v>2053</v>
      </c>
      <c r="H56" s="2782"/>
      <c r="I56" s="1992"/>
      <c r="J56" s="2747" t="str">
        <f>IF(项目基本情况!K6="上海银行",IF(J55="",4,J55+1),"")</f>
        <v/>
      </c>
      <c r="K56" s="3187" t="str">
        <f>IF(项目基本情况!K6="上海银行","其他处置费用","")</f>
        <v/>
      </c>
      <c r="L56" s="3188"/>
      <c r="M56" s="2749" t="str">
        <f>IF(项目基本情况!K6="上海银行",M69,"")</f>
        <v/>
      </c>
      <c r="N56" s="3187" t="str">
        <f>IF(项目基本情况!K6="上海银行","包含处置中涉及的律师、诉讼、拍卖、评估等费用","")</f>
        <v/>
      </c>
      <c r="O56" s="3190"/>
    </row>
    <row r="57" spans="1:35" ht="12.75">
      <c r="A57" s="2556" t="s">
        <v>2029</v>
      </c>
      <c r="B57" s="3230" t="s">
        <v>2054</v>
      </c>
      <c r="C57" s="3231"/>
      <c r="D57" s="1774">
        <v>0</v>
      </c>
      <c r="E57" s="328" t="s">
        <v>2031</v>
      </c>
      <c r="F57" s="306"/>
      <c r="G57" s="2779"/>
      <c r="H57" s="2783"/>
      <c r="I57" s="1992"/>
      <c r="J57" s="3206">
        <f>IF(AND(J55="",J56=""),4,IF(项目基本情况!K6="上海银行",结果表!J56+1,结果表!J55+1))</f>
        <v>5</v>
      </c>
      <c r="K57" s="3206" t="s">
        <v>2055</v>
      </c>
      <c r="L57" s="2754" t="s">
        <v>2056</v>
      </c>
      <c r="M57" s="2755"/>
      <c r="N57" s="2756">
        <f ca="1">SUMIF(M52:M56,"&lt;9e307")</f>
        <v>322321</v>
      </c>
      <c r="O57" s="2757"/>
      <c r="P57" s="2917">
        <f ca="1">N57/M49</f>
        <v>0.57602271772794122</v>
      </c>
    </row>
    <row r="58" spans="1:35" ht="24.75">
      <c r="A58" s="2556" t="s">
        <v>2040</v>
      </c>
      <c r="B58" s="3230" t="s">
        <v>2057</v>
      </c>
      <c r="C58" s="3229"/>
      <c r="D58" s="2545">
        <f ca="1">IF(H58="转让取得",C81,C97)</f>
        <v>316712</v>
      </c>
      <c r="E58" s="2555" t="s">
        <v>2052</v>
      </c>
      <c r="F58" s="306" t="s">
        <v>34</v>
      </c>
      <c r="G58" s="2779"/>
      <c r="H58" s="2782"/>
      <c r="I58" s="1992"/>
      <c r="J58" s="3206"/>
      <c r="K58" s="3206"/>
      <c r="L58" s="2754" t="s">
        <v>2058</v>
      </c>
      <c r="M58" s="2758"/>
      <c r="N58" s="2759" t="str">
        <f ca="1">NUMBERSTRING(INT(N57*10000),2)&amp;"元整"</f>
        <v>叁拾贰亿贰仟叁佰贰拾壹万元整</v>
      </c>
      <c r="O58" s="2760"/>
    </row>
    <row r="59" spans="1:35" ht="24.75" thickBot="1">
      <c r="A59" s="3210" t="s">
        <v>2059</v>
      </c>
      <c r="B59" s="3211"/>
      <c r="C59" s="3211"/>
      <c r="D59" s="2784">
        <f ca="1">IF(H59="非个人房产","——",IF(H59="个人住宅（满五唯一有凭证）",0,IF(H59="个人其他（无凭证）",ROUND(D45*F59,0),ROUND(C67*F59,0))))</f>
        <v>5329</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2053</v>
      </c>
      <c r="H59" s="2530"/>
      <c r="I59" s="2529" t="s">
        <v>2878</v>
      </c>
      <c r="J59" s="3208">
        <f>J57+1</f>
        <v>6</v>
      </c>
      <c r="K59" s="3206" t="s">
        <v>2060</v>
      </c>
      <c r="L59" s="2747" t="s">
        <v>2056</v>
      </c>
      <c r="M59" s="2761"/>
      <c r="N59" s="2762">
        <f ca="1">M49-N57</f>
        <v>237242</v>
      </c>
      <c r="O59" s="2763"/>
    </row>
    <row r="60" spans="1:35" ht="12" customHeight="1">
      <c r="A60" s="1993"/>
      <c r="B60" s="1931"/>
      <c r="C60" s="1931"/>
      <c r="D60" s="1931"/>
      <c r="E60" s="1762"/>
      <c r="F60" s="1992"/>
      <c r="G60" s="1992"/>
      <c r="H60" s="1994"/>
      <c r="I60" s="132"/>
      <c r="J60" s="3209"/>
      <c r="K60" s="3206"/>
      <c r="L60" s="2754" t="s">
        <v>2058</v>
      </c>
      <c r="M60" s="2758"/>
      <c r="N60" s="2759" t="str">
        <f ca="1">NUMBERSTRING(INT(N59*10000),2)&amp;"元整"</f>
        <v>贰拾叁亿柒仟贰佰肆拾贰万元整</v>
      </c>
      <c r="O60" s="2760"/>
    </row>
    <row r="61" spans="1:35" ht="13.5" thickBot="1">
      <c r="A61" s="3268" t="s">
        <v>2061</v>
      </c>
      <c r="B61" s="3268"/>
      <c r="C61" s="3268"/>
      <c r="D61" s="3268"/>
      <c r="E61" s="3268"/>
      <c r="F61" s="1992"/>
      <c r="G61" s="1992"/>
      <c r="H61" s="1994"/>
      <c r="I61" s="132"/>
      <c r="J61" s="2747">
        <f>J59+1</f>
        <v>7</v>
      </c>
      <c r="K61" s="3206" t="s">
        <v>2062</v>
      </c>
      <c r="L61" s="3206"/>
      <c r="M61" s="2764"/>
      <c r="N61" s="2765">
        <f ca="1">ROUND(N59*10000/'数据-汇总表'!E3,0)</f>
        <v>14782</v>
      </c>
      <c r="O61" s="2766"/>
    </row>
    <row r="62" spans="1:35" ht="12.75">
      <c r="A62" s="3225" t="s">
        <v>2063</v>
      </c>
      <c r="B62" s="3226"/>
      <c r="C62" s="2207"/>
      <c r="D62" s="2207" t="s">
        <v>2064</v>
      </c>
      <c r="E62" s="169" t="s">
        <v>2065</v>
      </c>
      <c r="F62" s="1992"/>
      <c r="G62" s="1992"/>
      <c r="H62" s="1994"/>
      <c r="I62" s="132"/>
    </row>
    <row r="63" spans="1:35" ht="12.75">
      <c r="A63" s="176" t="s">
        <v>775</v>
      </c>
      <c r="B63" s="170" t="s">
        <v>2066</v>
      </c>
      <c r="C63" s="2788">
        <f ca="1">ROUND((C64+C65)/(1+'数据-取费表'!C42),0)</f>
        <v>532917</v>
      </c>
      <c r="D63" s="170"/>
      <c r="E63" s="171"/>
      <c r="F63" s="1992"/>
      <c r="G63" s="1992"/>
      <c r="H63" s="1994"/>
      <c r="I63" s="132"/>
      <c r="J63" s="3189" t="s">
        <v>2067</v>
      </c>
      <c r="K63" s="1500" t="s">
        <v>2068</v>
      </c>
      <c r="L63" s="1500">
        <f ca="1">IF(M49&gt;10000,M49*0.5%,IF(AND(M49&gt;1000,M49&lt;=10000),M49*1%,IF(AND(M49&gt;100,M49&lt;=1000),M49*3%,IF(AND(M49&gt;10,M49&lt;=100),M49*5%,M49*8%))))</f>
        <v>2797.8150000000001</v>
      </c>
      <c r="M63" s="306">
        <f ca="1">ROUND(L63,1)</f>
        <v>2797.8</v>
      </c>
      <c r="N63" s="2767"/>
      <c r="Z63" s="1936"/>
      <c r="AI63" s="1937"/>
    </row>
    <row r="64" spans="1:35" ht="14.25" customHeight="1">
      <c r="A64" s="172" t="s">
        <v>770</v>
      </c>
      <c r="B64" s="173" t="s">
        <v>2069</v>
      </c>
      <c r="C64" s="2789">
        <f ca="1">D45</f>
        <v>559563</v>
      </c>
      <c r="D64" s="173" t="s">
        <v>32</v>
      </c>
      <c r="E64" s="175"/>
      <c r="F64" s="1992"/>
      <c r="G64" s="1992"/>
      <c r="H64" s="1994"/>
      <c r="I64" s="132"/>
      <c r="J64" s="3189"/>
      <c r="K64" s="1500" t="s">
        <v>2070</v>
      </c>
      <c r="L64" s="1500">
        <f ca="1">IF(M49&gt;2000,M49*0.5%,IF(AND(M49&gt;1000,M49&lt;=2000),M49*0.6%,IF(AND(M49&gt;500,M49&lt;=1000),M49*0.7%,IF(AND(M49&gt;200,M49&lt;=500),M49*0.8%,IF(AND(M49&gt;100,M49&lt;=200),M49*0.9%,IF(AND(M49&gt;50,M49&lt;=100),M49*1%,IF(AND(M49&gt;20,M49&lt;=50),M49*1.5%,IF(AND(M49&gt;10,M49&lt;=20),M49*2%,IF(AND(M49&gt;1,M49&lt;=10),M49*2.5%)))))))))</f>
        <v>2797.8150000000001</v>
      </c>
      <c r="M64" s="306">
        <f t="shared" ref="M64:M65" ca="1" si="1">ROUND(L64,1)</f>
        <v>2797.8</v>
      </c>
      <c r="N64" s="2768" t="s">
        <v>2071</v>
      </c>
      <c r="Z64" s="1936"/>
      <c r="AI64" s="1937"/>
    </row>
    <row r="65" spans="1:35" ht="14.25" customHeight="1">
      <c r="A65" s="172" t="s">
        <v>771</v>
      </c>
      <c r="B65" s="173" t="s">
        <v>2072</v>
      </c>
      <c r="C65" s="2790"/>
      <c r="D65" s="173"/>
      <c r="E65" s="175"/>
      <c r="F65" s="1992"/>
      <c r="G65" s="1992"/>
      <c r="H65" s="1994"/>
      <c r="I65" s="132"/>
      <c r="J65" s="3189"/>
      <c r="K65" s="1500" t="s">
        <v>2073</v>
      </c>
      <c r="L65" s="1500">
        <f ca="1">IF(M49&gt;1000,M49*0.1%,IF(AND(M49&gt;500,M49&lt;=1000),M49*0.5%,IF(AND(M49&gt;50,M49&lt;=500),M49*1%,IF(AND(M49&gt;1,M49&lt;=50),M49*1.5%))))</f>
        <v>559.56299999999999</v>
      </c>
      <c r="M65" s="306">
        <f t="shared" ca="1" si="1"/>
        <v>559.6</v>
      </c>
      <c r="N65" s="2768" t="s">
        <v>2071</v>
      </c>
      <c r="Z65" s="1936"/>
      <c r="AI65" s="1937"/>
    </row>
    <row r="66" spans="1:35" ht="14.25" customHeight="1">
      <c r="A66" s="176" t="s">
        <v>772</v>
      </c>
      <c r="B66" s="177" t="s">
        <v>2074</v>
      </c>
      <c r="C66" s="2791"/>
      <c r="D66" s="177" t="s">
        <v>32</v>
      </c>
      <c r="E66" s="1508" t="s">
        <v>1337</v>
      </c>
      <c r="F66" s="1992"/>
      <c r="G66" s="1992"/>
      <c r="H66" s="1994"/>
      <c r="I66" s="132"/>
      <c r="J66" s="3189"/>
      <c r="K66" s="1500" t="s">
        <v>2075</v>
      </c>
      <c r="L66" s="1500">
        <f ca="1">M49*0.5%</f>
        <v>2797.8150000000001</v>
      </c>
      <c r="M66" s="306">
        <f ca="1">IF(L66&gt;0.5,0.5,ROUND(L66,0))</f>
        <v>0.5</v>
      </c>
      <c r="N66" s="2768" t="s">
        <v>2076</v>
      </c>
      <c r="Z66" s="1936"/>
      <c r="AI66" s="1937"/>
    </row>
    <row r="67" spans="1:35" ht="14.25" customHeight="1">
      <c r="A67" s="176" t="s">
        <v>773</v>
      </c>
      <c r="B67" s="177" t="s">
        <v>2077</v>
      </c>
      <c r="C67" s="2792">
        <f ca="1">C63-C66</f>
        <v>532917</v>
      </c>
      <c r="D67" s="173" t="s">
        <v>32</v>
      </c>
      <c r="E67" s="175"/>
      <c r="F67" s="1992"/>
      <c r="G67" s="1992"/>
      <c r="H67" s="1994"/>
      <c r="I67" s="132"/>
      <c r="J67" s="3189"/>
      <c r="K67" s="1500" t="s">
        <v>2078</v>
      </c>
      <c r="L67" s="1500">
        <f ca="1">IF(M49&gt;=10000,(8.25+(M49-10000)*0.01%),IF(AND(M49&gt;=8000,M49&lt;10000),(7.85+(M49-8000)*0.02%),IF(AND(M49&gt;=5000,M49&lt;8000),(6.65+(M49-5000)*0.04%),IF(AND(M49&gt;=2000,M49&lt;5000),(4.25+(PM49-2000)*0.08%),IF(AND(M49&gt;=1000,M49&lt;2000),(2.75+(M49-1000)*0.15%),IF(AND(M49&gt;=100,M49&lt;1000),(0.5+(M49-100)*0.25%),IF(AND(M49&gt;0,M49&lt;100),M49*0.5%)))))))</f>
        <v>63.206300000000006</v>
      </c>
      <c r="M67" s="306">
        <f ca="1">ROUND(L67*0.9,1)</f>
        <v>56.9</v>
      </c>
      <c r="N67" s="2767"/>
      <c r="Z67" s="1936"/>
      <c r="AI67" s="1937"/>
    </row>
    <row r="68" spans="1:35" ht="14.25" customHeight="1" thickBot="1">
      <c r="A68" s="179" t="s">
        <v>774</v>
      </c>
      <c r="B68" s="180" t="s">
        <v>2079</v>
      </c>
      <c r="C68" s="2793">
        <f ca="1">IF(C67&lt;=0,0,ROUND(C67*D68,0))</f>
        <v>29843</v>
      </c>
      <c r="D68" s="2794">
        <f>'数据-取费表'!B41</f>
        <v>5.6000000000000001E-2</v>
      </c>
      <c r="E68" s="182"/>
      <c r="F68" s="1992"/>
      <c r="G68" s="1992"/>
      <c r="H68" s="1994"/>
      <c r="I68" s="132"/>
      <c r="J68" s="3189"/>
      <c r="K68" s="1500" t="s">
        <v>2080</v>
      </c>
      <c r="L68" s="1500">
        <f ca="1">IF(M49&gt;10000,M49*0.5%,IF(AND(M49&gt;5000,M49&lt;=10000),M49*1%,IF(AND(M49&gt;1000,M49&lt;=5000),M49*2%,IF(AND(M49&gt;200,M49&lt;=1000),M49*3%,M49*5%))))</f>
        <v>2797.8150000000001</v>
      </c>
      <c r="M68" s="306">
        <f ca="1">ROUND(L68,1)</f>
        <v>2797.8</v>
      </c>
      <c r="N68" s="2767"/>
      <c r="Z68" s="1936"/>
      <c r="AI68" s="1937"/>
    </row>
    <row r="69" spans="1:35" s="1956" customFormat="1" ht="16.5" customHeight="1">
      <c r="A69" s="1995"/>
      <c r="B69" s="1996"/>
      <c r="C69" s="1997"/>
      <c r="D69" s="1998"/>
      <c r="E69" s="1999"/>
      <c r="F69" s="1762"/>
      <c r="G69" s="1762"/>
      <c r="H69" s="1761"/>
      <c r="I69" s="1931"/>
      <c r="J69" s="3189"/>
      <c r="K69" s="1500" t="s">
        <v>2081</v>
      </c>
      <c r="L69" s="1500"/>
      <c r="M69" s="306">
        <f ca="1">ROUND(SUM(M63:M68),0)</f>
        <v>9010</v>
      </c>
      <c r="N69" s="2769">
        <f ca="1">M69/M49</f>
        <v>1.6101850908655506E-2</v>
      </c>
      <c r="O69" s="731"/>
      <c r="P69" s="731"/>
      <c r="Q69" s="731"/>
      <c r="R69" s="731"/>
      <c r="S69" s="731"/>
      <c r="T69" s="731"/>
      <c r="U69" s="731"/>
      <c r="V69" s="731"/>
      <c r="W69" s="731"/>
      <c r="X69" s="731"/>
      <c r="Y69" s="731"/>
      <c r="Z69" s="1936"/>
      <c r="AA69" s="1936"/>
      <c r="AB69" s="1936"/>
      <c r="AC69" s="1936"/>
      <c r="AD69" s="1936"/>
      <c r="AE69" s="1936"/>
      <c r="AF69" s="1936"/>
      <c r="AG69" s="1936"/>
      <c r="AH69" s="1936"/>
    </row>
    <row r="70" spans="1:35" s="2001" customFormat="1" ht="15" thickBot="1">
      <c r="A70" s="3233" t="s">
        <v>2082</v>
      </c>
      <c r="B70" s="3234"/>
      <c r="C70" s="3234"/>
      <c r="D70" s="3234"/>
      <c r="E70" s="3234"/>
      <c r="F70" s="3234"/>
      <c r="G70" s="3234"/>
      <c r="H70" s="3234"/>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25" t="s">
        <v>2063</v>
      </c>
      <c r="B71" s="3226"/>
      <c r="C71" s="2207"/>
      <c r="D71" s="2207" t="s">
        <v>2064</v>
      </c>
      <c r="E71" s="183" t="s">
        <v>2065</v>
      </c>
      <c r="F71" s="184"/>
      <c r="G71" s="184"/>
      <c r="H71" s="185"/>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6" t="s">
        <v>775</v>
      </c>
      <c r="B72" s="177" t="s">
        <v>2083</v>
      </c>
      <c r="C72" s="2792">
        <f ca="1">ROUND(D45/(1+'数据-取费表'!C42),0)</f>
        <v>532917</v>
      </c>
      <c r="D72" s="173" t="s">
        <v>32</v>
      </c>
      <c r="E72" s="2552"/>
      <c r="F72" s="2551"/>
      <c r="G72" s="2551"/>
      <c r="H72" s="186"/>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6" t="s">
        <v>772</v>
      </c>
      <c r="B73" s="166" t="s">
        <v>2084</v>
      </c>
      <c r="C73" s="2792">
        <f ca="1">C74+C78</f>
        <v>3198</v>
      </c>
      <c r="D73" s="173" t="s">
        <v>32</v>
      </c>
      <c r="E73" s="2552"/>
      <c r="F73" s="2551"/>
      <c r="G73" s="2551"/>
      <c r="H73" s="186"/>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2" t="s">
        <v>770</v>
      </c>
      <c r="B74" s="173" t="s">
        <v>2085</v>
      </c>
      <c r="C74" s="173">
        <f>ROUND(IF(G77="2016年5月1日后购买",C75/(1+'数据-取费表'!C42)+C76+C77,C75+C76+C77),0)</f>
        <v>0</v>
      </c>
      <c r="D74" s="173" t="s">
        <v>32</v>
      </c>
      <c r="E74" s="2552"/>
      <c r="F74" s="2551"/>
      <c r="G74" s="2551"/>
      <c r="H74" s="186"/>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2" t="s">
        <v>776</v>
      </c>
      <c r="B75" s="173" t="s">
        <v>2086</v>
      </c>
      <c r="C75" s="2795"/>
      <c r="D75" s="173" t="s">
        <v>32</v>
      </c>
      <c r="E75" s="188" t="s">
        <v>2087</v>
      </c>
      <c r="F75" s="2796"/>
      <c r="G75" s="188" t="s">
        <v>2088</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2" t="s">
        <v>777</v>
      </c>
      <c r="B76" s="189" t="s">
        <v>2089</v>
      </c>
      <c r="C76" s="173">
        <f>IF(F75="购房发票",ROUND(C75*H75*D76,0),0)</f>
        <v>0</v>
      </c>
      <c r="D76" s="2798">
        <v>0.05</v>
      </c>
      <c r="E76" s="3230" t="s">
        <v>2090</v>
      </c>
      <c r="F76" s="3229"/>
      <c r="G76" s="3229"/>
      <c r="H76" s="3232"/>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2" t="s">
        <v>778</v>
      </c>
      <c r="B77" s="173" t="s">
        <v>2091</v>
      </c>
      <c r="C77" s="173">
        <f>ROUND(IF(G77="个人住宅",0,IF(G77="2016年5月1日前购买",C75*D77,C75*D77/(1+'数据-取费表'!C42))),0)</f>
        <v>0</v>
      </c>
      <c r="D77" s="2799">
        <f>'数据-取费表'!B48+'数据-取费表'!B49</f>
        <v>3.0499999999999999E-2</v>
      </c>
      <c r="E77" s="2545" t="s">
        <v>2092</v>
      </c>
      <c r="F77" s="190"/>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2" t="s">
        <v>771</v>
      </c>
      <c r="B78" s="173" t="s">
        <v>2093</v>
      </c>
      <c r="C78" s="2800">
        <f ca="1">ROUND(D45*D78/(1+'数据-取费表'!C42),0)</f>
        <v>3198</v>
      </c>
      <c r="D78" s="2801">
        <f>'数据-取费表'!B43</f>
        <v>6.000000000000001E-3</v>
      </c>
      <c r="E78" s="3222" t="s">
        <v>2094</v>
      </c>
      <c r="F78" s="3223"/>
      <c r="G78" s="3223"/>
      <c r="H78" s="3224"/>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6" t="s">
        <v>779</v>
      </c>
      <c r="B79" s="177" t="s">
        <v>2095</v>
      </c>
      <c r="C79" s="2792">
        <f ca="1">C72-C73</f>
        <v>529719</v>
      </c>
      <c r="D79" s="173" t="s">
        <v>32</v>
      </c>
      <c r="E79" s="2552"/>
      <c r="F79" s="2551"/>
      <c r="G79" s="2551"/>
      <c r="H79" s="186"/>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6" t="s">
        <v>780</v>
      </c>
      <c r="B80" s="177" t="s">
        <v>2096</v>
      </c>
      <c r="C80" s="2802">
        <f ca="1">IF(C79&lt;=0,0,C79/C73)</f>
        <v>165.64071294559099</v>
      </c>
      <c r="D80" s="173"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6"/>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79" t="s">
        <v>781</v>
      </c>
      <c r="B81" s="180" t="s">
        <v>2097</v>
      </c>
      <c r="C81" s="2803">
        <f ca="1">ROUND(IF(C79&lt;=0,0,IF(C80&gt;=200%,C79*60%-C73*35%,IF(C80&gt;=100%,C79*50%-C73*15%,IF(C80&gt;=50%,C79*40%-C73*5%,IF(C80&lt;50%,C79*30%,0))))),0)</f>
        <v>316712</v>
      </c>
      <c r="D81" s="2804"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6"/>
      <c r="B82" s="687"/>
      <c r="C82" s="7"/>
      <c r="D82" s="7"/>
      <c r="E82" s="687"/>
      <c r="F82" s="687"/>
      <c r="G82" s="687"/>
      <c r="H82" s="688"/>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33" t="s">
        <v>2098</v>
      </c>
      <c r="B83" s="3234"/>
      <c r="C83" s="3234"/>
      <c r="D83" s="3234"/>
      <c r="E83" s="3234"/>
      <c r="F83" s="3234"/>
      <c r="G83" s="3234"/>
      <c r="H83" s="3234"/>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25" t="s">
        <v>2063</v>
      </c>
      <c r="B84" s="3226"/>
      <c r="C84" s="2207"/>
      <c r="D84" s="2207" t="s">
        <v>2064</v>
      </c>
      <c r="E84" s="183" t="s">
        <v>2065</v>
      </c>
      <c r="F84" s="184"/>
      <c r="G84" s="184"/>
      <c r="H84" s="195"/>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6" t="s">
        <v>775</v>
      </c>
      <c r="B85" s="177" t="s">
        <v>2083</v>
      </c>
      <c r="C85" s="2792">
        <f ca="1">ROUND(D45/(1+'数据-取费表'!C42),0)</f>
        <v>532917</v>
      </c>
      <c r="D85" s="173" t="s">
        <v>32</v>
      </c>
      <c r="E85" s="2552"/>
      <c r="F85" s="2551"/>
      <c r="G85" s="2551"/>
      <c r="H85" s="196"/>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6" t="s">
        <v>772</v>
      </c>
      <c r="B86" s="166" t="s">
        <v>2084</v>
      </c>
      <c r="C86" s="2792">
        <f ca="1">IF(H88="仅含出让金",C87+C90+C91+C92+C93+C94,C87+C91+C92+C93+C94)</f>
        <v>3198</v>
      </c>
      <c r="D86" s="2805"/>
      <c r="E86" s="2552"/>
      <c r="F86" s="2551"/>
      <c r="G86" s="2551"/>
      <c r="H86" s="196"/>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2" t="s">
        <v>770</v>
      </c>
      <c r="B87" s="173" t="s">
        <v>2099</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2" t="s">
        <v>776</v>
      </c>
      <c r="B88" s="173" t="s">
        <v>2100</v>
      </c>
      <c r="C88" s="2806"/>
      <c r="D88" s="2801"/>
      <c r="E88" s="197" t="s">
        <v>2101</v>
      </c>
      <c r="F88" s="2548"/>
      <c r="G88" s="198" t="s">
        <v>2102</v>
      </c>
      <c r="H88" s="2008"/>
      <c r="I88" s="2005"/>
      <c r="J88" s="2745" t="s">
        <v>3033</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2" t="s">
        <v>777</v>
      </c>
      <c r="B89" s="173" t="s">
        <v>2091</v>
      </c>
      <c r="C89" s="2800">
        <f>ROUND(C88*D89,0)</f>
        <v>0</v>
      </c>
      <c r="D89" s="2801">
        <f>'数据-取费表'!B48+'数据-取费表'!B49</f>
        <v>3.0499999999999999E-2</v>
      </c>
      <c r="E89" s="197" t="s">
        <v>2103</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2" t="s">
        <v>771</v>
      </c>
      <c r="B90" s="173" t="s">
        <v>2104</v>
      </c>
      <c r="C90" s="2806"/>
      <c r="D90" s="2801"/>
      <c r="E90" s="197" t="str">
        <f>IF(H88="-","土地取得成本中已包含该笔费用"," ")</f>
        <v xml:space="preserve"> </v>
      </c>
      <c r="F90" s="2548"/>
      <c r="G90" s="3191" t="s">
        <v>2870</v>
      </c>
      <c r="H90" s="3192"/>
      <c r="I90" s="2005"/>
      <c r="J90" s="2745" t="s">
        <v>3034</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2" t="s">
        <v>2105</v>
      </c>
      <c r="B91" s="173" t="s">
        <v>2106</v>
      </c>
      <c r="C91" s="2800">
        <f>IF(H91="——",成本法!C33,I91)</f>
        <v>0</v>
      </c>
      <c r="D91" s="2801"/>
      <c r="E91" s="3222" t="s">
        <v>2107</v>
      </c>
      <c r="F91" s="3223"/>
      <c r="G91" s="3223"/>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2" t="s">
        <v>2108</v>
      </c>
      <c r="B92" s="173" t="s">
        <v>2109</v>
      </c>
      <c r="C92" s="2800">
        <f>ROUND((C87+C90+C91)*D92,0)</f>
        <v>0</v>
      </c>
      <c r="D92" s="2807"/>
      <c r="E92" s="3222" t="s">
        <v>2110</v>
      </c>
      <c r="F92" s="3223"/>
      <c r="G92" s="3223"/>
      <c r="H92" s="3224"/>
      <c r="I92" s="2005"/>
      <c r="J92" s="2746" t="s">
        <v>3035</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2" t="s">
        <v>2111</v>
      </c>
      <c r="B93" s="173" t="s">
        <v>2093</v>
      </c>
      <c r="C93" s="2800">
        <f ca="1">ROUND(D45*D93/(1+'数据-取费表'!C42),0)</f>
        <v>3198</v>
      </c>
      <c r="D93" s="2801">
        <f>'数据-取费表'!B43</f>
        <v>6.000000000000001E-3</v>
      </c>
      <c r="E93" s="3222" t="s">
        <v>2094</v>
      </c>
      <c r="F93" s="3223"/>
      <c r="G93" s="3223"/>
      <c r="H93" s="3224"/>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2" t="s">
        <v>2112</v>
      </c>
      <c r="B94" s="173" t="s">
        <v>2113</v>
      </c>
      <c r="C94" s="2806">
        <f>ROUND((C87+C90+C91)*D94,0)</f>
        <v>0</v>
      </c>
      <c r="D94" s="2801">
        <v>0.2</v>
      </c>
      <c r="E94" s="3270" t="s">
        <v>2114</v>
      </c>
      <c r="F94" s="3271"/>
      <c r="G94" s="3271"/>
      <c r="H94" s="3272"/>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6" t="s">
        <v>779</v>
      </c>
      <c r="B95" s="177" t="s">
        <v>2095</v>
      </c>
      <c r="C95" s="2792">
        <f ca="1">ROUND(C85-C86,0)</f>
        <v>529719</v>
      </c>
      <c r="D95" s="173" t="s">
        <v>32</v>
      </c>
      <c r="E95" s="2552"/>
      <c r="F95" s="2551"/>
      <c r="G95" s="2551"/>
      <c r="H95" s="196"/>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6" t="s">
        <v>780</v>
      </c>
      <c r="B96" s="177" t="s">
        <v>2096</v>
      </c>
      <c r="C96" s="2802">
        <f ca="1">IF(C95&lt;=0,0,C95/C86)</f>
        <v>165.64071294559099</v>
      </c>
      <c r="D96" s="173"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6"/>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79" t="s">
        <v>781</v>
      </c>
      <c r="B97" s="180" t="s">
        <v>2097</v>
      </c>
      <c r="C97" s="2803">
        <f ca="1">ROUND(IF(C95&lt;=0,0,IF(C96&gt;=200%,C95*60%-C86*35%,IF(C96&gt;=100%,C95*50%-C86*15%,IF(C96&gt;=50%,C95*40%-C86*5%,IF(C96&lt;50%,C95*30%,0))))),0)</f>
        <v>316712</v>
      </c>
      <c r="D97" s="2804"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2"/>
    </row>
    <row r="99" spans="1:35" ht="21.75" customHeight="1" thickBot="1">
      <c r="A99" s="1984" t="s">
        <v>2115</v>
      </c>
      <c r="B99" s="1931"/>
      <c r="C99" s="1931"/>
      <c r="D99" s="1931"/>
      <c r="E99" s="1762"/>
      <c r="F99" s="1762"/>
      <c r="G99" s="1762"/>
      <c r="H99" s="1761"/>
      <c r="I99" s="132"/>
    </row>
    <row r="100" spans="1:35" ht="18.75" customHeight="1">
      <c r="A100" s="3172" t="s">
        <v>2116</v>
      </c>
      <c r="B100" s="3173"/>
      <c r="C100" s="3173"/>
      <c r="D100" s="3207"/>
      <c r="E100" s="3173" t="s">
        <v>2117</v>
      </c>
      <c r="F100" s="3173"/>
      <c r="G100" s="3173"/>
      <c r="H100" s="3207"/>
      <c r="I100" s="132"/>
    </row>
    <row r="101" spans="1:35" ht="18.75" customHeight="1">
      <c r="A101" s="3215" t="s">
        <v>2118</v>
      </c>
      <c r="B101" s="3216"/>
      <c r="C101" s="2809" t="str">
        <f>C4</f>
        <v>成本法</v>
      </c>
      <c r="D101" s="2810" t="str">
        <f>D4</f>
        <v>假设开发法</v>
      </c>
      <c r="E101" s="3185" t="s">
        <v>2119</v>
      </c>
      <c r="F101" s="3186"/>
      <c r="G101" s="2011" t="s">
        <v>2120</v>
      </c>
      <c r="H101" s="2819">
        <f ca="1">H118</f>
        <v>559563</v>
      </c>
      <c r="I101" s="132"/>
    </row>
    <row r="102" spans="1:35" ht="18.75" customHeight="1">
      <c r="A102" s="3217" t="s">
        <v>2121</v>
      </c>
      <c r="B102" s="2808" t="s">
        <v>2120</v>
      </c>
      <c r="C102" s="2809">
        <f ca="1">C19</f>
        <v>619579</v>
      </c>
      <c r="D102" s="2810">
        <f ca="1">D19</f>
        <v>499547</v>
      </c>
      <c r="E102" s="3185"/>
      <c r="F102" s="3186"/>
      <c r="G102" s="2011" t="s">
        <v>2122</v>
      </c>
      <c r="H102" s="2779">
        <f ca="1">I118</f>
        <v>34864</v>
      </c>
      <c r="I102" s="132"/>
    </row>
    <row r="103" spans="1:35" ht="42.75" customHeight="1">
      <c r="A103" s="3217"/>
      <c r="B103" s="2808" t="s">
        <v>2122</v>
      </c>
      <c r="C103" s="2811">
        <f ca="1">C20</f>
        <v>38603</v>
      </c>
      <c r="D103" s="2812">
        <f ca="1">D20</f>
        <v>31125</v>
      </c>
      <c r="E103" s="3178" t="s">
        <v>2123</v>
      </c>
      <c r="F103" s="3179"/>
      <c r="G103" s="2012" t="s">
        <v>2124</v>
      </c>
      <c r="H103" s="2819">
        <f>IF(D36="正常操作",H104+H105+H106,H105+H106)</f>
        <v>0</v>
      </c>
      <c r="I103" s="132"/>
    </row>
    <row r="104" spans="1:35" ht="18.75" customHeight="1">
      <c r="A104" s="3217" t="s">
        <v>2125</v>
      </c>
      <c r="B104" s="2813" t="s">
        <v>2120</v>
      </c>
      <c r="C104" s="2814">
        <f ca="1">H118</f>
        <v>559563</v>
      </c>
      <c r="D104" s="2815"/>
      <c r="E104" s="1859" t="s">
        <v>2126</v>
      </c>
      <c r="F104" s="1850"/>
      <c r="G104" s="2012" t="s">
        <v>2124</v>
      </c>
      <c r="H104" s="2820">
        <f>IF(D36="同一抵押权人同一抵押物续贷",C36&amp;"（续贷，未扣减，详见特别提示）",C36)</f>
        <v>0</v>
      </c>
      <c r="I104" s="132"/>
    </row>
    <row r="105" spans="1:35" ht="18.75" customHeight="1" thickBot="1">
      <c r="A105" s="3227"/>
      <c r="B105" s="2816" t="s">
        <v>2122</v>
      </c>
      <c r="C105" s="2817">
        <f ca="1">I118</f>
        <v>34864</v>
      </c>
      <c r="D105" s="2818"/>
      <c r="E105" s="1859" t="s">
        <v>2127</v>
      </c>
      <c r="F105" s="1850"/>
      <c r="G105" s="2012" t="s">
        <v>2124</v>
      </c>
      <c r="H105" s="2821">
        <f>C37</f>
        <v>0</v>
      </c>
      <c r="I105" s="132"/>
    </row>
    <row r="106" spans="1:35" ht="18.75" customHeight="1">
      <c r="A106" s="1931" t="s">
        <v>2128</v>
      </c>
      <c r="B106" s="1931"/>
      <c r="C106" s="1931"/>
      <c r="D106" s="1931"/>
      <c r="E106" s="2013" t="s">
        <v>2129</v>
      </c>
      <c r="F106" s="1850"/>
      <c r="G106" s="2012" t="s">
        <v>2124</v>
      </c>
      <c r="H106" s="2821">
        <f>C38</f>
        <v>0</v>
      </c>
      <c r="I106" s="132"/>
    </row>
    <row r="107" spans="1:35" ht="18.75" customHeight="1">
      <c r="A107" s="132"/>
      <c r="B107" s="132"/>
      <c r="C107" s="132"/>
      <c r="D107" s="132"/>
      <c r="E107" s="3218" t="str">
        <f>IF(项目基本情况!E8="已注销","——","3.房地产抵押价值")</f>
        <v>3.房地产抵押价值</v>
      </c>
      <c r="F107" s="3186"/>
      <c r="G107" s="2011" t="s">
        <v>2120</v>
      </c>
      <c r="H107" s="2819">
        <f ca="1">IF(E107="——","——",H101-H103)</f>
        <v>559563</v>
      </c>
      <c r="I107" s="132"/>
    </row>
    <row r="108" spans="1:35" ht="18.75" customHeight="1">
      <c r="A108" s="132"/>
      <c r="B108" s="132"/>
      <c r="C108" s="132"/>
      <c r="D108" s="132"/>
      <c r="E108" s="3218"/>
      <c r="F108" s="3186"/>
      <c r="G108" s="2011" t="s">
        <v>2122</v>
      </c>
      <c r="H108" s="2779">
        <f ca="1">ROUND(H107*10000/'数据-汇总表'!E3,0)</f>
        <v>34864</v>
      </c>
      <c r="I108" s="132"/>
    </row>
    <row r="109" spans="1:35" ht="18.75" customHeight="1">
      <c r="A109" s="132"/>
      <c r="B109" s="132"/>
      <c r="C109" s="132"/>
      <c r="D109" s="132"/>
      <c r="E109" s="3218" t="str">
        <f>IF(项目基本情况!E8="已注销及未注销","4.抵押担保权已注销时的房地产抵押价值",IF(项目基本情况!E8="已注销","3.抵押担保权已注销时的房地产抵押价值","——"))</f>
        <v>——</v>
      </c>
      <c r="F109" s="3186"/>
      <c r="G109" s="2011" t="s">
        <v>2120</v>
      </c>
      <c r="H109" s="2822" t="str">
        <f>IF(E109="——","——",H101-H105-H106)</f>
        <v>——</v>
      </c>
      <c r="I109" s="132"/>
    </row>
    <row r="110" spans="1:35" ht="18.75" customHeight="1">
      <c r="A110" s="132"/>
      <c r="B110" s="132"/>
      <c r="C110" s="132"/>
      <c r="D110" s="132"/>
      <c r="E110" s="3218"/>
      <c r="F110" s="3186"/>
      <c r="G110" s="2011" t="s">
        <v>2122</v>
      </c>
      <c r="H110" s="2779" t="str">
        <f>IF(H109="——","——",ROUND(H109*10000/'数据-汇总表'!E3,0))</f>
        <v>——</v>
      </c>
      <c r="I110" s="132"/>
    </row>
    <row r="111" spans="1:35" ht="18.75" customHeight="1">
      <c r="A111" s="132"/>
      <c r="B111" s="132"/>
      <c r="C111" s="132"/>
      <c r="D111" s="132"/>
      <c r="E111" s="3219" t="str">
        <f>IF(项目基本情况!E9="抵押净值",IF(OR(项目基本情况!E8="已注销",项目基本情况!E8="房地产抵押价值"),"4.抵押净值","5.抵押净值"),"——")</f>
        <v>——</v>
      </c>
      <c r="F111" s="3205"/>
      <c r="G111" s="2011" t="s">
        <v>2120</v>
      </c>
      <c r="H111" s="2819" t="str">
        <f>IF(E111="——","——",N59)</f>
        <v>——</v>
      </c>
      <c r="I111" s="132"/>
    </row>
    <row r="112" spans="1:35" ht="18.75" customHeight="1" thickBot="1">
      <c r="A112" s="132"/>
      <c r="B112" s="132"/>
      <c r="C112" s="132"/>
      <c r="D112" s="132"/>
      <c r="E112" s="3220"/>
      <c r="F112" s="3221"/>
      <c r="G112" s="2014" t="s">
        <v>2122</v>
      </c>
      <c r="H112" s="2823" t="str">
        <f>IF(E111="——","——",N61)</f>
        <v>——</v>
      </c>
      <c r="I112" s="132"/>
    </row>
    <row r="113" spans="1:27" ht="18.75" customHeight="1">
      <c r="A113" s="132"/>
      <c r="B113" s="132"/>
      <c r="C113" s="132"/>
      <c r="D113" s="132"/>
      <c r="E113" s="3228" t="s">
        <v>2128</v>
      </c>
      <c r="F113" s="3228"/>
      <c r="G113" s="3228"/>
      <c r="H113" s="3228"/>
      <c r="I113" s="132"/>
    </row>
    <row r="114" spans="1:27" ht="3.75" customHeight="1">
      <c r="A114" s="1931"/>
      <c r="B114" s="1931"/>
      <c r="C114" s="1931"/>
      <c r="D114" s="1931"/>
      <c r="E114" s="1993"/>
      <c r="F114" s="1993"/>
      <c r="G114" s="1993"/>
      <c r="H114" s="1993"/>
      <c r="I114" s="1931"/>
    </row>
    <row r="115" spans="1:27" ht="18.75" customHeight="1">
      <c r="A115" s="3239" t="s">
        <v>2130</v>
      </c>
      <c r="B115" s="3240"/>
      <c r="C115" s="3240"/>
      <c r="D115" s="3240"/>
      <c r="E115" s="3240"/>
      <c r="F115" s="3240"/>
      <c r="G115" s="3240"/>
      <c r="H115" s="3240"/>
      <c r="I115" s="3241"/>
    </row>
    <row r="116" spans="1:27" ht="27" customHeight="1">
      <c r="A116" s="3193" t="s">
        <v>2131</v>
      </c>
      <c r="B116" s="3197" t="s">
        <v>2132</v>
      </c>
      <c r="C116" s="3197" t="s">
        <v>2133</v>
      </c>
      <c r="D116" s="3203" t="s">
        <v>2134</v>
      </c>
      <c r="E116" s="3204"/>
      <c r="F116" s="3235" t="s">
        <v>2135</v>
      </c>
      <c r="G116" s="3235"/>
      <c r="H116" s="3193" t="s">
        <v>2136</v>
      </c>
      <c r="I116" s="3193"/>
    </row>
    <row r="117" spans="1:27" ht="18.75" customHeight="1">
      <c r="A117" s="3193"/>
      <c r="B117" s="3198"/>
      <c r="C117" s="3198"/>
      <c r="D117" s="2550" t="s">
        <v>2137</v>
      </c>
      <c r="E117" s="2550" t="s">
        <v>2138</v>
      </c>
      <c r="F117" s="2550" t="s">
        <v>2137</v>
      </c>
      <c r="G117" s="2550" t="s">
        <v>2139</v>
      </c>
      <c r="H117" s="2550" t="s">
        <v>2137</v>
      </c>
      <c r="I117" s="2550" t="s">
        <v>2139</v>
      </c>
    </row>
    <row r="118" spans="1:27" ht="24.75" customHeight="1">
      <c r="A118" s="2824" t="str">
        <f>项目基本情况!S2</f>
        <v>北京市出让国有建设用地使用权及在建建筑物房地产</v>
      </c>
      <c r="B118" s="2550">
        <f>M18</f>
        <v>160498.87</v>
      </c>
      <c r="C118" s="2550">
        <f>M19</f>
        <v>18643.39</v>
      </c>
      <c r="D118" s="2550" t="e">
        <f ca="1">ROUND(IF(D32="总价",C34,E118*B118/10000),0)</f>
        <v>#REF!</v>
      </c>
      <c r="E118" s="2550" t="e">
        <f ca="1">ROUND(IF(C33="自定义",IF(D32="楼面单价",C34,D118*10000/B118),I118-G118),0)</f>
        <v>#REF!</v>
      </c>
      <c r="F118" s="2550" t="e">
        <f ca="1">ROUND(IF(D32="总价",C35,G118*B118/10000),0)</f>
        <v>#REF!</v>
      </c>
      <c r="G118" s="2550" t="e">
        <f ca="1">ROUND(IF(D32="楼面单价",C35,F118*10000/B118),0)</f>
        <v>#REF!</v>
      </c>
      <c r="H118" s="2550">
        <f ca="1">ROUND(IF(D32="总价",C32,I118*B118/10000),0)</f>
        <v>559563</v>
      </c>
      <c r="I118" s="2550">
        <f ca="1">ROUND(IF(D32="楼面单价",C32,H118*10000/B118),0)</f>
        <v>34864</v>
      </c>
    </row>
    <row r="119" spans="1:27" ht="18.75" customHeight="1">
      <c r="A119" s="3193" t="s">
        <v>2140</v>
      </c>
      <c r="B119" s="3193"/>
      <c r="C119" s="3193"/>
      <c r="D119" s="3199" t="e">
        <f ca="1">NUMBERSTRING(INT(D118*10000),2)&amp;"元整"</f>
        <v>#REF!</v>
      </c>
      <c r="E119" s="3200"/>
      <c r="F119" s="3199" t="e">
        <f ca="1">NUMBERSTRING(INT(F118*10000),2)&amp;"元整"</f>
        <v>#REF!</v>
      </c>
      <c r="G119" s="3200"/>
      <c r="H119" s="3199" t="str">
        <f ca="1">NUMBERSTRING(INT(H118*10000),2)&amp;"元整"</f>
        <v>伍拾伍亿玖仟伍佰陆拾叁万元整</v>
      </c>
      <c r="I119" s="3200"/>
    </row>
    <row r="120" spans="1:27" ht="18.75" customHeight="1">
      <c r="A120" s="3194" t="str">
        <f>IF(项目基本情况!B9="房地产市场价值","",MID(E103,3,LEN(E103)-2))</f>
        <v/>
      </c>
      <c r="B120" s="3195"/>
      <c r="C120" s="3196"/>
      <c r="D120" s="3194">
        <f>H103</f>
        <v>0</v>
      </c>
      <c r="E120" s="3195"/>
      <c r="F120" s="3195"/>
      <c r="G120" s="3195"/>
      <c r="H120" s="3195"/>
      <c r="I120" s="3196"/>
      <c r="J120" s="1936"/>
      <c r="K120" s="1936" t="str">
        <f>IF(D120=0,"故，本次评估不存在"&amp;A120,"故，本次评估"&amp;A120&amp;"为人民币"&amp;D120&amp;"万元整。")</f>
        <v>故，本次评估不存在</v>
      </c>
      <c r="L120" s="1936"/>
      <c r="M120" s="1936"/>
      <c r="N120" s="1936"/>
      <c r="O120" s="1936"/>
      <c r="P120" s="1936"/>
      <c r="Q120" s="1936"/>
      <c r="R120" s="1936"/>
      <c r="S120" s="1936"/>
    </row>
    <row r="121" spans="1:27" ht="18.75" customHeight="1">
      <c r="A121" s="3236" t="s">
        <v>2140</v>
      </c>
      <c r="B121" s="3237"/>
      <c r="C121" s="3238"/>
      <c r="D121" s="3199" t="str">
        <f>IF(D120=0,"零元整",NUMBERSTRING(INT(D120*10000),2)&amp;"元整")</f>
        <v>零元整</v>
      </c>
      <c r="E121" s="3201"/>
      <c r="F121" s="3201"/>
      <c r="G121" s="3201"/>
      <c r="H121" s="3201"/>
      <c r="I121" s="3200"/>
      <c r="AA121" s="731"/>
    </row>
    <row r="122" spans="1:27" ht="18.75" customHeight="1">
      <c r="A122" s="3205" t="str">
        <f>IF(项目基本情况!B9="房地产市场价值","",MID(E107,3,LEN(E107)-2))</f>
        <v/>
      </c>
      <c r="B122" s="3205"/>
      <c r="C122" s="3205"/>
      <c r="D122" s="3194">
        <f ca="1">H107</f>
        <v>559563</v>
      </c>
      <c r="E122" s="3195"/>
      <c r="F122" s="3195"/>
      <c r="G122" s="3195"/>
      <c r="H122" s="3195"/>
      <c r="I122" s="3196"/>
      <c r="AA122" s="731"/>
    </row>
    <row r="123" spans="1:27" ht="18.75" customHeight="1">
      <c r="A123" s="3193" t="s">
        <v>2140</v>
      </c>
      <c r="B123" s="3193"/>
      <c r="C123" s="3193"/>
      <c r="D123" s="3199" t="str">
        <f ca="1">NUMBERSTRING(INT(D122*10000),2)&amp;"元整"</f>
        <v>伍拾伍亿玖仟伍佰陆拾叁万元整</v>
      </c>
      <c r="E123" s="3201"/>
      <c r="F123" s="3201"/>
      <c r="G123" s="3201"/>
      <c r="H123" s="3201"/>
      <c r="I123" s="3200"/>
      <c r="AA123" s="731"/>
    </row>
    <row r="124" spans="1:27" ht="18.75" customHeight="1">
      <c r="A124" s="3205" t="str">
        <f>IF(项目基本情况!B9="房地产市场价值","",MID(E109,3,LEN(E109)-2))</f>
        <v/>
      </c>
      <c r="B124" s="3205"/>
      <c r="C124" s="3205"/>
      <c r="D124" s="3194" t="str">
        <f>H109</f>
        <v>——</v>
      </c>
      <c r="E124" s="3195"/>
      <c r="F124" s="3195"/>
      <c r="G124" s="3195"/>
      <c r="H124" s="3195"/>
      <c r="I124" s="3196"/>
      <c r="AA124" s="731"/>
    </row>
    <row r="125" spans="1:27" ht="18.75" customHeight="1">
      <c r="A125" s="3193" t="s">
        <v>2140</v>
      </c>
      <c r="B125" s="3193"/>
      <c r="C125" s="3193"/>
      <c r="D125" s="3199" t="e">
        <f>NUMBERSTRING(INT(D124*10000),2)&amp;"元整"</f>
        <v>#VALUE!</v>
      </c>
      <c r="E125" s="3201"/>
      <c r="F125" s="3201"/>
      <c r="G125" s="3201"/>
      <c r="H125" s="3201"/>
      <c r="I125" s="3200"/>
      <c r="AA125" s="731"/>
    </row>
    <row r="126" spans="1:27" ht="18.75" customHeight="1">
      <c r="A126" s="3205" t="str">
        <f>IF(项目基本情况!B9="房地产市场价值","",MID(E111,3,LEN(E111)-2))</f>
        <v/>
      </c>
      <c r="B126" s="3205"/>
      <c r="C126" s="3205"/>
      <c r="D126" s="3194" t="str">
        <f>H111</f>
        <v>——</v>
      </c>
      <c r="E126" s="3195"/>
      <c r="F126" s="3195"/>
      <c r="G126" s="3195"/>
      <c r="H126" s="3195"/>
      <c r="I126" s="3196"/>
      <c r="AA126" s="731"/>
    </row>
    <row r="127" spans="1:27" ht="18.75" customHeight="1">
      <c r="A127" s="3193" t="s">
        <v>2140</v>
      </c>
      <c r="B127" s="3193"/>
      <c r="C127" s="3193"/>
      <c r="D127" s="3199" t="e">
        <f>NUMBERSTRING(INT(D126*10000),2)&amp;"元整"</f>
        <v>#VALUE!</v>
      </c>
      <c r="E127" s="3201"/>
      <c r="F127" s="3201"/>
      <c r="G127" s="3201"/>
      <c r="H127" s="3201"/>
      <c r="I127" s="3200"/>
      <c r="AA127" s="731"/>
    </row>
    <row r="128" spans="1:27" ht="21.75" customHeight="1">
      <c r="A128" s="3202" t="s">
        <v>2141</v>
      </c>
      <c r="B128" s="3202"/>
      <c r="C128" s="3202"/>
      <c r="D128" s="3202"/>
      <c r="E128" s="3202"/>
      <c r="F128" s="3202"/>
      <c r="G128" s="3202"/>
      <c r="H128" s="3202"/>
      <c r="I128" s="3202"/>
      <c r="AA128" s="731"/>
    </row>
    <row r="129" spans="1:35" ht="21.75" customHeight="1">
      <c r="A129" s="2015" t="s">
        <v>2142</v>
      </c>
      <c r="B129" s="2016"/>
      <c r="C129" s="2017" t="s">
        <v>2143</v>
      </c>
      <c r="D129" s="2018"/>
      <c r="E129" s="2018"/>
      <c r="F129" s="2018"/>
      <c r="G129" s="2018"/>
      <c r="H129" s="2019"/>
      <c r="I129" s="2020"/>
      <c r="AA129" s="731"/>
    </row>
    <row r="130" spans="1:35" ht="21.75" customHeight="1">
      <c r="A130" s="2021">
        <v>1</v>
      </c>
      <c r="B130" s="2022"/>
      <c r="C130" s="2022"/>
      <c r="D130" s="2023"/>
      <c r="E130" s="2023"/>
      <c r="F130" s="2023"/>
      <c r="G130" s="2023"/>
      <c r="H130" s="2024"/>
      <c r="I130" s="2025"/>
      <c r="AA130" s="731"/>
    </row>
    <row r="131" spans="1:35" ht="21.75" customHeight="1">
      <c r="A131" s="2021">
        <v>2</v>
      </c>
      <c r="B131" s="2022"/>
      <c r="C131" s="2022"/>
      <c r="D131" s="2023"/>
      <c r="E131" s="2023"/>
      <c r="F131" s="2023"/>
      <c r="G131" s="2023"/>
      <c r="H131" s="2024"/>
      <c r="I131" s="2025"/>
      <c r="AA131" s="731"/>
    </row>
    <row r="132" spans="1:35" ht="21.75" customHeight="1">
      <c r="A132" s="2021">
        <v>3</v>
      </c>
      <c r="B132" s="2022"/>
      <c r="C132" s="2022"/>
      <c r="D132" s="2023"/>
      <c r="E132" s="2023"/>
      <c r="F132" s="2023"/>
      <c r="G132" s="2023"/>
      <c r="H132" s="2024"/>
      <c r="I132" s="2025"/>
      <c r="AA132" s="731"/>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1"/>
    </row>
    <row r="135" spans="1:35" ht="21.75" customHeight="1">
      <c r="A135" s="731"/>
      <c r="B135" s="731"/>
      <c r="C135" s="731"/>
      <c r="D135" s="731"/>
      <c r="E135" s="731"/>
      <c r="F135" s="2031" t="s">
        <v>2144</v>
      </c>
      <c r="G135" s="2032"/>
      <c r="H135" s="2032"/>
      <c r="I135" s="2033" t="s">
        <v>2145</v>
      </c>
    </row>
    <row r="136" spans="1:35" ht="21.75" customHeight="1">
      <c r="A136" s="731"/>
      <c r="B136" s="2034" t="s">
        <v>2146</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32"/>
      <c r="C138" s="2032"/>
      <c r="D138" s="2032"/>
      <c r="E138" s="2032"/>
      <c r="F138" s="2032"/>
      <c r="G138" s="2032"/>
      <c r="H138" s="2032"/>
      <c r="I138" s="2033" t="s">
        <v>2147</v>
      </c>
    </row>
    <row r="139" spans="1:35" ht="21.75" customHeight="1">
      <c r="A139" s="731"/>
      <c r="B139" s="2034" t="s">
        <v>2148</v>
      </c>
      <c r="C139" s="731"/>
      <c r="D139" s="731"/>
      <c r="E139" s="731"/>
      <c r="F139" s="731"/>
      <c r="G139" s="731"/>
      <c r="H139" s="731"/>
      <c r="I139" s="731"/>
    </row>
    <row r="140" spans="1:35" ht="21.75" customHeight="1">
      <c r="A140" s="731"/>
      <c r="B140" s="2034"/>
      <c r="C140" s="731"/>
      <c r="D140" s="731"/>
      <c r="E140" s="731"/>
      <c r="F140" s="731"/>
      <c r="G140" s="731"/>
      <c r="H140" s="731"/>
      <c r="I140" s="731"/>
    </row>
    <row r="141" spans="1:35" ht="21.75" customHeight="1">
      <c r="A141" s="731"/>
      <c r="B141" s="2032"/>
      <c r="C141" s="2032"/>
      <c r="D141" s="2032"/>
      <c r="E141" s="2032"/>
      <c r="F141" s="2032"/>
      <c r="G141" s="2032"/>
      <c r="H141" s="2032"/>
      <c r="I141" s="2033" t="s">
        <v>2147</v>
      </c>
    </row>
    <row r="142" spans="1:35" ht="21.75" customHeight="1">
      <c r="A142" s="731"/>
      <c r="B142" s="2034"/>
      <c r="C142" s="2035"/>
      <c r="D142" s="2036"/>
      <c r="E142" s="2036"/>
      <c r="F142" s="1925"/>
      <c r="G142" s="731"/>
      <c r="H142" s="731"/>
      <c r="I142" s="731"/>
    </row>
    <row r="143" spans="1:35" s="133" customFormat="1" ht="21.75" customHeight="1">
      <c r="A143" s="731"/>
      <c r="B143" s="2034"/>
      <c r="C143" s="2035"/>
      <c r="D143" s="2036"/>
      <c r="E143" s="2036"/>
      <c r="F143" s="192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3"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3"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3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3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3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3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3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3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3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3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3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3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3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3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3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3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3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3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3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3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3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3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3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3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3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3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3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3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3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3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3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3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3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3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3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3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3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3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3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3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3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3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3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3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3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3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3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3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3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3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3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3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3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3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3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3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3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3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3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3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3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3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3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3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3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3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3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3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3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3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3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3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3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3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3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3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3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3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3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3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3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3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3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3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3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3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3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3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3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3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3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3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3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3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3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3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3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3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3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3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3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3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3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3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3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3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2149</v>
      </c>
      <c r="B1" s="1653"/>
      <c r="C1" s="202"/>
      <c r="D1" s="202"/>
      <c r="E1" s="202"/>
      <c r="F1" s="202"/>
      <c r="G1" s="1285">
        <f>MATCH(B1,'数据-取费表'!A6:A16,0)+5</f>
        <v>10</v>
      </c>
    </row>
    <row r="2" spans="1:9" s="204" customFormat="1" ht="18" customHeight="1">
      <c r="A2" s="205" t="s">
        <v>2150</v>
      </c>
      <c r="B2" s="206">
        <f ca="1">IF(D2="——",C52,C52-E2)</f>
        <v>619579</v>
      </c>
      <c r="C2" s="203" t="s">
        <v>2151</v>
      </c>
      <c r="D2" s="2037" t="s">
        <v>70</v>
      </c>
      <c r="E2" s="1328" t="e">
        <f ca="1">SUMIF(INDIRECT("'"&amp;G2&amp;"'"&amp;"!A:A"),"承租人权益价值",INDIRECT("'"&amp;G2&amp;"'"&amp;"!c:c"))</f>
        <v>#REF!</v>
      </c>
      <c r="F2" s="2038" t="s">
        <v>2151</v>
      </c>
      <c r="G2" s="2039"/>
    </row>
    <row r="3" spans="1:9" s="204" customFormat="1" ht="18" customHeight="1" thickBot="1">
      <c r="A3" s="207" t="s">
        <v>2152</v>
      </c>
      <c r="B3" s="208">
        <f ca="1">ROUND(B2*10000/(IF(B1="",'数据-汇总表'!E3,INDIRECT("'数据-取费表'!k"&amp;$G$1))),0)</f>
        <v>38603</v>
      </c>
      <c r="C3" s="203" t="s">
        <v>2153</v>
      </c>
      <c r="D3" s="203"/>
      <c r="E3" s="203"/>
      <c r="F3" s="203"/>
      <c r="G3" s="203"/>
    </row>
    <row r="4" spans="1:9" s="212" customFormat="1" ht="15.75">
      <c r="A4" s="209" t="s">
        <v>2154</v>
      </c>
      <c r="B4" s="210"/>
      <c r="C4" s="210"/>
      <c r="D4" s="210"/>
      <c r="E4" s="210"/>
      <c r="F4" s="210"/>
      <c r="G4" s="211"/>
    </row>
    <row r="5" spans="1:9" s="218" customFormat="1" ht="13.5" customHeight="1">
      <c r="A5" s="259" t="s">
        <v>2155</v>
      </c>
      <c r="B5" s="214" t="s">
        <v>2156</v>
      </c>
      <c r="C5" s="215">
        <f ca="1">C6+C7+C8</f>
        <v>459757</v>
      </c>
      <c r="D5" s="215" t="s">
        <v>2157</v>
      </c>
      <c r="E5" s="216" t="s">
        <v>2158</v>
      </c>
      <c r="F5" s="216" t="s">
        <v>2159</v>
      </c>
      <c r="G5" s="217"/>
    </row>
    <row r="6" spans="1:9" s="218" customFormat="1" ht="13.5" customHeight="1">
      <c r="A6" s="883" t="s">
        <v>2160</v>
      </c>
      <c r="B6" s="219" t="s">
        <v>2161</v>
      </c>
      <c r="C6" s="220">
        <f ca="1">'基准地价（汇总）'!B2</f>
        <v>446149</v>
      </c>
      <c r="D6" s="221"/>
      <c r="E6" s="222"/>
      <c r="F6" s="222"/>
      <c r="G6" s="223"/>
    </row>
    <row r="7" spans="1:9" s="218" customFormat="1" ht="13.5" customHeight="1">
      <c r="A7" s="883" t="s">
        <v>2162</v>
      </c>
      <c r="B7" s="219" t="s">
        <v>2163</v>
      </c>
      <c r="C7" s="224">
        <f ca="1">ROUND(C6*F7,0)</f>
        <v>13608</v>
      </c>
      <c r="D7" s="224"/>
      <c r="E7" s="222"/>
      <c r="F7" s="225">
        <f>IF(项目基本情况!B8="出让",0,'数据-取费表'!B48+'数据-取费表'!B49)</f>
        <v>3.0499999999999999E-2</v>
      </c>
      <c r="G7" s="223"/>
    </row>
    <row r="8" spans="1:9" s="227" customFormat="1">
      <c r="A8" s="883" t="s">
        <v>2164</v>
      </c>
      <c r="B8" s="219" t="s">
        <v>2165</v>
      </c>
      <c r="C8" s="224" t="str">
        <f>IF(G8="已包含在土地购买价格中","0",IF(B1="",'数据-取费表'!B29,IF(G9="全部缴纳",C9+C10,H9)))</f>
        <v>0</v>
      </c>
      <c r="D8" s="226"/>
      <c r="E8" s="224"/>
      <c r="F8" s="225"/>
      <c r="G8" s="2040" t="s">
        <v>1116</v>
      </c>
    </row>
    <row r="9" spans="1:9" s="218" customFormat="1" ht="13.5" customHeight="1">
      <c r="A9" s="884" t="s">
        <v>800</v>
      </c>
      <c r="B9" s="228" t="s">
        <v>2166</v>
      </c>
      <c r="C9" s="229">
        <f ca="1">ROUND(D9*E9/10000,0)</f>
        <v>0</v>
      </c>
      <c r="D9" s="951">
        <f ca="1">IF(B1="",'数据-汇总表'!E5,IF(INDIRECT("'数据-取费表'!c"&amp;$G$1)="住宅",INDIRECT("'数据-取费表'!k"&amp;$G$1),0))</f>
        <v>0</v>
      </c>
      <c r="E9" s="229">
        <f>'数据-取费表'!B27</f>
        <v>160</v>
      </c>
      <c r="F9" s="225"/>
      <c r="G9" s="2041" t="s">
        <v>3081</v>
      </c>
      <c r="H9" s="1296"/>
      <c r="I9" s="2042" t="s">
        <v>2167</v>
      </c>
    </row>
    <row r="10" spans="1:9" s="218" customFormat="1" ht="13.5" customHeight="1">
      <c r="A10" s="884" t="s">
        <v>801</v>
      </c>
      <c r="B10" s="228" t="s">
        <v>2168</v>
      </c>
      <c r="C10" s="229">
        <f ca="1">ROUND(D10*E10/10000,0)</f>
        <v>3210</v>
      </c>
      <c r="D10" s="951">
        <f ca="1">IF(B1="",'数据-汇总表'!E6,IF(INDIRECT("'数据-取费表'!c"&amp;$G$1)="住宅",INDIRECT("'数据-取费表'!s"&amp;$G$1),INDIRECT("'数据-取费表'!k"&amp;$G$1)+INDIRECT("'数据-取费表'!s"&amp;$G$1)))</f>
        <v>160498.87</v>
      </c>
      <c r="E10" s="229">
        <f>'数据-取费表'!B28</f>
        <v>200</v>
      </c>
      <c r="F10" s="225"/>
      <c r="G10" s="230"/>
    </row>
    <row r="11" spans="1:9" s="218" customFormat="1" ht="13.5" hidden="1" customHeight="1">
      <c r="A11" s="231" t="s">
        <v>7</v>
      </c>
      <c r="B11" s="219" t="s">
        <v>2169</v>
      </c>
      <c r="C11" s="215"/>
      <c r="D11" s="953"/>
      <c r="E11" s="222"/>
      <c r="F11" s="222"/>
      <c r="G11" s="223"/>
    </row>
    <row r="12" spans="1:9" s="218" customFormat="1" ht="13.5" hidden="1" customHeight="1">
      <c r="A12" s="231" t="s">
        <v>8</v>
      </c>
      <c r="B12" s="219" t="s">
        <v>2170</v>
      </c>
      <c r="C12" s="215">
        <v>0</v>
      </c>
      <c r="D12" s="953"/>
      <c r="E12" s="232"/>
      <c r="F12" s="225">
        <v>3.0499999999999999E-2</v>
      </c>
      <c r="G12" s="223"/>
    </row>
    <row r="13" spans="1:9" s="218" customFormat="1" ht="13.5" hidden="1" customHeight="1">
      <c r="A13" s="231" t="s">
        <v>9</v>
      </c>
      <c r="B13" s="219" t="s">
        <v>2171</v>
      </c>
      <c r="C13" s="215"/>
      <c r="D13" s="953"/>
      <c r="E13" s="222"/>
      <c r="F13" s="222"/>
      <c r="G13" s="223"/>
    </row>
    <row r="14" spans="1:9" s="218" customFormat="1" ht="13.5" hidden="1" customHeight="1">
      <c r="A14" s="231" t="s">
        <v>10</v>
      </c>
      <c r="B14" s="219" t="s">
        <v>2172</v>
      </c>
      <c r="C14" s="215"/>
      <c r="D14" s="953"/>
      <c r="E14" s="222"/>
      <c r="F14" s="222"/>
      <c r="G14" s="223" t="s">
        <v>2173</v>
      </c>
    </row>
    <row r="15" spans="1:9" s="218" customFormat="1" ht="13.5" hidden="1" customHeight="1">
      <c r="A15" s="231" t="s">
        <v>11</v>
      </c>
      <c r="B15" s="219" t="s">
        <v>2174</v>
      </c>
      <c r="C15" s="224"/>
      <c r="D15" s="953"/>
      <c r="E15" s="222"/>
      <c r="F15" s="222"/>
      <c r="G15" s="223" t="s">
        <v>2175</v>
      </c>
    </row>
    <row r="16" spans="1:9" s="218" customFormat="1" ht="13.5" hidden="1" customHeight="1">
      <c r="A16" s="231" t="s">
        <v>12</v>
      </c>
      <c r="B16" s="219" t="s">
        <v>2172</v>
      </c>
      <c r="C16" s="224"/>
      <c r="D16" s="953"/>
      <c r="E16" s="222"/>
      <c r="F16" s="222"/>
      <c r="G16" s="223"/>
    </row>
    <row r="17" spans="1:7" s="218" customFormat="1" ht="13.5" hidden="1" customHeight="1">
      <c r="A17" s="231" t="s">
        <v>13</v>
      </c>
      <c r="B17" s="219" t="s">
        <v>2176</v>
      </c>
      <c r="C17" s="233"/>
      <c r="D17" s="954"/>
      <c r="E17" s="233"/>
      <c r="F17" s="233"/>
      <c r="G17" s="223" t="s">
        <v>2175</v>
      </c>
    </row>
    <row r="18" spans="1:7" s="218" customFormat="1" ht="13.5" hidden="1" customHeight="1">
      <c r="A18" s="231" t="s">
        <v>14</v>
      </c>
      <c r="B18" s="219" t="s">
        <v>2177</v>
      </c>
      <c r="C18" s="224">
        <v>0</v>
      </c>
      <c r="D18" s="953"/>
      <c r="E18" s="222"/>
      <c r="F18" s="225">
        <v>3.0499999999999999E-2</v>
      </c>
      <c r="G18" s="223" t="s">
        <v>2178</v>
      </c>
    </row>
    <row r="19" spans="1:7" s="227" customFormat="1" ht="13.5" customHeight="1">
      <c r="A19" s="259" t="s">
        <v>2179</v>
      </c>
      <c r="B19" s="214" t="s">
        <v>2180</v>
      </c>
      <c r="C19" s="215" t="str">
        <f>IF(G19="已包含在土地取得成本中","0",ROUND(D19*E19/10000,0))</f>
        <v>0</v>
      </c>
      <c r="D19" s="955">
        <f ca="1">D9+D10</f>
        <v>160498.87</v>
      </c>
      <c r="E19" s="215">
        <f>'数据-取费表'!B31</f>
        <v>200</v>
      </c>
      <c r="F19" s="235"/>
      <c r="G19" s="2040" t="s">
        <v>3082</v>
      </c>
    </row>
    <row r="20" spans="1:7" s="218" customFormat="1" ht="13.5" customHeight="1">
      <c r="A20" s="259" t="s">
        <v>2181</v>
      </c>
      <c r="B20" s="214" t="s">
        <v>2182</v>
      </c>
      <c r="C20" s="236">
        <f ca="1">ROUND((C5+C19)*F20,0)</f>
        <v>9195</v>
      </c>
      <c r="D20" s="236"/>
      <c r="E20" s="236"/>
      <c r="F20" s="237">
        <f>'数据-取费表'!B37</f>
        <v>0.02</v>
      </c>
      <c r="G20" s="238" t="s">
        <v>2183</v>
      </c>
    </row>
    <row r="21" spans="1:7" s="218" customFormat="1" ht="13.5" customHeight="1">
      <c r="A21" s="259" t="s">
        <v>2184</v>
      </c>
      <c r="B21" s="214" t="s">
        <v>2185</v>
      </c>
      <c r="C21" s="239">
        <f>F21</f>
        <v>0.02</v>
      </c>
      <c r="D21" s="240" t="s">
        <v>2186</v>
      </c>
      <c r="E21" s="236"/>
      <c r="F21" s="237">
        <f>'数据-取费表'!B38</f>
        <v>0.02</v>
      </c>
      <c r="G21" s="238" t="s">
        <v>2187</v>
      </c>
    </row>
    <row r="22" spans="1:7" s="218" customFormat="1" ht="13.5" customHeight="1">
      <c r="A22" s="259" t="s">
        <v>2188</v>
      </c>
      <c r="B22" s="214" t="s">
        <v>2189</v>
      </c>
      <c r="C22" s="1261">
        <f ca="1">ROUND(SUM(C23:C25),0)</f>
        <v>27752</v>
      </c>
      <c r="D22" s="239">
        <f ca="1">C26</f>
        <v>5.9999999999999995E-4</v>
      </c>
      <c r="E22" s="240" t="s">
        <v>2186</v>
      </c>
      <c r="F22" s="241">
        <f ca="1">'数据-取费表'!B40</f>
        <v>4.7500000000000001E-2</v>
      </c>
      <c r="G22" s="238" t="str">
        <f>IF('数据-取费表'!B22&lt;=1,"单利计息","复利计息")</f>
        <v>复利计息</v>
      </c>
    </row>
    <row r="23" spans="1:7" s="218" customFormat="1" ht="13.5" customHeight="1">
      <c r="A23" s="885" t="s">
        <v>2190</v>
      </c>
      <c r="B23" s="219" t="s">
        <v>2191</v>
      </c>
      <c r="C23" s="1262">
        <f ca="1">ROUND(IF('数据-取费表'!B22&lt;=1,C5*F22*'数据-取费表'!B23,C5*(POWER((1+F22),'数据-取费表'!B23)-1)),0)</f>
        <v>27481</v>
      </c>
      <c r="D23" s="242"/>
      <c r="E23" s="242"/>
      <c r="F23" s="243"/>
      <c r="G23" s="244" t="s">
        <v>2192</v>
      </c>
    </row>
    <row r="24" spans="1:7" s="218" customFormat="1" ht="13.5" customHeight="1">
      <c r="A24" s="885" t="s">
        <v>2193</v>
      </c>
      <c r="B24" s="219" t="s">
        <v>2194</v>
      </c>
      <c r="C24" s="1262">
        <f ca="1">ROUND(IF('数据-取费表'!B22&lt;=1,C19*F22*('数据-取费表'!B19/2+'数据-取费表'!B21),C19*(POWER((1+F22),('数据-取费表'!B19/2+'数据-取费表'!B21))-1)),0)</f>
        <v>0</v>
      </c>
      <c r="D24" s="242"/>
      <c r="E24" s="242"/>
      <c r="F24" s="243"/>
      <c r="G24" s="244" t="s">
        <v>2195</v>
      </c>
    </row>
    <row r="25" spans="1:7" s="218" customFormat="1" ht="24">
      <c r="A25" s="885" t="s">
        <v>2196</v>
      </c>
      <c r="B25" s="219" t="s">
        <v>2197</v>
      </c>
      <c r="C25" s="1262">
        <f ca="1">ROUND(IF('数据-取费表'!B22&lt;=1,C20*F22*'数据-取费表'!B23/2,C20*(POWER((1+F22),'数据-取费表'!B23/2)-1)),0)</f>
        <v>271</v>
      </c>
      <c r="D25" s="242"/>
      <c r="E25" s="245"/>
      <c r="F25" s="243"/>
      <c r="G25" s="246" t="s">
        <v>2198</v>
      </c>
    </row>
    <row r="26" spans="1:7" s="218" customFormat="1">
      <c r="A26" s="885" t="s">
        <v>795</v>
      </c>
      <c r="B26" s="219" t="s">
        <v>2199</v>
      </c>
      <c r="C26" s="242">
        <f ca="1">ROUND(IF('数据-取费表'!B22&lt;=1,F21*F22*'数据-取费表'!B23/2,F21*(POWER((1+F22),'数据-取费表'!B23/2)-1)),4)</f>
        <v>5.9999999999999995E-4</v>
      </c>
      <c r="D26" s="242"/>
      <c r="E26" s="245"/>
      <c r="F26" s="243"/>
      <c r="G26" s="247"/>
    </row>
    <row r="27" spans="1:7" s="218" customFormat="1" ht="24.75">
      <c r="A27" s="259" t="s">
        <v>2200</v>
      </c>
      <c r="B27" s="248" t="s">
        <v>2201</v>
      </c>
      <c r="C27" s="249">
        <f ca="1">C28</f>
        <v>33244</v>
      </c>
      <c r="D27" s="239">
        <f ca="1">C29</f>
        <v>1.4E-3</v>
      </c>
      <c r="E27" s="240" t="s">
        <v>2202</v>
      </c>
      <c r="F27" s="250">
        <f ca="1">IF(B1="",'数据-取费表'!Q16,INDIRECT("'数据-取费表'!q"&amp;$G$1))</f>
        <v>0.17</v>
      </c>
      <c r="G27" s="251" t="s">
        <v>2203</v>
      </c>
    </row>
    <row r="28" spans="1:7" s="218" customFormat="1" ht="13.5" customHeight="1">
      <c r="A28" s="885" t="s">
        <v>791</v>
      </c>
      <c r="B28" s="252" t="s">
        <v>2204</v>
      </c>
      <c r="C28" s="253">
        <f ca="1">ROUND((C5+C19+C20)*F27*'数据-取费表'!B21/'数据-取费表'!B20,0)</f>
        <v>33244</v>
      </c>
      <c r="D28" s="239"/>
      <c r="E28" s="240"/>
      <c r="F28" s="250"/>
      <c r="G28" s="251"/>
    </row>
    <row r="29" spans="1:7" s="218" customFormat="1" ht="13.5" customHeight="1">
      <c r="A29" s="885" t="s">
        <v>792</v>
      </c>
      <c r="B29" s="252" t="s">
        <v>2205</v>
      </c>
      <c r="C29" s="242">
        <f ca="1">ROUND(C21*F27*'数据-取费表'!B21/'数据-取费表'!B20,4)</f>
        <v>1.4E-3</v>
      </c>
      <c r="D29" s="239"/>
      <c r="E29" s="240"/>
      <c r="F29" s="250"/>
      <c r="G29" s="251"/>
    </row>
    <row r="30" spans="1:7" s="218" customFormat="1" ht="13.5" customHeight="1">
      <c r="A30" s="259" t="s">
        <v>2206</v>
      </c>
      <c r="B30" s="214" t="s">
        <v>2207</v>
      </c>
      <c r="C30" s="239">
        <f>ROUND(F30/(1+'数据-取费表'!C42),4)</f>
        <v>5.33E-2</v>
      </c>
      <c r="D30" s="240" t="s">
        <v>2202</v>
      </c>
      <c r="E30" s="245"/>
      <c r="F30" s="241">
        <f>'数据-取费表'!B41</f>
        <v>5.6000000000000001E-2</v>
      </c>
      <c r="G30" s="238" t="s">
        <v>2208</v>
      </c>
    </row>
    <row r="31" spans="1:7" ht="16.5" customHeight="1">
      <c r="A31" s="213">
        <v>1</v>
      </c>
      <c r="B31" s="214" t="s">
        <v>2209</v>
      </c>
      <c r="C31" s="215">
        <f ca="1">ROUND((C5+C19+C20+C22+C27)/(1-C21-D22-D27-C30),0)</f>
        <v>573103</v>
      </c>
      <c r="D31" s="234"/>
      <c r="E31" s="215"/>
      <c r="F31" s="254"/>
      <c r="G31" s="238" t="s">
        <v>2210</v>
      </c>
    </row>
    <row r="32" spans="1:7" s="212" customFormat="1" ht="15.75">
      <c r="A32" s="256" t="s">
        <v>2211</v>
      </c>
      <c r="B32" s="257"/>
      <c r="C32" s="257"/>
      <c r="D32" s="257"/>
      <c r="E32" s="257"/>
      <c r="F32" s="257"/>
      <c r="G32" s="258"/>
    </row>
    <row r="33" spans="1:7" s="218" customFormat="1" ht="13.5" customHeight="1">
      <c r="A33" s="259" t="s">
        <v>782</v>
      </c>
      <c r="B33" s="214" t="s">
        <v>2212</v>
      </c>
      <c r="C33" s="260">
        <f ca="1">SUM(C34:C38)</f>
        <v>35051</v>
      </c>
      <c r="D33" s="236"/>
      <c r="E33" s="216"/>
      <c r="F33" s="245"/>
      <c r="G33" s="238"/>
    </row>
    <row r="34" spans="1:7" s="262" customFormat="1" ht="13.5" customHeight="1">
      <c r="A34" s="885" t="s">
        <v>791</v>
      </c>
      <c r="B34" s="219" t="s">
        <v>2213</v>
      </c>
      <c r="C34" s="224">
        <f ca="1">IF(B1="",IF(F34=100%,'数据-取费表'!M16,'数据-取费表'!O16),IF(F34=100%,INDIRECT("'数据-取费表'!m"&amp;$G$1)+INDIRECT("'数据-取费表'!t"&amp;$G$1),INDIRECT("'数据-取费表'!o"&amp;$G$1)+INDIRECT("'数据-取费表'!aq"&amp;$G$1)))</f>
        <v>31027</v>
      </c>
      <c r="D34" s="221"/>
      <c r="E34" s="224"/>
      <c r="F34" s="261">
        <f ca="1">IF('数据-取费表'!B24=0,1,IF(B1="",'数据-取费表'!N16,INDIRECT("'数据-取费表'!n"&amp;$G$1)))</f>
        <v>0.41699999999999998</v>
      </c>
      <c r="G34" s="223" t="s">
        <v>2214</v>
      </c>
    </row>
    <row r="35" spans="1:7" ht="13.5" customHeight="1">
      <c r="A35" s="885" t="s">
        <v>796</v>
      </c>
      <c r="B35" s="219" t="s">
        <v>2215</v>
      </c>
      <c r="C35" s="224">
        <f ca="1">ROUND(C34*F35,0)</f>
        <v>1551</v>
      </c>
      <c r="D35" s="224"/>
      <c r="E35" s="224"/>
      <c r="F35" s="263">
        <f>'数据-取费表'!B33</f>
        <v>0.05</v>
      </c>
      <c r="G35" s="223" t="s">
        <v>2216</v>
      </c>
    </row>
    <row r="36" spans="1:7" ht="24">
      <c r="A36" s="885" t="s">
        <v>797</v>
      </c>
      <c r="B36" s="219" t="s">
        <v>2217</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0.05</v>
      </c>
      <c r="G36" s="264" t="s">
        <v>2218</v>
      </c>
    </row>
    <row r="37" spans="1:7" s="262" customFormat="1" ht="13.5" customHeight="1">
      <c r="A37" s="885" t="s">
        <v>798</v>
      </c>
      <c r="B37" s="219" t="s">
        <v>2219</v>
      </c>
      <c r="C37" s="253">
        <f ca="1">ROUND(E37*D37*F34/10000,0)</f>
        <v>2008</v>
      </c>
      <c r="D37" s="221">
        <f ca="1">D19</f>
        <v>160498.87</v>
      </c>
      <c r="E37" s="253">
        <f>'数据-取费表'!B35</f>
        <v>300</v>
      </c>
      <c r="F37" s="263"/>
      <c r="G37" s="265" t="s">
        <v>2220</v>
      </c>
    </row>
    <row r="38" spans="1:7" ht="13.5" customHeight="1">
      <c r="A38" s="885" t="s">
        <v>799</v>
      </c>
      <c r="B38" s="219" t="s">
        <v>2221</v>
      </c>
      <c r="C38" s="224">
        <f ca="1">ROUND(C34*F38,0)</f>
        <v>465</v>
      </c>
      <c r="D38" s="224"/>
      <c r="E38" s="224"/>
      <c r="F38" s="263">
        <f>'数据-取费表'!B36</f>
        <v>1.4999999999999999E-2</v>
      </c>
      <c r="G38" s="223" t="s">
        <v>2216</v>
      </c>
    </row>
    <row r="39" spans="1:7" s="218" customFormat="1" ht="13.5" customHeight="1">
      <c r="A39" s="259" t="s">
        <v>2222</v>
      </c>
      <c r="B39" s="214" t="s">
        <v>2223</v>
      </c>
      <c r="C39" s="236">
        <f ca="1">ROUND(C33*F20,0)</f>
        <v>701</v>
      </c>
      <c r="D39" s="236"/>
      <c r="E39" s="236"/>
      <c r="F39" s="2533">
        <f>F20</f>
        <v>0.02</v>
      </c>
      <c r="G39" s="238" t="s">
        <v>2224</v>
      </c>
    </row>
    <row r="40" spans="1:7" s="218" customFormat="1" ht="13.5" customHeight="1">
      <c r="A40" s="259" t="s">
        <v>2225</v>
      </c>
      <c r="B40" s="214" t="s">
        <v>2226</v>
      </c>
      <c r="C40" s="1494">
        <f>F21</f>
        <v>0.02</v>
      </c>
      <c r="D40" s="240" t="s">
        <v>2227</v>
      </c>
      <c r="E40" s="236"/>
      <c r="F40" s="2533">
        <f>F21</f>
        <v>0.02</v>
      </c>
      <c r="G40" s="238" t="s">
        <v>2228</v>
      </c>
    </row>
    <row r="41" spans="1:7" s="218" customFormat="1" ht="13.5" customHeight="1">
      <c r="A41" s="259" t="s">
        <v>2229</v>
      </c>
      <c r="B41" s="214" t="s">
        <v>2230</v>
      </c>
      <c r="C41" s="236">
        <f ca="1">ROUND(SUM(C42:C43),0)</f>
        <v>1053</v>
      </c>
      <c r="D41" s="239">
        <f ca="1">C44</f>
        <v>5.9999999999999995E-4</v>
      </c>
      <c r="E41" s="240" t="s">
        <v>2227</v>
      </c>
      <c r="F41" s="2534">
        <f ca="1">F22</f>
        <v>4.7500000000000001E-2</v>
      </c>
      <c r="G41" s="238" t="str">
        <f>IF('数据-取费表'!B22&lt;=1,"单利计息","复利计息")</f>
        <v>复利计息</v>
      </c>
    </row>
    <row r="42" spans="1:7" ht="13.5" customHeight="1">
      <c r="A42" s="885" t="s">
        <v>791</v>
      </c>
      <c r="B42" s="219" t="s">
        <v>2231</v>
      </c>
      <c r="C42" s="242">
        <f ca="1">ROUND(IF('数据-取费表'!B22&lt;=1,C33*F22*'数据-取费表'!B21/2,C33*(POWER((1+F22),'数据-取费表'!B21/2)-1)),0)</f>
        <v>1032</v>
      </c>
      <c r="D42" s="242"/>
      <c r="E42" s="242"/>
      <c r="F42" s="243"/>
      <c r="G42" s="3275" t="s">
        <v>2232</v>
      </c>
    </row>
    <row r="43" spans="1:7" ht="13.5" customHeight="1">
      <c r="A43" s="885" t="s">
        <v>792</v>
      </c>
      <c r="B43" s="219" t="s">
        <v>2233</v>
      </c>
      <c r="C43" s="242">
        <f ca="1">ROUND(IF('数据-取费表'!B22&lt;=1,C39*F22*'数据-取费表'!B21/2,C39*(POWER((1+F22),'数据-取费表'!B21/2)-1)),0)</f>
        <v>21</v>
      </c>
      <c r="D43" s="242"/>
      <c r="E43" s="242"/>
      <c r="F43" s="243"/>
      <c r="G43" s="3276"/>
    </row>
    <row r="44" spans="1:7" ht="13.5" customHeight="1">
      <c r="A44" s="885" t="s">
        <v>793</v>
      </c>
      <c r="B44" s="219" t="s">
        <v>2234</v>
      </c>
      <c r="C44" s="242">
        <f ca="1">ROUND(IF('数据-取费表'!B22&lt;=1,C40*F22*'数据-取费表'!B21/2,C40*(POWER((1+F22),'数据-取费表'!B21/2)-1)),4)</f>
        <v>5.9999999999999995E-4</v>
      </c>
      <c r="D44" s="242"/>
      <c r="E44" s="242"/>
      <c r="F44" s="243"/>
      <c r="G44" s="3277"/>
    </row>
    <row r="45" spans="1:7" s="218" customFormat="1" ht="13.5" customHeight="1">
      <c r="A45" s="259" t="s">
        <v>2235</v>
      </c>
      <c r="B45" s="248" t="s">
        <v>2201</v>
      </c>
      <c r="C45" s="249">
        <f ca="1">C46</f>
        <v>6078</v>
      </c>
      <c r="D45" s="239">
        <f ca="1">C47</f>
        <v>3.3999999999999998E-3</v>
      </c>
      <c r="E45" s="240" t="s">
        <v>2227</v>
      </c>
      <c r="F45" s="2535">
        <f ca="1">F27</f>
        <v>0.17</v>
      </c>
      <c r="G45" s="251" t="s">
        <v>2236</v>
      </c>
    </row>
    <row r="46" spans="1:7" s="218" customFormat="1" ht="13.5" customHeight="1">
      <c r="A46" s="885" t="s">
        <v>791</v>
      </c>
      <c r="B46" s="252" t="s">
        <v>2237</v>
      </c>
      <c r="C46" s="253">
        <f ca="1">ROUND((C33+C39)*F27,0)</f>
        <v>6078</v>
      </c>
      <c r="D46" s="267"/>
      <c r="E46" s="240"/>
      <c r="F46" s="250"/>
      <c r="G46" s="251"/>
    </row>
    <row r="47" spans="1:7" s="218" customFormat="1" ht="13.5" customHeight="1">
      <c r="A47" s="885" t="s">
        <v>792</v>
      </c>
      <c r="B47" s="252" t="s">
        <v>2238</v>
      </c>
      <c r="C47" s="242">
        <f ca="1">ROUND(C40*F27,4)</f>
        <v>3.3999999999999998E-3</v>
      </c>
      <c r="D47" s="267"/>
      <c r="E47" s="240"/>
      <c r="F47" s="250"/>
      <c r="G47" s="251"/>
    </row>
    <row r="48" spans="1:7" s="218" customFormat="1" ht="13.5" customHeight="1">
      <c r="A48" s="259" t="s">
        <v>2200</v>
      </c>
      <c r="B48" s="214" t="s">
        <v>2239</v>
      </c>
      <c r="C48" s="1494">
        <f>ROUND(F30/(1+'数据-取费表'!C42),4)</f>
        <v>5.33E-2</v>
      </c>
      <c r="D48" s="240" t="s">
        <v>2227</v>
      </c>
      <c r="E48" s="236"/>
      <c r="F48" s="2534">
        <f>F30</f>
        <v>5.6000000000000001E-2</v>
      </c>
      <c r="G48" s="238" t="s">
        <v>2240</v>
      </c>
    </row>
    <row r="49" spans="1:7" ht="16.5" customHeight="1">
      <c r="A49" s="259" t="s">
        <v>2206</v>
      </c>
      <c r="B49" s="214" t="s">
        <v>2241</v>
      </c>
      <c r="C49" s="236">
        <f ca="1">ROUND((C33+C39+C41+C45)/(1-C40-D41-D45-C48),0)</f>
        <v>46476</v>
      </c>
      <c r="D49" s="236"/>
      <c r="E49" s="236"/>
      <c r="F49" s="268"/>
      <c r="G49" s="238" t="s">
        <v>2242</v>
      </c>
    </row>
    <row r="50" spans="1:7" s="262" customFormat="1" ht="24">
      <c r="A50" s="259" t="s">
        <v>2243</v>
      </c>
      <c r="B50" s="214" t="s">
        <v>2244</v>
      </c>
      <c r="C50" s="236"/>
      <c r="D50" s="236"/>
      <c r="E50" s="236"/>
      <c r="F50" s="268">
        <f>IF('数据-取费表'!B24=0,'数据-取费表'!N16,1)</f>
        <v>1</v>
      </c>
      <c r="G50" s="251" t="s">
        <v>2245</v>
      </c>
    </row>
    <row r="51" spans="1:7" ht="16.5" customHeight="1">
      <c r="A51" s="259" t="s">
        <v>2246</v>
      </c>
      <c r="B51" s="214" t="s">
        <v>2247</v>
      </c>
      <c r="C51" s="236">
        <f ca="1">ROUND(C49*F50,0)</f>
        <v>46476</v>
      </c>
      <c r="D51" s="236"/>
      <c r="E51" s="236"/>
      <c r="F51" s="268"/>
      <c r="G51" s="238" t="s">
        <v>2248</v>
      </c>
    </row>
    <row r="52" spans="1:7" s="212" customFormat="1" ht="16.5" thickBot="1">
      <c r="A52" s="269" t="s">
        <v>2249</v>
      </c>
      <c r="B52" s="270"/>
      <c r="C52" s="271">
        <f ca="1">C31+C51</f>
        <v>619579</v>
      </c>
      <c r="D52" s="270"/>
      <c r="E52" s="270"/>
      <c r="F52" s="270"/>
      <c r="G52" s="272"/>
    </row>
    <row r="55" spans="1:7" ht="15">
      <c r="B55" s="274" t="s">
        <v>2250</v>
      </c>
      <c r="C55" s="275"/>
    </row>
    <row r="56" spans="1:7">
      <c r="B56" s="277" t="s">
        <v>1478</v>
      </c>
      <c r="C56" s="279">
        <f ca="1">1-C57</f>
        <v>0.92500000000000004</v>
      </c>
    </row>
    <row r="57" spans="1:7">
      <c r="B57" s="277" t="s">
        <v>1479</v>
      </c>
      <c r="C57" s="278">
        <f ca="1">ROUND(C51/C52,3)</f>
        <v>7.4999999999999997E-2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86" t="str">
        <f>项目基本情况!B1</f>
        <v>北京市出让国有建设用地使用权及在建建筑物房地产市场价值预评估</v>
      </c>
      <c r="C37" s="3086"/>
      <c r="D37" s="3086"/>
      <c r="E37" s="3086"/>
      <c r="F37" s="3086"/>
      <c r="G37" s="3086"/>
      <c r="H37" s="3086"/>
      <c r="I37" s="3086"/>
    </row>
    <row r="38" spans="1:9">
      <c r="A38" s="950"/>
      <c r="B38" s="950"/>
    </row>
    <row r="39" spans="1:9">
      <c r="A39" s="948" t="s">
        <v>818</v>
      </c>
      <c r="B39" s="948" t="s">
        <v>820</v>
      </c>
    </row>
    <row r="40" spans="1:9">
      <c r="A40" s="948"/>
      <c r="B40" s="1658">
        <f>项目基本情况!B5</f>
        <v>0</v>
      </c>
    </row>
    <row r="41" spans="1:9">
      <c r="A41" s="948"/>
      <c r="B41" s="948"/>
    </row>
    <row r="42" spans="1:9">
      <c r="A42" s="948" t="s">
        <v>818</v>
      </c>
      <c r="B42" s="948" t="s">
        <v>821</v>
      </c>
    </row>
    <row r="43" spans="1:9">
      <c r="A43" s="948"/>
      <c r="B43" s="1658" t="s">
        <v>822</v>
      </c>
    </row>
    <row r="44" spans="1:9">
      <c r="A44" s="948"/>
      <c r="B44" s="948"/>
    </row>
    <row r="45" spans="1:9">
      <c r="A45" s="948" t="s">
        <v>818</v>
      </c>
      <c r="B45" s="948" t="s">
        <v>823</v>
      </c>
    </row>
    <row r="46" spans="1:9" s="948" customFormat="1" ht="12.75">
      <c r="B46" s="1658" t="str">
        <f>项目基本情况!K4</f>
        <v>（注册号：0)、（注册号：0)</v>
      </c>
    </row>
    <row r="47" spans="1:9">
      <c r="A47" s="948"/>
      <c r="B47" s="948" t="str">
        <f>项目基本情况!K5</f>
        <v>（注册号：0)、（注册号：0)</v>
      </c>
    </row>
    <row r="48" spans="1:9">
      <c r="A48" s="948" t="s">
        <v>818</v>
      </c>
      <c r="B48" s="948"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2149</v>
      </c>
      <c r="B1" s="1653"/>
      <c r="C1" s="2043" t="s">
        <v>2251</v>
      </c>
      <c r="D1" s="202"/>
      <c r="E1" s="202"/>
      <c r="F1" s="202"/>
      <c r="G1" s="1285">
        <f>MATCH(B1,'数据-取费表'!A6:A16,0)+5</f>
        <v>10</v>
      </c>
      <c r="H1" s="1189" t="str">
        <f>IF(ISERROR(FIND("住宅",B1)),"非住宅","住宅")</f>
        <v>非住宅</v>
      </c>
    </row>
    <row r="2" spans="1:8" s="204" customFormat="1" ht="18" customHeight="1">
      <c r="A2" s="205" t="s">
        <v>2150</v>
      </c>
      <c r="B2" s="206">
        <f ca="1">ROUND(IF(D2="——",C52/10000,C52/10000-E2),0)</f>
        <v>124749</v>
      </c>
      <c r="C2" s="203" t="s">
        <v>2151</v>
      </c>
      <c r="D2" s="2037" t="s">
        <v>70</v>
      </c>
      <c r="E2" s="1328" t="e">
        <f ca="1">SUMIF(INDIRECT("'"&amp;G2&amp;"'"&amp;"!A:A"),"承租人权益价值",INDIRECT("'"&amp;G2&amp;"'"&amp;"!c:c"))</f>
        <v>#REF!</v>
      </c>
      <c r="F2" s="2038" t="s">
        <v>2151</v>
      </c>
      <c r="G2" s="2039"/>
    </row>
    <row r="3" spans="1:8" s="204" customFormat="1" ht="18" customHeight="1" thickBot="1">
      <c r="A3" s="207" t="s">
        <v>2152</v>
      </c>
      <c r="B3" s="208">
        <f ca="1">ROUND(B2*10000/(IF(B1="",'数据-汇总表'!E3,INDIRECT("'数据-取费表'!k"&amp;$G$1))),0)</f>
        <v>7773</v>
      </c>
      <c r="C3" s="203" t="s">
        <v>2153</v>
      </c>
      <c r="D3" s="203"/>
      <c r="E3" s="203"/>
      <c r="F3" s="203"/>
      <c r="G3" s="203"/>
    </row>
    <row r="4" spans="1:8" s="212" customFormat="1" ht="15.75">
      <c r="A4" s="209" t="s">
        <v>2154</v>
      </c>
      <c r="B4" s="210"/>
      <c r="C4" s="210"/>
      <c r="D4" s="210"/>
      <c r="E4" s="210"/>
      <c r="F4" s="210"/>
      <c r="G4" s="211"/>
    </row>
    <row r="5" spans="1:8" s="218" customFormat="1" ht="13.5" customHeight="1">
      <c r="A5" s="259" t="s">
        <v>2155</v>
      </c>
      <c r="B5" s="214" t="s">
        <v>2156</v>
      </c>
      <c r="C5" s="215">
        <f ca="1">C6+C7+C8</f>
        <v>32099774</v>
      </c>
      <c r="D5" s="215" t="s">
        <v>2157</v>
      </c>
      <c r="E5" s="216" t="s">
        <v>2158</v>
      </c>
      <c r="F5" s="216" t="s">
        <v>2159</v>
      </c>
      <c r="G5" s="217"/>
    </row>
    <row r="6" spans="1:8" s="218" customFormat="1" ht="13.5" customHeight="1">
      <c r="A6" s="883" t="s">
        <v>2160</v>
      </c>
      <c r="B6" s="219" t="s">
        <v>2161</v>
      </c>
      <c r="C6" s="220"/>
      <c r="D6" s="221"/>
      <c r="E6" s="222"/>
      <c r="F6" s="222"/>
      <c r="G6" s="223"/>
    </row>
    <row r="7" spans="1:8" s="218" customFormat="1" ht="13.5" customHeight="1">
      <c r="A7" s="883" t="s">
        <v>2162</v>
      </c>
      <c r="B7" s="219" t="s">
        <v>2163</v>
      </c>
      <c r="C7" s="224">
        <f>ROUND(C6*F7,0)</f>
        <v>0</v>
      </c>
      <c r="D7" s="224"/>
      <c r="E7" s="222"/>
      <c r="F7" s="225">
        <f>IF(项目基本情况!B8="出让",0,'数据-取费表'!B48+'数据-取费表'!B49)</f>
        <v>3.0499999999999999E-2</v>
      </c>
      <c r="G7" s="223"/>
    </row>
    <row r="8" spans="1:8" s="227" customFormat="1">
      <c r="A8" s="883" t="s">
        <v>2164</v>
      </c>
      <c r="B8" s="219" t="s">
        <v>2165</v>
      </c>
      <c r="C8" s="224">
        <f ca="1">IF(G8="已包含在土地购买价格中",0,C9+C10)</f>
        <v>32099774</v>
      </c>
      <c r="D8" s="226"/>
      <c r="E8" s="224"/>
      <c r="F8" s="225"/>
      <c r="G8" s="2040"/>
    </row>
    <row r="9" spans="1:8" s="218" customFormat="1" ht="13.5" customHeight="1">
      <c r="A9" s="884" t="s">
        <v>800</v>
      </c>
      <c r="B9" s="228" t="s">
        <v>2166</v>
      </c>
      <c r="C9" s="229">
        <f ca="1">ROUND(D9*E9,0)</f>
        <v>0</v>
      </c>
      <c r="D9" s="951">
        <f ca="1">IF(B1="",'数据-汇总表'!E5,IF(INDIRECT("'数据-取费表'!c"&amp;$G$1)="住宅",INDIRECT("'数据-取费表'!k"&amp;$G$1),0))</f>
        <v>0</v>
      </c>
      <c r="E9" s="229">
        <f>'数据-取费表'!B27</f>
        <v>160</v>
      </c>
      <c r="F9" s="225"/>
      <c r="G9" s="230"/>
    </row>
    <row r="10" spans="1:8" s="218" customFormat="1" ht="13.5" customHeight="1">
      <c r="A10" s="884" t="s">
        <v>801</v>
      </c>
      <c r="B10" s="228" t="s">
        <v>2168</v>
      </c>
      <c r="C10" s="229">
        <f ca="1">ROUND(D10*E10,0)</f>
        <v>32099774</v>
      </c>
      <c r="D10" s="951">
        <f ca="1">IF(B1="",'数据-汇总表'!E6,IF(INDIRECT("'数据-取费表'!c"&amp;$G$1)="住宅",INDIRECT("'数据-取费表'!s"&amp;$G$1),INDIRECT("'数据-取费表'!k"&amp;$G$1)+INDIRECT("'数据-取费表'!s"&amp;$G$1)))</f>
        <v>160498.87</v>
      </c>
      <c r="E10" s="229">
        <f>'数据-取费表'!B28</f>
        <v>200</v>
      </c>
      <c r="F10" s="225"/>
      <c r="G10" s="230"/>
    </row>
    <row r="11" spans="1:8" s="218" customFormat="1" ht="13.5" hidden="1" customHeight="1">
      <c r="A11" s="231" t="s">
        <v>7</v>
      </c>
      <c r="B11" s="219" t="s">
        <v>2169</v>
      </c>
      <c r="C11" s="215"/>
      <c r="D11" s="953"/>
      <c r="E11" s="222"/>
      <c r="F11" s="222"/>
      <c r="G11" s="223"/>
    </row>
    <row r="12" spans="1:8" s="218" customFormat="1" ht="13.5" hidden="1" customHeight="1">
      <c r="A12" s="231" t="s">
        <v>8</v>
      </c>
      <c r="B12" s="219" t="s">
        <v>2252</v>
      </c>
      <c r="C12" s="215">
        <v>0</v>
      </c>
      <c r="D12" s="953"/>
      <c r="E12" s="232"/>
      <c r="F12" s="225">
        <v>3.0499999999999999E-2</v>
      </c>
      <c r="G12" s="223"/>
    </row>
    <row r="13" spans="1:8" s="218" customFormat="1" ht="13.5" hidden="1" customHeight="1">
      <c r="A13" s="231" t="s">
        <v>9</v>
      </c>
      <c r="B13" s="219" t="s">
        <v>2253</v>
      </c>
      <c r="C13" s="215"/>
      <c r="D13" s="953"/>
      <c r="E13" s="222"/>
      <c r="F13" s="222"/>
      <c r="G13" s="223"/>
    </row>
    <row r="14" spans="1:8" s="218" customFormat="1" ht="13.5" hidden="1" customHeight="1">
      <c r="A14" s="231" t="s">
        <v>10</v>
      </c>
      <c r="B14" s="219" t="s">
        <v>2165</v>
      </c>
      <c r="C14" s="215"/>
      <c r="D14" s="953"/>
      <c r="E14" s="222"/>
      <c r="F14" s="222"/>
      <c r="G14" s="223" t="s">
        <v>2254</v>
      </c>
    </row>
    <row r="15" spans="1:8" s="218" customFormat="1" ht="13.5" hidden="1" customHeight="1">
      <c r="A15" s="231" t="s">
        <v>11</v>
      </c>
      <c r="B15" s="219" t="s">
        <v>2255</v>
      </c>
      <c r="C15" s="224"/>
      <c r="D15" s="953"/>
      <c r="E15" s="222"/>
      <c r="F15" s="222"/>
      <c r="G15" s="223" t="s">
        <v>2256</v>
      </c>
    </row>
    <row r="16" spans="1:8" s="218" customFormat="1" ht="13.5" hidden="1" customHeight="1">
      <c r="A16" s="231" t="s">
        <v>12</v>
      </c>
      <c r="B16" s="219" t="s">
        <v>2165</v>
      </c>
      <c r="C16" s="224"/>
      <c r="D16" s="953"/>
      <c r="E16" s="222"/>
      <c r="F16" s="222"/>
      <c r="G16" s="223"/>
    </row>
    <row r="17" spans="1:7" s="218" customFormat="1" ht="13.5" hidden="1" customHeight="1">
      <c r="A17" s="231" t="s">
        <v>13</v>
      </c>
      <c r="B17" s="219" t="s">
        <v>2257</v>
      </c>
      <c r="C17" s="233"/>
      <c r="D17" s="954"/>
      <c r="E17" s="233"/>
      <c r="F17" s="233"/>
      <c r="G17" s="223" t="s">
        <v>2256</v>
      </c>
    </row>
    <row r="18" spans="1:7" s="218" customFormat="1" ht="13.5" hidden="1" customHeight="1">
      <c r="A18" s="231" t="s">
        <v>14</v>
      </c>
      <c r="B18" s="219" t="s">
        <v>2258</v>
      </c>
      <c r="C18" s="224">
        <v>0</v>
      </c>
      <c r="D18" s="953"/>
      <c r="E18" s="222"/>
      <c r="F18" s="225">
        <v>3.0499999999999999E-2</v>
      </c>
      <c r="G18" s="223" t="s">
        <v>2259</v>
      </c>
    </row>
    <row r="19" spans="1:7" s="227" customFormat="1" ht="13.5" customHeight="1">
      <c r="A19" s="259" t="s">
        <v>2260</v>
      </c>
      <c r="B19" s="214" t="s">
        <v>2261</v>
      </c>
      <c r="C19" s="215">
        <f ca="1">IF(G19="已包含在土地取得成本中","0",ROUND(D19*E19,0))</f>
        <v>32099774</v>
      </c>
      <c r="D19" s="955">
        <f ca="1">D9+D10</f>
        <v>160498.87</v>
      </c>
      <c r="E19" s="215">
        <f>'数据-取费表'!B31</f>
        <v>200</v>
      </c>
      <c r="F19" s="235"/>
      <c r="G19" s="2040"/>
    </row>
    <row r="20" spans="1:7" s="218" customFormat="1" ht="13.5" customHeight="1">
      <c r="A20" s="259" t="s">
        <v>2262</v>
      </c>
      <c r="B20" s="214" t="s">
        <v>2263</v>
      </c>
      <c r="C20" s="236">
        <f ca="1">ROUND((C5+C19)*F20,0)</f>
        <v>1283991</v>
      </c>
      <c r="D20" s="236"/>
      <c r="E20" s="236"/>
      <c r="F20" s="237">
        <f>'数据-取费表'!B37</f>
        <v>0.02</v>
      </c>
      <c r="G20" s="238" t="s">
        <v>2264</v>
      </c>
    </row>
    <row r="21" spans="1:7" s="218" customFormat="1" ht="13.5" customHeight="1">
      <c r="A21" s="259" t="s">
        <v>2265</v>
      </c>
      <c r="B21" s="214" t="s">
        <v>2266</v>
      </c>
      <c r="C21" s="239">
        <f>F21</f>
        <v>0.02</v>
      </c>
      <c r="D21" s="240" t="s">
        <v>2267</v>
      </c>
      <c r="E21" s="236"/>
      <c r="F21" s="237">
        <f>'数据-取费表'!B38</f>
        <v>0.02</v>
      </c>
      <c r="G21" s="238" t="s">
        <v>2268</v>
      </c>
    </row>
    <row r="22" spans="1:7" s="218" customFormat="1" ht="13.5" customHeight="1">
      <c r="A22" s="259" t="s">
        <v>2269</v>
      </c>
      <c r="B22" s="214" t="s">
        <v>2270</v>
      </c>
      <c r="C22" s="1286">
        <f ca="1">ROUND(SUM(C23:C25),0)</f>
        <v>9682428</v>
      </c>
      <c r="D22" s="239">
        <f ca="1">C26</f>
        <v>1.4E-3</v>
      </c>
      <c r="E22" s="240" t="s">
        <v>2267</v>
      </c>
      <c r="F22" s="241">
        <f ca="1">'数据-取费表'!B40</f>
        <v>4.7500000000000001E-2</v>
      </c>
      <c r="G22" s="238" t="str">
        <f>IF('数据-取费表'!B22&lt;=1,"单利计息","复利计息")</f>
        <v>复利计息</v>
      </c>
    </row>
    <row r="23" spans="1:7" s="218" customFormat="1" ht="13.5" customHeight="1">
      <c r="A23" s="885" t="s">
        <v>2160</v>
      </c>
      <c r="B23" s="219" t="s">
        <v>2271</v>
      </c>
      <c r="C23" s="1287">
        <f ca="1">ROUND(IF('数据-取费表'!B22&lt;=1,C5*F22*'数据-取费表'!B22,C5*(POWER((1+F22),'数据-取费表'!B22)-1)),0)</f>
        <v>4794933</v>
      </c>
      <c r="D23" s="242"/>
      <c r="E23" s="242"/>
      <c r="F23" s="243"/>
      <c r="G23" s="244" t="s">
        <v>2272</v>
      </c>
    </row>
    <row r="24" spans="1:7" s="218" customFormat="1" ht="13.5" customHeight="1">
      <c r="A24" s="885" t="s">
        <v>2162</v>
      </c>
      <c r="B24" s="219" t="s">
        <v>2273</v>
      </c>
      <c r="C24" s="1287">
        <f ca="1">ROUND(IF('数据-取费表'!B22&lt;=1,C19*F22*('数据-取费表'!B19/2+'数据-取费表'!B20),C19*(POWER((1+F22),('数据-取费表'!B19/2+'数据-取费表'!B20))-1)),0)</f>
        <v>4794933</v>
      </c>
      <c r="D24" s="242"/>
      <c r="E24" s="242"/>
      <c r="F24" s="243"/>
      <c r="G24" s="244" t="s">
        <v>2274</v>
      </c>
    </row>
    <row r="25" spans="1:7" s="218" customFormat="1" ht="24">
      <c r="A25" s="885" t="s">
        <v>2164</v>
      </c>
      <c r="B25" s="219" t="s">
        <v>2275</v>
      </c>
      <c r="C25" s="1287">
        <f ca="1">ROUND(IF('数据-取费表'!B22&lt;=1,C20*F22*'数据-取费表'!B22/2,C20*(POWER((1+F22),'数据-取费表'!B22/2)-1)),0)</f>
        <v>92562</v>
      </c>
      <c r="D25" s="242"/>
      <c r="E25" s="245"/>
      <c r="F25" s="243"/>
      <c r="G25" s="246" t="s">
        <v>2276</v>
      </c>
    </row>
    <row r="26" spans="1:7" s="218" customFormat="1">
      <c r="A26" s="885" t="s">
        <v>795</v>
      </c>
      <c r="B26" s="219" t="s">
        <v>2199</v>
      </c>
      <c r="C26" s="242">
        <f ca="1">ROUND(IF('数据-取费表'!B22&lt;=1,F21*F22*'数据-取费表'!B22/2,F21*(POWER((1+F22),'数据-取费表'!B22/2)-1)),4)</f>
        <v>1.4E-3</v>
      </c>
      <c r="D26" s="242"/>
      <c r="E26" s="245"/>
      <c r="F26" s="243"/>
      <c r="G26" s="247"/>
    </row>
    <row r="27" spans="1:7" s="218" customFormat="1" ht="24.75">
      <c r="A27" s="259" t="s">
        <v>2200</v>
      </c>
      <c r="B27" s="248" t="s">
        <v>2201</v>
      </c>
      <c r="C27" s="249">
        <f ca="1">C28</f>
        <v>11132202</v>
      </c>
      <c r="D27" s="239">
        <f ca="1">C29</f>
        <v>3.3999999999999998E-3</v>
      </c>
      <c r="E27" s="240" t="s">
        <v>2202</v>
      </c>
      <c r="F27" s="250">
        <f ca="1">IF(B1="",'数据-取费表'!Q16,INDIRECT("'数据-取费表'!q"&amp;$G$1))</f>
        <v>0.17</v>
      </c>
      <c r="G27" s="251" t="s">
        <v>2203</v>
      </c>
    </row>
    <row r="28" spans="1:7" s="218" customFormat="1" ht="13.5" customHeight="1">
      <c r="A28" s="885" t="s">
        <v>791</v>
      </c>
      <c r="B28" s="252" t="s">
        <v>2204</v>
      </c>
      <c r="C28" s="253">
        <f ca="1">ROUND((C5+C19+C20)*F27,0)</f>
        <v>11132202</v>
      </c>
      <c r="D28" s="239"/>
      <c r="E28" s="240"/>
      <c r="F28" s="250"/>
      <c r="G28" s="251"/>
    </row>
    <row r="29" spans="1:7" s="218" customFormat="1" ht="13.5" customHeight="1">
      <c r="A29" s="885" t="s">
        <v>792</v>
      </c>
      <c r="B29" s="252" t="s">
        <v>2205</v>
      </c>
      <c r="C29" s="242">
        <f ca="1">ROUND(C21*F27,4)</f>
        <v>3.3999999999999998E-3</v>
      </c>
      <c r="D29" s="239"/>
      <c r="E29" s="240"/>
      <c r="F29" s="250"/>
      <c r="G29" s="251"/>
    </row>
    <row r="30" spans="1:7" s="218" customFormat="1" ht="13.5" customHeight="1">
      <c r="A30" s="259" t="s">
        <v>2206</v>
      </c>
      <c r="B30" s="214" t="s">
        <v>2207</v>
      </c>
      <c r="C30" s="239">
        <f>ROUND(F30/(1+'数据-取费表'!C42),4)</f>
        <v>5.33E-2</v>
      </c>
      <c r="D30" s="240" t="s">
        <v>2202</v>
      </c>
      <c r="E30" s="245"/>
      <c r="F30" s="241">
        <f>'数据-取费表'!B41</f>
        <v>5.6000000000000001E-2</v>
      </c>
      <c r="G30" s="238" t="s">
        <v>2208</v>
      </c>
    </row>
    <row r="31" spans="1:7" ht="16.5" customHeight="1">
      <c r="A31" s="213">
        <v>1</v>
      </c>
      <c r="B31" s="214" t="s">
        <v>2209</v>
      </c>
      <c r="C31" s="215">
        <f ca="1">ROUND((C5+C19+C20+C22+C27)/(1-C21-D22-D27-C30),0)</f>
        <v>93609035</v>
      </c>
      <c r="D31" s="234"/>
      <c r="E31" s="215"/>
      <c r="F31" s="254"/>
      <c r="G31" s="238" t="s">
        <v>2210</v>
      </c>
    </row>
    <row r="32" spans="1:7" s="212" customFormat="1" ht="15.75">
      <c r="A32" s="256" t="s">
        <v>2277</v>
      </c>
      <c r="B32" s="257"/>
      <c r="C32" s="257"/>
      <c r="D32" s="257"/>
      <c r="E32" s="257"/>
      <c r="F32" s="257"/>
      <c r="G32" s="258"/>
    </row>
    <row r="33" spans="1:7" s="218" customFormat="1" ht="13.5" customHeight="1">
      <c r="A33" s="259" t="s">
        <v>782</v>
      </c>
      <c r="B33" s="214" t="s">
        <v>2278</v>
      </c>
      <c r="C33" s="260">
        <f ca="1">SUM(C34:C38)</f>
        <v>839636110</v>
      </c>
      <c r="D33" s="236"/>
      <c r="E33" s="216"/>
      <c r="F33" s="245"/>
      <c r="G33" s="238"/>
    </row>
    <row r="34" spans="1:7" s="262" customFormat="1" ht="13.5" customHeight="1">
      <c r="A34" s="885" t="s">
        <v>791</v>
      </c>
      <c r="B34" s="219" t="s">
        <v>2213</v>
      </c>
      <c r="C34" s="224">
        <f ca="1">ROUND(IF(B1="",SUMPRODUCT('数据-取费表'!K6:K14,'数据-取费表'!L6:L14),INDIRECT("'数据-取费表'!l"&amp;$G$1)*INDIRECT("'数据-取费表'!k"&amp;$G$1)+'数据-取费表'!L14*INDIRECT("'数据-取费表'!S"&amp;$G$1)),0)</f>
        <v>743179765</v>
      </c>
      <c r="D34" s="221"/>
      <c r="E34" s="224"/>
      <c r="F34" s="261"/>
      <c r="G34" s="223"/>
    </row>
    <row r="35" spans="1:7" ht="13.5" customHeight="1">
      <c r="A35" s="885" t="s">
        <v>796</v>
      </c>
      <c r="B35" s="219" t="s">
        <v>2215</v>
      </c>
      <c r="C35" s="224">
        <f ca="1">ROUND(C34*F35,0)</f>
        <v>37158988</v>
      </c>
      <c r="D35" s="224"/>
      <c r="E35" s="224"/>
      <c r="F35" s="263">
        <f>'数据-取费表'!B33</f>
        <v>0.05</v>
      </c>
      <c r="G35" s="223" t="s">
        <v>2216</v>
      </c>
    </row>
    <row r="36" spans="1:7" ht="24">
      <c r="A36" s="885" t="s">
        <v>797</v>
      </c>
      <c r="B36" s="219" t="s">
        <v>2217</v>
      </c>
      <c r="C36" s="224">
        <f ca="1">ROUND(IF(B1="",SUM('数据-取费表'!AP6:AP13)*F36,IF(INDIRECT("'数据-取费表'!c"&amp;$G$1)="住宅",INDIRECT("'数据-取费表'!k"&amp;$G$1)*INDIRECT("'数据-取费表'!l"&amp;$G$1)*F36,0)),0)</f>
        <v>0</v>
      </c>
      <c r="D36" s="224"/>
      <c r="E36" s="224"/>
      <c r="F36" s="263">
        <f>'数据-取费表'!B34</f>
        <v>0.05</v>
      </c>
      <c r="G36" s="264" t="s">
        <v>2218</v>
      </c>
    </row>
    <row r="37" spans="1:7" s="262" customFormat="1" ht="13.5" customHeight="1">
      <c r="A37" s="885" t="s">
        <v>798</v>
      </c>
      <c r="B37" s="219" t="s">
        <v>2219</v>
      </c>
      <c r="C37" s="253">
        <f ca="1">ROUND(E37*D37,0)</f>
        <v>48149661</v>
      </c>
      <c r="D37" s="221">
        <f ca="1">D19</f>
        <v>160498.87</v>
      </c>
      <c r="E37" s="253">
        <f>'数据-取费表'!B35</f>
        <v>300</v>
      </c>
      <c r="F37" s="263"/>
      <c r="G37" s="265"/>
    </row>
    <row r="38" spans="1:7" ht="13.5" customHeight="1">
      <c r="A38" s="885" t="s">
        <v>799</v>
      </c>
      <c r="B38" s="219" t="s">
        <v>2221</v>
      </c>
      <c r="C38" s="224">
        <f ca="1">ROUND(C34*F38,0)</f>
        <v>11147696</v>
      </c>
      <c r="D38" s="224"/>
      <c r="E38" s="224"/>
      <c r="F38" s="263">
        <f>'数据-取费表'!B36</f>
        <v>1.4999999999999999E-2</v>
      </c>
      <c r="G38" s="223" t="s">
        <v>2216</v>
      </c>
    </row>
    <row r="39" spans="1:7" s="218" customFormat="1" ht="13.5" customHeight="1">
      <c r="A39" s="259" t="s">
        <v>2222</v>
      </c>
      <c r="B39" s="214" t="s">
        <v>2223</v>
      </c>
      <c r="C39" s="236">
        <f ca="1">ROUND(C33*F20,0)</f>
        <v>16792722</v>
      </c>
      <c r="D39" s="236"/>
      <c r="E39" s="236"/>
      <c r="F39" s="2533">
        <f>F20</f>
        <v>0.02</v>
      </c>
      <c r="G39" s="238" t="s">
        <v>2224</v>
      </c>
    </row>
    <row r="40" spans="1:7" s="218" customFormat="1" ht="13.5" customHeight="1">
      <c r="A40" s="259" t="s">
        <v>2225</v>
      </c>
      <c r="B40" s="214" t="s">
        <v>2226</v>
      </c>
      <c r="C40" s="1494">
        <f>F21</f>
        <v>0.02</v>
      </c>
      <c r="D40" s="240" t="s">
        <v>2227</v>
      </c>
      <c r="E40" s="236"/>
      <c r="F40" s="2533">
        <f>F21</f>
        <v>0.02</v>
      </c>
      <c r="G40" s="238" t="s">
        <v>2228</v>
      </c>
    </row>
    <row r="41" spans="1:7" s="218" customFormat="1" ht="13.5" customHeight="1">
      <c r="A41" s="259" t="s">
        <v>2229</v>
      </c>
      <c r="B41" s="214" t="s">
        <v>2230</v>
      </c>
      <c r="C41" s="236">
        <f ca="1">ROUND(SUM(C42:C43),0)</f>
        <v>61739536</v>
      </c>
      <c r="D41" s="239">
        <f ca="1">C44</f>
        <v>1.4E-3</v>
      </c>
      <c r="E41" s="240" t="s">
        <v>2227</v>
      </c>
      <c r="F41" s="2534">
        <f ca="1">F22</f>
        <v>4.7500000000000001E-2</v>
      </c>
      <c r="G41" s="238" t="str">
        <f>IF('数据-取费表'!B22&lt;=1,"单利计息","复利计息")</f>
        <v>复利计息</v>
      </c>
    </row>
    <row r="42" spans="1:7" ht="13.5" customHeight="1">
      <c r="A42" s="885" t="s">
        <v>791</v>
      </c>
      <c r="B42" s="219" t="s">
        <v>2231</v>
      </c>
      <c r="C42" s="242">
        <f ca="1">ROUND(IF('数据-取费表'!B22&lt;=1,C33*F22*'数据-取费表'!B20/2,C33*(POWER((1+F22),'数据-取费表'!B20/2)-1)),0)</f>
        <v>60528957</v>
      </c>
      <c r="D42" s="242"/>
      <c r="E42" s="242"/>
      <c r="F42" s="243"/>
      <c r="G42" s="3275" t="s">
        <v>2279</v>
      </c>
    </row>
    <row r="43" spans="1:7" ht="13.5" customHeight="1">
      <c r="A43" s="885" t="s">
        <v>792</v>
      </c>
      <c r="B43" s="219" t="s">
        <v>2233</v>
      </c>
      <c r="C43" s="242">
        <f ca="1">ROUND(IF('数据-取费表'!B22&lt;=1,C39*F22*'数据-取费表'!B20/2,C39*(POWER((1+F22),'数据-取费表'!B20/2)-1)),0)</f>
        <v>1210579</v>
      </c>
      <c r="D43" s="242"/>
      <c r="E43" s="242"/>
      <c r="F43" s="243"/>
      <c r="G43" s="3276"/>
    </row>
    <row r="44" spans="1:7" ht="13.5" customHeight="1">
      <c r="A44" s="885" t="s">
        <v>793</v>
      </c>
      <c r="B44" s="219" t="s">
        <v>2234</v>
      </c>
      <c r="C44" s="242">
        <f ca="1">ROUND(IF('数据-取费表'!B22&lt;=1,C40*F22*'数据-取费表'!B20/2,C40*(POWER((1+F22),'数据-取费表'!B20/2)-1)),4)</f>
        <v>1.4E-3</v>
      </c>
      <c r="D44" s="242"/>
      <c r="E44" s="242"/>
      <c r="F44" s="243"/>
      <c r="G44" s="3277"/>
    </row>
    <row r="45" spans="1:7" s="218" customFormat="1" ht="13.5" customHeight="1">
      <c r="A45" s="259" t="s">
        <v>2235</v>
      </c>
      <c r="B45" s="248" t="s">
        <v>2201</v>
      </c>
      <c r="C45" s="249">
        <f ca="1">C46</f>
        <v>145592901</v>
      </c>
      <c r="D45" s="239">
        <f ca="1">C47</f>
        <v>3.3999999999999998E-3</v>
      </c>
      <c r="E45" s="240" t="s">
        <v>2227</v>
      </c>
      <c r="F45" s="2535">
        <f ca="1">F27</f>
        <v>0.17</v>
      </c>
      <c r="G45" s="251" t="s">
        <v>2236</v>
      </c>
    </row>
    <row r="46" spans="1:7" s="218" customFormat="1" ht="13.5" customHeight="1">
      <c r="A46" s="885" t="s">
        <v>791</v>
      </c>
      <c r="B46" s="252" t="s">
        <v>2237</v>
      </c>
      <c r="C46" s="253">
        <f ca="1">ROUND((C33+C39)*F27,0)</f>
        <v>145592901</v>
      </c>
      <c r="D46" s="267"/>
      <c r="E46" s="240"/>
      <c r="F46" s="250"/>
      <c r="G46" s="251"/>
    </row>
    <row r="47" spans="1:7" s="218" customFormat="1" ht="13.5" customHeight="1">
      <c r="A47" s="885" t="s">
        <v>792</v>
      </c>
      <c r="B47" s="252" t="s">
        <v>2238</v>
      </c>
      <c r="C47" s="242">
        <f ca="1">ROUND(C40*F27,4)</f>
        <v>3.3999999999999998E-3</v>
      </c>
      <c r="D47" s="267"/>
      <c r="E47" s="240"/>
      <c r="F47" s="250"/>
      <c r="G47" s="251"/>
    </row>
    <row r="48" spans="1:7" s="218" customFormat="1" ht="13.5" customHeight="1">
      <c r="A48" s="259" t="s">
        <v>2200</v>
      </c>
      <c r="B48" s="214" t="s">
        <v>2239</v>
      </c>
      <c r="C48" s="266">
        <f>ROUND(F30/(1+'数据-取费表'!C42),4)</f>
        <v>5.33E-2</v>
      </c>
      <c r="D48" s="240" t="s">
        <v>2227</v>
      </c>
      <c r="E48" s="236"/>
      <c r="F48" s="2534">
        <f>F30</f>
        <v>5.6000000000000001E-2</v>
      </c>
      <c r="G48" s="238" t="s">
        <v>2240</v>
      </c>
    </row>
    <row r="49" spans="1:7" ht="16.5" customHeight="1">
      <c r="A49" s="259" t="s">
        <v>2206</v>
      </c>
      <c r="B49" s="214" t="s">
        <v>2280</v>
      </c>
      <c r="C49" s="236">
        <f ca="1">ROUND((C33+C39+C41+C45)/(1-C40-D41-D45-C48),0)</f>
        <v>1153879237</v>
      </c>
      <c r="D49" s="236"/>
      <c r="E49" s="236"/>
      <c r="F49" s="268"/>
      <c r="G49" s="238" t="s">
        <v>2242</v>
      </c>
    </row>
    <row r="50" spans="1:7" s="262" customFormat="1">
      <c r="A50" s="259" t="s">
        <v>2243</v>
      </c>
      <c r="B50" s="214" t="s">
        <v>2244</v>
      </c>
      <c r="C50" s="236"/>
      <c r="D50" s="236"/>
      <c r="E50" s="236"/>
      <c r="F50" s="268">
        <f>IF('数据-取费表'!B24=0,'数据-取费表'!N16,1)</f>
        <v>1</v>
      </c>
      <c r="G50" s="251"/>
    </row>
    <row r="51" spans="1:7" ht="16.5" customHeight="1">
      <c r="A51" s="259" t="s">
        <v>2246</v>
      </c>
      <c r="B51" s="214" t="s">
        <v>2281</v>
      </c>
      <c r="C51" s="236">
        <f ca="1">ROUND(C49*F50,0)</f>
        <v>1153879237</v>
      </c>
      <c r="D51" s="236"/>
      <c r="E51" s="236"/>
      <c r="F51" s="268"/>
      <c r="G51" s="238" t="s">
        <v>2248</v>
      </c>
    </row>
    <row r="52" spans="1:7" s="212" customFormat="1" ht="16.5" thickBot="1">
      <c r="A52" s="269" t="s">
        <v>2249</v>
      </c>
      <c r="B52" s="270"/>
      <c r="C52" s="271">
        <f ca="1">C31+C51</f>
        <v>1247488272</v>
      </c>
      <c r="D52" s="270"/>
      <c r="E52" s="270"/>
      <c r="F52" s="270"/>
      <c r="G52" s="272"/>
    </row>
    <row r="55" spans="1:7" ht="15">
      <c r="B55" s="274" t="s">
        <v>2250</v>
      </c>
      <c r="C55" s="275"/>
    </row>
    <row r="56" spans="1:7">
      <c r="B56" s="277" t="s">
        <v>1478</v>
      </c>
      <c r="C56" s="279">
        <f ca="1">1-C57</f>
        <v>7.4999999999999956E-2</v>
      </c>
    </row>
    <row r="57" spans="1:7">
      <c r="B57" s="277" t="s">
        <v>1479</v>
      </c>
      <c r="C57" s="278">
        <f ca="1">ROUND(C51/C52,3)</f>
        <v>0.92500000000000004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60" zoomScaleSheetLayoutView="90" workbookViewId="0">
      <selection activeCell="M17" sqref="M17"/>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2564</v>
      </c>
      <c r="B1" s="353"/>
      <c r="C1" s="354" t="s">
        <v>2565</v>
      </c>
      <c r="D1" s="692"/>
      <c r="E1" s="692"/>
      <c r="F1" s="691" t="s">
        <v>2463</v>
      </c>
      <c r="G1" s="692"/>
      <c r="H1" s="692"/>
      <c r="I1" s="692"/>
      <c r="J1" s="692"/>
      <c r="K1" s="693"/>
      <c r="L1" s="694"/>
      <c r="M1" s="695"/>
      <c r="N1" s="695"/>
      <c r="O1" s="695"/>
      <c r="P1" s="705"/>
      <c r="Q1" s="705"/>
      <c r="R1" s="705"/>
      <c r="S1" s="705"/>
      <c r="T1" s="705"/>
      <c r="U1" s="705"/>
      <c r="V1" s="705"/>
      <c r="W1" s="705"/>
      <c r="X1" s="705"/>
      <c r="Y1" s="705"/>
      <c r="Z1" s="705"/>
      <c r="AA1" s="705"/>
      <c r="AB1" s="705"/>
      <c r="AC1" s="706"/>
      <c r="AD1" s="355"/>
    </row>
    <row r="2" spans="1:30" s="356" customFormat="1" ht="28.5" customHeight="1">
      <c r="A2" s="205" t="s">
        <v>2150</v>
      </c>
      <c r="B2" s="625" t="e">
        <f>F66</f>
        <v>#DIV/0!</v>
      </c>
      <c r="C2" s="1035"/>
      <c r="D2" s="1035"/>
      <c r="E2" s="1036"/>
      <c r="F2" s="1037"/>
      <c r="G2" s="1036"/>
      <c r="H2" s="1036"/>
      <c r="I2" s="1036"/>
      <c r="J2" s="1036"/>
      <c r="K2" s="1038"/>
      <c r="L2" s="2961"/>
      <c r="M2" s="2962"/>
      <c r="N2" s="2962"/>
      <c r="O2" s="2962"/>
      <c r="P2" s="705"/>
      <c r="Q2" s="705"/>
      <c r="R2" s="705"/>
      <c r="S2" s="705"/>
      <c r="T2" s="705"/>
      <c r="U2" s="705"/>
      <c r="V2" s="705"/>
      <c r="W2" s="705"/>
      <c r="X2" s="705"/>
      <c r="Y2" s="705"/>
      <c r="Z2" s="705"/>
      <c r="AA2" s="705"/>
      <c r="AB2" s="705"/>
      <c r="AC2" s="706"/>
      <c r="AD2" s="355"/>
    </row>
    <row r="3" spans="1:30" s="356" customFormat="1" ht="28.5" customHeight="1" thickBot="1">
      <c r="A3" s="207" t="s">
        <v>2152</v>
      </c>
      <c r="B3" s="564" t="e">
        <f>ROUND(IF(D3="",B2*10000/'数据-汇总表'!E3,B2*10000/D3),0)</f>
        <v>#DIV/0!</v>
      </c>
      <c r="C3" s="207" t="s">
        <v>2566</v>
      </c>
      <c r="D3" s="1352"/>
      <c r="E3" s="1036"/>
      <c r="F3" s="1037"/>
      <c r="G3" s="1036"/>
      <c r="H3" s="1036"/>
      <c r="I3" s="1036"/>
      <c r="J3" s="1036"/>
      <c r="K3" s="1038"/>
      <c r="L3" s="2961"/>
      <c r="M3" s="2962"/>
      <c r="N3" s="2962"/>
      <c r="O3" s="2962"/>
      <c r="P3" s="705"/>
      <c r="Q3" s="705"/>
      <c r="R3" s="705"/>
      <c r="S3" s="705"/>
      <c r="T3" s="705"/>
      <c r="U3" s="705"/>
      <c r="V3" s="705"/>
      <c r="W3" s="705"/>
      <c r="X3" s="705"/>
      <c r="Y3" s="705"/>
      <c r="Z3" s="705"/>
      <c r="AA3" s="705"/>
      <c r="AB3" s="722"/>
      <c r="AC3" s="719"/>
    </row>
    <row r="4" spans="1:30" ht="15">
      <c r="A4" s="359" t="s">
        <v>2465</v>
      </c>
      <c r="B4" s="360"/>
      <c r="C4" s="3296" t="s">
        <v>2466</v>
      </c>
      <c r="D4" s="3297"/>
      <c r="E4" s="3298" t="s">
        <v>2467</v>
      </c>
      <c r="F4" s="3299"/>
      <c r="G4" s="3296" t="s">
        <v>2468</v>
      </c>
      <c r="H4" s="3297"/>
      <c r="I4" s="3296" t="s">
        <v>2469</v>
      </c>
      <c r="J4" s="3297"/>
      <c r="K4" s="565" t="s">
        <v>2470</v>
      </c>
      <c r="L4" s="2942"/>
      <c r="M4" s="2943"/>
      <c r="N4" s="2943"/>
      <c r="O4" s="2943"/>
      <c r="P4" s="3300" t="s">
        <v>2471</v>
      </c>
      <c r="Q4" s="3301"/>
      <c r="R4" s="3283" t="s">
        <v>2467</v>
      </c>
      <c r="S4" s="3284"/>
      <c r="T4" s="3283" t="s">
        <v>2468</v>
      </c>
      <c r="U4" s="3284"/>
      <c r="V4" s="3308" t="s">
        <v>2469</v>
      </c>
      <c r="W4" s="3308"/>
      <c r="X4" s="1538"/>
      <c r="Y4" s="3283" t="s">
        <v>2471</v>
      </c>
      <c r="Z4" s="3284"/>
      <c r="AA4" s="3278" t="s">
        <v>2467</v>
      </c>
      <c r="AB4" s="3279" t="s">
        <v>2468</v>
      </c>
      <c r="AC4" s="3278" t="s">
        <v>2469</v>
      </c>
    </row>
    <row r="5" spans="1:30" ht="15">
      <c r="A5" s="362"/>
      <c r="B5" s="363"/>
      <c r="C5" s="3289" t="s">
        <v>2362</v>
      </c>
      <c r="D5" s="3290"/>
      <c r="E5" s="3287" t="s">
        <v>2363</v>
      </c>
      <c r="F5" s="3288"/>
      <c r="G5" s="3289" t="s">
        <v>2364</v>
      </c>
      <c r="H5" s="3290"/>
      <c r="I5" s="3289" t="s">
        <v>2365</v>
      </c>
      <c r="J5" s="3290"/>
      <c r="K5" s="565"/>
      <c r="L5" s="2942"/>
      <c r="M5" s="2943"/>
      <c r="N5" s="2943"/>
      <c r="O5" s="2943"/>
      <c r="P5" s="3302"/>
      <c r="Q5" s="3303"/>
      <c r="R5" s="3285"/>
      <c r="S5" s="3286"/>
      <c r="T5" s="3285"/>
      <c r="U5" s="3286"/>
      <c r="V5" s="3308"/>
      <c r="W5" s="3308"/>
      <c r="X5" s="1538"/>
      <c r="Y5" s="3285"/>
      <c r="Z5" s="3286"/>
      <c r="AA5" s="3279"/>
      <c r="AB5" s="3279"/>
      <c r="AC5" s="3279"/>
    </row>
    <row r="6" spans="1:30" ht="15.75" thickBot="1">
      <c r="A6" s="364"/>
      <c r="B6" s="365"/>
      <c r="C6" s="3291" t="s">
        <v>2366</v>
      </c>
      <c r="D6" s="3292"/>
      <c r="E6" s="3293" t="s">
        <v>2366</v>
      </c>
      <c r="F6" s="3294"/>
      <c r="G6" s="3291" t="s">
        <v>2366</v>
      </c>
      <c r="H6" s="3292"/>
      <c r="I6" s="3291" t="s">
        <v>2366</v>
      </c>
      <c r="J6" s="3292"/>
      <c r="K6" s="565" t="s">
        <v>2367</v>
      </c>
      <c r="L6" s="2942"/>
      <c r="M6" s="2943"/>
      <c r="N6" s="2943"/>
      <c r="O6" s="2943"/>
      <c r="P6" s="3304"/>
      <c r="Q6" s="3305"/>
      <c r="R6" s="3285"/>
      <c r="S6" s="3286"/>
      <c r="T6" s="3306"/>
      <c r="U6" s="3307"/>
      <c r="V6" s="3308"/>
      <c r="W6" s="3308"/>
      <c r="X6" s="1538"/>
      <c r="Y6" s="3306"/>
      <c r="Z6" s="3307"/>
      <c r="AA6" s="3280"/>
      <c r="AB6" s="3280"/>
      <c r="AC6" s="3280"/>
    </row>
    <row r="7" spans="1:30" s="113" customFormat="1" ht="15.75" thickBot="1">
      <c r="A7" s="366" t="s">
        <v>2368</v>
      </c>
      <c r="B7" s="367"/>
      <c r="C7" s="368">
        <f>'数据-取费表'!B2</f>
        <v>44141</v>
      </c>
      <c r="D7" s="369">
        <v>100</v>
      </c>
      <c r="E7" s="370"/>
      <c r="F7" s="371">
        <f>SUMIF(70:70,YEAR(E7)&amp;"-"&amp;INT((MONTH(E7)+2)/3),71:71)</f>
        <v>0</v>
      </c>
      <c r="G7" s="2158"/>
      <c r="H7" s="369">
        <f>SUMIF(70:70,YEAR(G7)&amp;"-"&amp;INT((MONTH(G7)+2)/3),71:71)</f>
        <v>0</v>
      </c>
      <c r="I7" s="2158"/>
      <c r="J7" s="369">
        <f>SUMIF(70:70,YEAR(I7)&amp;"-"&amp;INT((MONTH(I7)+2)/3),71:71)</f>
        <v>0</v>
      </c>
      <c r="K7" s="566"/>
      <c r="L7" s="2944"/>
      <c r="M7" s="2945"/>
      <c r="N7" s="2945"/>
      <c r="O7" s="2945"/>
      <c r="P7" s="3281" t="s">
        <v>2369</v>
      </c>
      <c r="Q7" s="3309"/>
      <c r="R7" s="707" t="s">
        <v>17</v>
      </c>
      <c r="S7" s="708">
        <f t="shared" ref="S7:S15" si="0">F7</f>
        <v>0</v>
      </c>
      <c r="T7" s="707" t="s">
        <v>17</v>
      </c>
      <c r="U7" s="708">
        <f t="shared" ref="U7:U15" si="1">H7</f>
        <v>0</v>
      </c>
      <c r="V7" s="707" t="s">
        <v>17</v>
      </c>
      <c r="W7" s="708">
        <f t="shared" ref="W7:W15" si="2">J7</f>
        <v>0</v>
      </c>
      <c r="X7" s="709"/>
      <c r="Y7" s="3281" t="s">
        <v>2369</v>
      </c>
      <c r="Z7" s="3282"/>
      <c r="AA7" s="710" t="e">
        <f>D7/F7</f>
        <v>#DIV/0!</v>
      </c>
      <c r="AB7" s="710" t="e">
        <f>D7/H7</f>
        <v>#DIV/0!</v>
      </c>
      <c r="AC7" s="710" t="e">
        <f>D7/J7</f>
        <v>#DIV/0!</v>
      </c>
    </row>
    <row r="8" spans="1:30" s="113" customFormat="1" ht="15.75" thickBot="1">
      <c r="A8" s="366" t="s">
        <v>2370</v>
      </c>
      <c r="B8" s="367"/>
      <c r="C8" s="372" t="s">
        <v>2371</v>
      </c>
      <c r="D8" s="369">
        <v>100</v>
      </c>
      <c r="E8" s="372"/>
      <c r="F8" s="371">
        <f>SUMIF(73:73,E8,74:74)-SUMIF(73:73,C8,74:74)+100</f>
        <v>0</v>
      </c>
      <c r="G8" s="372"/>
      <c r="H8" s="369">
        <f>SUMIF(73:73,G8,74:74)-SUMIF(73:73,C8,74:74)+100</f>
        <v>0</v>
      </c>
      <c r="I8" s="372"/>
      <c r="J8" s="369">
        <f>SUMIF(73:73,I8,74:74)-SUMIF(73:73,C8,74:74)+100</f>
        <v>0</v>
      </c>
      <c r="K8" s="566"/>
      <c r="L8" s="2944"/>
      <c r="M8" s="2945"/>
      <c r="N8" s="2945"/>
      <c r="O8" s="2945"/>
      <c r="P8" s="3281" t="s">
        <v>2372</v>
      </c>
      <c r="Q8" s="3282"/>
      <c r="R8" s="707" t="s">
        <v>17</v>
      </c>
      <c r="S8" s="708">
        <f t="shared" si="0"/>
        <v>0</v>
      </c>
      <c r="T8" s="707" t="s">
        <v>17</v>
      </c>
      <c r="U8" s="708">
        <f t="shared" si="1"/>
        <v>0</v>
      </c>
      <c r="V8" s="707" t="s">
        <v>17</v>
      </c>
      <c r="W8" s="708">
        <f t="shared" si="2"/>
        <v>0</v>
      </c>
      <c r="X8" s="709"/>
      <c r="Y8" s="3281" t="s">
        <v>2372</v>
      </c>
      <c r="Z8" s="3282"/>
      <c r="AA8" s="710" t="e">
        <f t="shared" ref="AA8:AA45" si="3">D8/F8</f>
        <v>#DIV/0!</v>
      </c>
      <c r="AB8" s="710" t="e">
        <f t="shared" ref="AB8:AB45" si="4">D8/H8</f>
        <v>#DIV/0!</v>
      </c>
      <c r="AC8" s="710" t="e">
        <f t="shared" ref="AC8:AC45" si="5">D8/J8</f>
        <v>#DIV/0!</v>
      </c>
    </row>
    <row r="9" spans="1:30" s="113" customFormat="1">
      <c r="A9" s="373" t="s">
        <v>2373</v>
      </c>
      <c r="B9" s="67" t="s">
        <v>2374</v>
      </c>
      <c r="C9" s="2161"/>
      <c r="D9" s="129">
        <v>100</v>
      </c>
      <c r="E9" s="2161"/>
      <c r="F9" s="129">
        <f>SUMIF(75:75,E9,76:76)-SUMIF(75:75,C9,76:76)+100</f>
        <v>100</v>
      </c>
      <c r="G9" s="2161"/>
      <c r="H9" s="129">
        <f>SUMIF(75:75,G9,76:76)-SUMIF(75:75,C9,76:76)+100</f>
        <v>100</v>
      </c>
      <c r="I9" s="2161"/>
      <c r="J9" s="129">
        <f>SUMIF(75:75,I9,76:76)-SUMIF(75:75,C9,76:76)+100</f>
        <v>100</v>
      </c>
      <c r="K9" s="566"/>
      <c r="L9" s="2944"/>
      <c r="M9" s="2945"/>
      <c r="N9" s="2945"/>
      <c r="O9" s="2999"/>
      <c r="P9" s="3295" t="s">
        <v>2375</v>
      </c>
      <c r="Q9" s="1526" t="str">
        <f t="shared" ref="Q9:Q15" si="6">B9</f>
        <v>用途</v>
      </c>
      <c r="R9" s="707" t="s">
        <v>17</v>
      </c>
      <c r="S9" s="708">
        <f t="shared" si="0"/>
        <v>100</v>
      </c>
      <c r="T9" s="707" t="s">
        <v>17</v>
      </c>
      <c r="U9" s="708">
        <f t="shared" si="1"/>
        <v>100</v>
      </c>
      <c r="V9" s="707" t="s">
        <v>17</v>
      </c>
      <c r="W9" s="708">
        <f t="shared" si="2"/>
        <v>100</v>
      </c>
      <c r="X9" s="709"/>
      <c r="Y9" s="3251" t="s">
        <v>2376</v>
      </c>
      <c r="Z9" s="55" t="str">
        <f t="shared" ref="Z9:Z15" si="7">Q9</f>
        <v>用途</v>
      </c>
      <c r="AA9" s="710">
        <f t="shared" si="3"/>
        <v>1</v>
      </c>
      <c r="AB9" s="710">
        <f t="shared" si="4"/>
        <v>1</v>
      </c>
      <c r="AC9" s="710">
        <f t="shared" si="5"/>
        <v>1</v>
      </c>
    </row>
    <row r="10" spans="1:30" s="384" customFormat="1" ht="27">
      <c r="A10" s="378"/>
      <c r="B10" s="379" t="s">
        <v>2377</v>
      </c>
      <c r="C10" s="389"/>
      <c r="D10" s="130">
        <v>100</v>
      </c>
      <c r="E10" s="422"/>
      <c r="F10" s="130">
        <f>ROUND(100/'数据-取费表'!G16,0)</f>
        <v>116</v>
      </c>
      <c r="G10" s="420"/>
      <c r="H10" s="130">
        <f>ROUND(100/'数据-取费表'!G16,0)</f>
        <v>116</v>
      </c>
      <c r="I10" s="420"/>
      <c r="J10" s="130">
        <f>ROUND(100/'数据-取费表'!G16,0)</f>
        <v>116</v>
      </c>
      <c r="K10" s="626"/>
      <c r="L10" s="2946"/>
      <c r="M10" s="2947"/>
      <c r="N10" s="2947"/>
      <c r="O10" s="3000"/>
      <c r="P10" s="3295"/>
      <c r="Q10" s="1526" t="str">
        <f t="shared" si="6"/>
        <v>土地使用年限（年）</v>
      </c>
      <c r="R10" s="707" t="s">
        <v>17</v>
      </c>
      <c r="S10" s="708">
        <f t="shared" si="0"/>
        <v>116</v>
      </c>
      <c r="T10" s="707" t="s">
        <v>17</v>
      </c>
      <c r="U10" s="708">
        <f t="shared" si="1"/>
        <v>116</v>
      </c>
      <c r="V10" s="707" t="s">
        <v>17</v>
      </c>
      <c r="W10" s="708">
        <f t="shared" si="2"/>
        <v>116</v>
      </c>
      <c r="X10" s="709"/>
      <c r="Y10" s="3251"/>
      <c r="Z10" s="55" t="str">
        <f t="shared" si="7"/>
        <v>土地使用年限（年）</v>
      </c>
      <c r="AA10" s="710">
        <f t="shared" si="3"/>
        <v>0.86206896551724133</v>
      </c>
      <c r="AB10" s="710">
        <f t="shared" si="4"/>
        <v>0.86206896551724133</v>
      </c>
      <c r="AC10" s="710">
        <f t="shared" si="5"/>
        <v>0.86206896551724133</v>
      </c>
    </row>
    <row r="11" spans="1:30" ht="15">
      <c r="A11" s="385"/>
      <c r="B11" s="379" t="s">
        <v>2378</v>
      </c>
      <c r="C11" s="386"/>
      <c r="D11" s="130">
        <v>100</v>
      </c>
      <c r="E11" s="386"/>
      <c r="F11" s="130" t="e">
        <f>LOOKUP(E11,80:80,81:81)-LOOKUP(C11,80:80,81:81)+100</f>
        <v>#N/A</v>
      </c>
      <c r="G11" s="387"/>
      <c r="H11" s="130" t="e">
        <f>LOOKUP(G11,80:80,81:81)-LOOKUP(C11,80:80,81:81)+100</f>
        <v>#N/A</v>
      </c>
      <c r="I11" s="386"/>
      <c r="J11" s="130" t="e">
        <f>LOOKUP(I11,80:80,81:81)-LOOKUP(C11,80:80,81:81)+100</f>
        <v>#N/A</v>
      </c>
      <c r="K11" s="627"/>
      <c r="L11" s="2948"/>
      <c r="M11" s="2943"/>
      <c r="N11" s="2943"/>
      <c r="O11" s="3001"/>
      <c r="P11" s="3295"/>
      <c r="Q11" s="1526" t="str">
        <f t="shared" si="6"/>
        <v>容积率</v>
      </c>
      <c r="R11" s="707" t="s">
        <v>17</v>
      </c>
      <c r="S11" s="708" t="e">
        <f t="shared" si="0"/>
        <v>#N/A</v>
      </c>
      <c r="T11" s="707" t="s">
        <v>17</v>
      </c>
      <c r="U11" s="708" t="e">
        <f t="shared" si="1"/>
        <v>#N/A</v>
      </c>
      <c r="V11" s="707" t="s">
        <v>17</v>
      </c>
      <c r="W11" s="708" t="e">
        <f t="shared" si="2"/>
        <v>#N/A</v>
      </c>
      <c r="X11" s="709"/>
      <c r="Y11" s="3251"/>
      <c r="Z11" s="55" t="str">
        <f t="shared" si="7"/>
        <v>容积率</v>
      </c>
      <c r="AA11" s="710" t="e">
        <f t="shared" si="3"/>
        <v>#N/A</v>
      </c>
      <c r="AB11" s="710" t="e">
        <f t="shared" si="4"/>
        <v>#N/A</v>
      </c>
      <c r="AC11" s="710" t="e">
        <f t="shared" si="5"/>
        <v>#N/A</v>
      </c>
    </row>
    <row r="12" spans="1:30" s="113" customFormat="1" ht="15">
      <c r="A12" s="388"/>
      <c r="B12" s="2077" t="s">
        <v>2567</v>
      </c>
      <c r="C12" s="389"/>
      <c r="D12" s="390">
        <v>100</v>
      </c>
      <c r="E12" s="422"/>
      <c r="F12" s="130">
        <f>SUMIF(82:82,E12,83:83)-SUMIF(82:82,C12,83:83)+100</f>
        <v>100</v>
      </c>
      <c r="G12" s="420"/>
      <c r="H12" s="130">
        <f>SUMIF(82:82,G12,83:83)-SUMIF(82:82,C12,83:83)+100</f>
        <v>100</v>
      </c>
      <c r="I12" s="422"/>
      <c r="J12" s="130">
        <f>SUMIF(82:82,I12,83:83)-SUMIF(82:82,C12,83:83)+100</f>
        <v>100</v>
      </c>
      <c r="K12" s="626"/>
      <c r="L12" s="2944"/>
      <c r="M12" s="2945"/>
      <c r="N12" s="2945"/>
      <c r="O12" s="2999"/>
      <c r="P12" s="3295"/>
      <c r="Q12" s="1526" t="str">
        <f t="shared" si="6"/>
        <v>配建</v>
      </c>
      <c r="R12" s="707" t="s">
        <v>17</v>
      </c>
      <c r="S12" s="708">
        <f t="shared" si="0"/>
        <v>100</v>
      </c>
      <c r="T12" s="707" t="s">
        <v>17</v>
      </c>
      <c r="U12" s="708">
        <f t="shared" si="1"/>
        <v>100</v>
      </c>
      <c r="V12" s="707" t="s">
        <v>17</v>
      </c>
      <c r="W12" s="708">
        <f t="shared" si="2"/>
        <v>100</v>
      </c>
      <c r="X12" s="709"/>
      <c r="Y12" s="3251"/>
      <c r="Z12" s="55" t="str">
        <f t="shared" si="7"/>
        <v>配建</v>
      </c>
      <c r="AA12" s="710">
        <f>D12/F12</f>
        <v>1</v>
      </c>
      <c r="AB12" s="710">
        <f>D12/H12</f>
        <v>1</v>
      </c>
      <c r="AC12" s="710">
        <f>D12/J12</f>
        <v>1</v>
      </c>
    </row>
    <row r="13" spans="1:30" ht="15">
      <c r="A13" s="385"/>
      <c r="B13" s="2077">
        <v>111</v>
      </c>
      <c r="C13" s="391"/>
      <c r="D13" s="392">
        <v>100</v>
      </c>
      <c r="E13" s="504"/>
      <c r="F13" s="130">
        <f>SUMIF(84:84,E13,85:85)-SUMIF(84:84,C13,85:85)+100</f>
        <v>100</v>
      </c>
      <c r="G13" s="628"/>
      <c r="H13" s="392">
        <f>SUMIF(84:84,G13,85:85)-SUMIF(84:84,C13,85:85)+100</f>
        <v>100</v>
      </c>
      <c r="I13" s="628"/>
      <c r="J13" s="392">
        <f>SUMIF(84:84,I13,85:85)-SUMIF(84:84,C13,85:85)+100</f>
        <v>100</v>
      </c>
      <c r="K13" s="626"/>
      <c r="L13" s="2949"/>
      <c r="M13" s="2943"/>
      <c r="N13" s="2943"/>
      <c r="O13" s="3001"/>
      <c r="P13" s="3295"/>
      <c r="Q13" s="1526">
        <f t="shared" si="6"/>
        <v>111</v>
      </c>
      <c r="R13" s="707" t="s">
        <v>17</v>
      </c>
      <c r="S13" s="708">
        <f t="shared" si="0"/>
        <v>100</v>
      </c>
      <c r="T13" s="707" t="s">
        <v>17</v>
      </c>
      <c r="U13" s="708">
        <f t="shared" si="1"/>
        <v>100</v>
      </c>
      <c r="V13" s="707" t="s">
        <v>17</v>
      </c>
      <c r="W13" s="708">
        <f t="shared" si="2"/>
        <v>100</v>
      </c>
      <c r="X13" s="709"/>
      <c r="Y13" s="3251"/>
      <c r="Z13" s="55">
        <f t="shared" si="7"/>
        <v>111</v>
      </c>
      <c r="AA13" s="710">
        <f>D13/F13</f>
        <v>1</v>
      </c>
      <c r="AB13" s="710">
        <f>D13/H13</f>
        <v>1</v>
      </c>
      <c r="AC13" s="710">
        <f>D13/J13</f>
        <v>1</v>
      </c>
    </row>
    <row r="14" spans="1:30" ht="15.75" thickBot="1">
      <c r="A14" s="393"/>
      <c r="B14" s="2079">
        <v>111</v>
      </c>
      <c r="C14" s="394"/>
      <c r="D14" s="395">
        <v>100</v>
      </c>
      <c r="E14" s="504"/>
      <c r="F14" s="395">
        <f>SUMIF(86:86,E14,87:87)-SUMIF(86:86,C14,87:87)+100</f>
        <v>100</v>
      </c>
      <c r="G14" s="628"/>
      <c r="H14" s="395">
        <f>SUMIF(86:86,G14,87:87)-SUMIF(86:86,C14,87:87)+100</f>
        <v>100</v>
      </c>
      <c r="I14" s="628"/>
      <c r="J14" s="395">
        <f>SUMIF(86:86,I14,87:87)-SUMIF(86:86,C14,87:87)+100</f>
        <v>100</v>
      </c>
      <c r="K14" s="626"/>
      <c r="L14" s="2949"/>
      <c r="M14" s="2943"/>
      <c r="N14" s="2943"/>
      <c r="O14" s="3001"/>
      <c r="P14" s="3295"/>
      <c r="Q14" s="1526">
        <f t="shared" si="6"/>
        <v>111</v>
      </c>
      <c r="R14" s="707" t="s">
        <v>17</v>
      </c>
      <c r="S14" s="708">
        <f t="shared" si="0"/>
        <v>100</v>
      </c>
      <c r="T14" s="707" t="s">
        <v>17</v>
      </c>
      <c r="U14" s="708">
        <f t="shared" si="1"/>
        <v>100</v>
      </c>
      <c r="V14" s="707" t="s">
        <v>17</v>
      </c>
      <c r="W14" s="708">
        <f t="shared" si="2"/>
        <v>100</v>
      </c>
      <c r="X14" s="709"/>
      <c r="Y14" s="3251"/>
      <c r="Z14" s="55">
        <f t="shared" si="7"/>
        <v>111</v>
      </c>
      <c r="AA14" s="710">
        <f>D14/F14</f>
        <v>1</v>
      </c>
      <c r="AB14" s="710">
        <f>D14/H14</f>
        <v>1</v>
      </c>
      <c r="AC14" s="710">
        <f>D14/J14</f>
        <v>1</v>
      </c>
    </row>
    <row r="15" spans="1:30" ht="99.75">
      <c r="A15" s="397" t="s">
        <v>2379</v>
      </c>
      <c r="B15" s="65" t="s">
        <v>1945</v>
      </c>
      <c r="C15" s="2080"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49"/>
      <c r="M15" s="2943"/>
      <c r="N15" s="2943"/>
      <c r="O15" s="3001"/>
      <c r="P15" s="3310" t="s">
        <v>2380</v>
      </c>
      <c r="Q15" s="1535" t="str">
        <f t="shared" si="6"/>
        <v>居住社区成熟度</v>
      </c>
      <c r="R15" s="711" t="s">
        <v>17</v>
      </c>
      <c r="S15" s="712">
        <f t="shared" si="0"/>
        <v>100</v>
      </c>
      <c r="T15" s="711" t="s">
        <v>17</v>
      </c>
      <c r="U15" s="712">
        <f t="shared" si="1"/>
        <v>100</v>
      </c>
      <c r="V15" s="711" t="s">
        <v>17</v>
      </c>
      <c r="W15" s="712">
        <f t="shared" si="2"/>
        <v>100</v>
      </c>
      <c r="X15" s="1538"/>
      <c r="Y15" s="3310" t="s">
        <v>2380</v>
      </c>
      <c r="Z15" s="1539" t="str">
        <f t="shared" si="7"/>
        <v>居住社区成熟度</v>
      </c>
      <c r="AA15" s="1536">
        <f t="shared" si="3"/>
        <v>1</v>
      </c>
      <c r="AB15" s="1536">
        <f t="shared" si="4"/>
        <v>1</v>
      </c>
      <c r="AC15" s="1536">
        <f t="shared" si="5"/>
        <v>1</v>
      </c>
    </row>
    <row r="16" spans="1:30" ht="15">
      <c r="A16" s="385"/>
      <c r="B16" s="403"/>
      <c r="C16" s="404"/>
      <c r="D16" s="405"/>
      <c r="E16" s="2082"/>
      <c r="F16" s="405"/>
      <c r="G16" s="2082"/>
      <c r="H16" s="407"/>
      <c r="I16" s="2081"/>
      <c r="J16" s="405"/>
      <c r="K16" s="626"/>
      <c r="L16" s="2949"/>
      <c r="M16" s="2943"/>
      <c r="N16" s="2943"/>
      <c r="O16" s="3001"/>
      <c r="P16" s="3311"/>
      <c r="Q16" s="1535"/>
      <c r="R16" s="711"/>
      <c r="S16" s="712"/>
      <c r="T16" s="711"/>
      <c r="U16" s="712"/>
      <c r="V16" s="711"/>
      <c r="W16" s="712"/>
      <c r="X16" s="1538"/>
      <c r="Y16" s="3311"/>
      <c r="Z16" s="1539"/>
      <c r="AA16" s="1536">
        <v>1</v>
      </c>
      <c r="AB16" s="1536">
        <v>1</v>
      </c>
      <c r="AC16" s="1536">
        <v>1</v>
      </c>
    </row>
    <row r="17" spans="1:29" ht="71.25">
      <c r="A17" s="385"/>
      <c r="B17" s="408" t="s">
        <v>2473</v>
      </c>
      <c r="C17" s="2139"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c r="L17" s="2949"/>
      <c r="M17" s="2943"/>
      <c r="N17" s="2943"/>
      <c r="O17" s="3001"/>
      <c r="P17" s="3311"/>
      <c r="Q17" s="1535" t="str">
        <f>B17</f>
        <v>商业繁华度</v>
      </c>
      <c r="R17" s="711" t="s">
        <v>17</v>
      </c>
      <c r="S17" s="712">
        <f>F17</f>
        <v>100</v>
      </c>
      <c r="T17" s="711" t="s">
        <v>17</v>
      </c>
      <c r="U17" s="712">
        <f>H17</f>
        <v>100</v>
      </c>
      <c r="V17" s="711" t="s">
        <v>17</v>
      </c>
      <c r="W17" s="712">
        <f>J17</f>
        <v>100</v>
      </c>
      <c r="X17" s="1538"/>
      <c r="Y17" s="3311"/>
      <c r="Z17" s="1539" t="str">
        <f>Q17</f>
        <v>商业繁华度</v>
      </c>
      <c r="AA17" s="1536">
        <f t="shared" si="3"/>
        <v>1</v>
      </c>
      <c r="AB17" s="1536">
        <f t="shared" si="4"/>
        <v>1</v>
      </c>
      <c r="AC17" s="1536">
        <f t="shared" si="5"/>
        <v>1</v>
      </c>
    </row>
    <row r="18" spans="1:29" ht="15">
      <c r="A18" s="385"/>
      <c r="B18" s="413"/>
      <c r="C18" s="2085"/>
      <c r="D18" s="407"/>
      <c r="E18" s="2087"/>
      <c r="F18" s="407"/>
      <c r="G18" s="2087"/>
      <c r="H18" s="405"/>
      <c r="I18" s="2086"/>
      <c r="J18" s="405"/>
      <c r="K18" s="626"/>
      <c r="L18" s="2949"/>
      <c r="M18" s="2943"/>
      <c r="N18" s="2943"/>
      <c r="O18" s="3001"/>
      <c r="P18" s="3311"/>
      <c r="Q18" s="1535"/>
      <c r="R18" s="711"/>
      <c r="S18" s="712"/>
      <c r="T18" s="711"/>
      <c r="U18" s="712"/>
      <c r="V18" s="711"/>
      <c r="W18" s="712"/>
      <c r="X18" s="1538"/>
      <c r="Y18" s="3311"/>
      <c r="Z18" s="1539"/>
      <c r="AA18" s="1536">
        <v>1</v>
      </c>
      <c r="AB18" s="1536">
        <v>1</v>
      </c>
      <c r="AC18" s="1536">
        <v>1</v>
      </c>
    </row>
    <row r="19" spans="1:29" ht="71.25">
      <c r="A19" s="385"/>
      <c r="B19" s="408" t="s">
        <v>2507</v>
      </c>
      <c r="C19" s="2139"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49"/>
      <c r="M19" s="2943"/>
      <c r="N19" s="2943"/>
      <c r="O19" s="3001"/>
      <c r="P19" s="3311"/>
      <c r="Q19" s="1535" t="str">
        <f>B19</f>
        <v>办公集聚程度</v>
      </c>
      <c r="R19" s="711" t="s">
        <v>17</v>
      </c>
      <c r="S19" s="712">
        <f>F19</f>
        <v>100</v>
      </c>
      <c r="T19" s="711" t="s">
        <v>17</v>
      </c>
      <c r="U19" s="712">
        <f>H19</f>
        <v>100</v>
      </c>
      <c r="V19" s="711" t="s">
        <v>17</v>
      </c>
      <c r="W19" s="712">
        <f>J19</f>
        <v>100</v>
      </c>
      <c r="X19" s="1538"/>
      <c r="Y19" s="3311"/>
      <c r="Z19" s="1539" t="str">
        <f>Q19</f>
        <v>办公集聚程度</v>
      </c>
      <c r="AA19" s="1536">
        <f t="shared" si="3"/>
        <v>1</v>
      </c>
      <c r="AB19" s="1536">
        <f t="shared" si="4"/>
        <v>1</v>
      </c>
      <c r="AC19" s="1536">
        <f t="shared" si="5"/>
        <v>1</v>
      </c>
    </row>
    <row r="20" spans="1:29" ht="15">
      <c r="A20" s="385"/>
      <c r="B20" s="413"/>
      <c r="C20" s="404"/>
      <c r="D20" s="405"/>
      <c r="E20" s="2082"/>
      <c r="F20" s="405"/>
      <c r="G20" s="2082"/>
      <c r="H20" s="405"/>
      <c r="I20" s="2081"/>
      <c r="J20" s="405"/>
      <c r="K20" s="626"/>
      <c r="L20" s="2949"/>
      <c r="M20" s="2943"/>
      <c r="N20" s="2943"/>
      <c r="O20" s="3001"/>
      <c r="P20" s="3311"/>
      <c r="Q20" s="1535"/>
      <c r="R20" s="711"/>
      <c r="S20" s="712"/>
      <c r="T20" s="711"/>
      <c r="U20" s="712"/>
      <c r="V20" s="711"/>
      <c r="W20" s="712"/>
      <c r="X20" s="1538"/>
      <c r="Y20" s="3311"/>
      <c r="Z20" s="1539"/>
      <c r="AA20" s="1536">
        <v>1</v>
      </c>
      <c r="AB20" s="1536">
        <v>1</v>
      </c>
      <c r="AC20" s="1536">
        <v>1</v>
      </c>
    </row>
    <row r="21" spans="1:29" ht="85.5">
      <c r="A21" s="385"/>
      <c r="B21" s="408" t="s">
        <v>2529</v>
      </c>
      <c r="C21" s="2084"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c r="L21" s="2949"/>
      <c r="M21" s="2943"/>
      <c r="N21" s="2943"/>
      <c r="O21" s="3001"/>
      <c r="P21" s="3311"/>
      <c r="Q21" s="1535" t="str">
        <f>B21</f>
        <v>交通便捷度</v>
      </c>
      <c r="R21" s="711" t="s">
        <v>17</v>
      </c>
      <c r="S21" s="712">
        <f>F21</f>
        <v>100</v>
      </c>
      <c r="T21" s="711" t="s">
        <v>17</v>
      </c>
      <c r="U21" s="712">
        <f>H21</f>
        <v>100</v>
      </c>
      <c r="V21" s="711" t="s">
        <v>17</v>
      </c>
      <c r="W21" s="712">
        <f>J21</f>
        <v>100</v>
      </c>
      <c r="X21" s="1538"/>
      <c r="Y21" s="3311"/>
      <c r="Z21" s="1539" t="str">
        <f>Q21</f>
        <v>交通便捷度</v>
      </c>
      <c r="AA21" s="1536">
        <f t="shared" si="3"/>
        <v>1</v>
      </c>
      <c r="AB21" s="1536">
        <f t="shared" si="4"/>
        <v>1</v>
      </c>
      <c r="AC21" s="1536">
        <f t="shared" si="5"/>
        <v>1</v>
      </c>
    </row>
    <row r="22" spans="1:29" ht="15">
      <c r="A22" s="385"/>
      <c r="B22" s="1290"/>
      <c r="C22" s="404"/>
      <c r="D22" s="407"/>
      <c r="E22" s="2082"/>
      <c r="F22" s="405"/>
      <c r="G22" s="2082"/>
      <c r="H22" s="405"/>
      <c r="I22" s="2081"/>
      <c r="J22" s="405"/>
      <c r="K22" s="626"/>
      <c r="L22" s="2949"/>
      <c r="M22" s="2943"/>
      <c r="N22" s="2943"/>
      <c r="O22" s="3001"/>
      <c r="P22" s="3311"/>
      <c r="Q22" s="1535"/>
      <c r="R22" s="711"/>
      <c r="S22" s="712"/>
      <c r="T22" s="711"/>
      <c r="U22" s="712"/>
      <c r="V22" s="711"/>
      <c r="W22" s="712"/>
      <c r="X22" s="1538"/>
      <c r="Y22" s="3311"/>
      <c r="Z22" s="1539"/>
      <c r="AA22" s="1536">
        <v>1</v>
      </c>
      <c r="AB22" s="1536">
        <v>1</v>
      </c>
      <c r="AC22" s="1536">
        <v>1</v>
      </c>
    </row>
    <row r="23" spans="1:29" ht="15">
      <c r="A23" s="362"/>
      <c r="B23" s="408" t="s">
        <v>2568</v>
      </c>
      <c r="C23" s="1295">
        <f>估价对象房地状况!C19</f>
        <v>0</v>
      </c>
      <c r="D23" s="412">
        <v>100</v>
      </c>
      <c r="E23" s="409"/>
      <c r="F23" s="412">
        <f>SUMIF(96:96,E24,97:97)-SUMIF(96:96,C24,97:97)+100</f>
        <v>100</v>
      </c>
      <c r="G23" s="411"/>
      <c r="H23" s="412">
        <f>SUMIF(96:96,G24,97:97)-SUMIF(96:96,C24,97:97)+100</f>
        <v>100</v>
      </c>
      <c r="I23" s="411"/>
      <c r="J23" s="412">
        <f>SUMIF(96:96,I24,97:97)-SUMIF(96:96,C24,97:97)+100</f>
        <v>100</v>
      </c>
      <c r="K23" s="627"/>
      <c r="L23" s="2949"/>
      <c r="M23" s="2943"/>
      <c r="N23" s="2943"/>
      <c r="O23" s="3001"/>
      <c r="P23" s="3311"/>
      <c r="Q23" s="1535" t="str">
        <f t="shared" ref="Q23:Q37" si="8">B23</f>
        <v>区域土地利用方向</v>
      </c>
      <c r="R23" s="711" t="s">
        <v>17</v>
      </c>
      <c r="S23" s="712">
        <f>F23</f>
        <v>100</v>
      </c>
      <c r="T23" s="711" t="s">
        <v>17</v>
      </c>
      <c r="U23" s="712">
        <f>H23</f>
        <v>100</v>
      </c>
      <c r="V23" s="711" t="s">
        <v>17</v>
      </c>
      <c r="W23" s="712">
        <f>J23</f>
        <v>100</v>
      </c>
      <c r="X23" s="1538"/>
      <c r="Y23" s="3311"/>
      <c r="Z23" s="1539" t="str">
        <f>Q23</f>
        <v>区域土地利用方向</v>
      </c>
      <c r="AA23" s="1536">
        <f t="shared" si="3"/>
        <v>1</v>
      </c>
      <c r="AB23" s="1536">
        <f t="shared" si="4"/>
        <v>1</v>
      </c>
      <c r="AC23" s="1536">
        <f t="shared" si="5"/>
        <v>1</v>
      </c>
    </row>
    <row r="24" spans="1:29" ht="15">
      <c r="A24" s="362"/>
      <c r="B24" s="413"/>
      <c r="C24" s="571"/>
      <c r="D24" s="405"/>
      <c r="E24" s="2082"/>
      <c r="F24" s="405"/>
      <c r="G24" s="2081"/>
      <c r="H24" s="405"/>
      <c r="I24" s="2081"/>
      <c r="J24" s="405"/>
      <c r="K24" s="748"/>
      <c r="L24" s="2949"/>
      <c r="M24" s="2943"/>
      <c r="N24" s="2943"/>
      <c r="O24" s="3001"/>
      <c r="P24" s="3311"/>
      <c r="Q24" s="1535"/>
      <c r="R24" s="711"/>
      <c r="S24" s="712"/>
      <c r="T24" s="711"/>
      <c r="U24" s="712"/>
      <c r="V24" s="711"/>
      <c r="W24" s="712"/>
      <c r="X24" s="1538"/>
      <c r="Y24" s="3311"/>
      <c r="Z24" s="1539"/>
      <c r="AA24" s="1536"/>
      <c r="AB24" s="1536"/>
      <c r="AC24" s="1536"/>
    </row>
    <row r="25" spans="1:29" ht="57">
      <c r="A25" s="362"/>
      <c r="B25" s="1290" t="s">
        <v>2569</v>
      </c>
      <c r="C25" s="2139"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c r="L25" s="2949"/>
      <c r="M25" s="2943"/>
      <c r="N25" s="2943"/>
      <c r="O25" s="3001"/>
      <c r="P25" s="3311"/>
      <c r="Q25" s="1535" t="str">
        <f t="shared" si="8"/>
        <v>自然及人文环境状况</v>
      </c>
      <c r="R25" s="711" t="s">
        <v>17</v>
      </c>
      <c r="S25" s="712">
        <f>F25</f>
        <v>100</v>
      </c>
      <c r="T25" s="711" t="s">
        <v>17</v>
      </c>
      <c r="U25" s="712">
        <f>H25</f>
        <v>100</v>
      </c>
      <c r="V25" s="711" t="s">
        <v>17</v>
      </c>
      <c r="W25" s="712">
        <f>J25</f>
        <v>100</v>
      </c>
      <c r="X25" s="1538"/>
      <c r="Y25" s="3311"/>
      <c r="Z25" s="1539" t="str">
        <f>Q25</f>
        <v>自然及人文环境状况</v>
      </c>
      <c r="AA25" s="1536">
        <f t="shared" si="3"/>
        <v>1</v>
      </c>
      <c r="AB25" s="1536">
        <f t="shared" si="4"/>
        <v>1</v>
      </c>
      <c r="AC25" s="1536">
        <f t="shared" si="5"/>
        <v>1</v>
      </c>
    </row>
    <row r="26" spans="1:29" ht="15">
      <c r="A26" s="362"/>
      <c r="B26" s="413"/>
      <c r="C26" s="404"/>
      <c r="D26" s="405"/>
      <c r="E26" s="2088"/>
      <c r="F26" s="405"/>
      <c r="G26" s="2088"/>
      <c r="H26" s="405"/>
      <c r="I26" s="404"/>
      <c r="J26" s="405"/>
      <c r="K26" s="626"/>
      <c r="L26" s="2949"/>
      <c r="M26" s="2943"/>
      <c r="N26" s="2943"/>
      <c r="O26" s="3001"/>
      <c r="P26" s="3311"/>
      <c r="Q26" s="1535"/>
      <c r="R26" s="711"/>
      <c r="S26" s="712"/>
      <c r="T26" s="711"/>
      <c r="U26" s="712"/>
      <c r="V26" s="711"/>
      <c r="W26" s="712"/>
      <c r="X26" s="1538"/>
      <c r="Y26" s="3311"/>
      <c r="Z26" s="1539"/>
      <c r="AA26" s="1536">
        <v>1</v>
      </c>
      <c r="AB26" s="1536">
        <v>1</v>
      </c>
      <c r="AC26" s="1536">
        <v>1</v>
      </c>
    </row>
    <row r="27" spans="1:29" s="113" customFormat="1" ht="42.75">
      <c r="A27" s="603"/>
      <c r="B27" s="1290" t="s">
        <v>2474</v>
      </c>
      <c r="C27" s="2084"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c r="L27" s="2944"/>
      <c r="M27" s="2945"/>
      <c r="N27" s="2945"/>
      <c r="O27" s="2999"/>
      <c r="P27" s="3311"/>
      <c r="Q27" s="1526" t="str">
        <f t="shared" si="8"/>
        <v>公共配套设施</v>
      </c>
      <c r="R27" s="707" t="s">
        <v>17</v>
      </c>
      <c r="S27" s="708">
        <f>F27</f>
        <v>100</v>
      </c>
      <c r="T27" s="707" t="s">
        <v>17</v>
      </c>
      <c r="U27" s="708">
        <f>H27</f>
        <v>100</v>
      </c>
      <c r="V27" s="707" t="s">
        <v>17</v>
      </c>
      <c r="W27" s="708">
        <f>J27</f>
        <v>100</v>
      </c>
      <c r="X27" s="709"/>
      <c r="Y27" s="3311"/>
      <c r="Z27" s="55" t="str">
        <f>Q27</f>
        <v>公共配套设施</v>
      </c>
      <c r="AA27" s="1536">
        <f>D27/F27</f>
        <v>1</v>
      </c>
      <c r="AB27" s="1536">
        <f>D27/H27</f>
        <v>1</v>
      </c>
      <c r="AC27" s="1536">
        <f>D27/J27</f>
        <v>1</v>
      </c>
    </row>
    <row r="28" spans="1:29" s="113" customFormat="1" ht="15">
      <c r="A28" s="603"/>
      <c r="B28" s="413"/>
      <c r="C28" s="2162"/>
      <c r="D28" s="405"/>
      <c r="E28" s="2088"/>
      <c r="F28" s="405"/>
      <c r="G28" s="2088"/>
      <c r="H28" s="405"/>
      <c r="I28" s="404"/>
      <c r="J28" s="405"/>
      <c r="K28" s="626"/>
      <c r="L28" s="2944"/>
      <c r="M28" s="2945"/>
      <c r="N28" s="2945"/>
      <c r="O28" s="2999"/>
      <c r="P28" s="3311"/>
      <c r="Q28" s="1526"/>
      <c r="R28" s="707"/>
      <c r="S28" s="708"/>
      <c r="T28" s="707"/>
      <c r="U28" s="708"/>
      <c r="V28" s="707"/>
      <c r="W28" s="708"/>
      <c r="X28" s="709"/>
      <c r="Y28" s="3311"/>
      <c r="Z28" s="55"/>
      <c r="AA28" s="1536">
        <v>1</v>
      </c>
      <c r="AB28" s="1536">
        <v>1</v>
      </c>
      <c r="AC28" s="1536">
        <v>1</v>
      </c>
    </row>
    <row r="29" spans="1:29" s="113" customFormat="1" ht="28.5">
      <c r="A29" s="603"/>
      <c r="B29" s="1290" t="s">
        <v>2475</v>
      </c>
      <c r="C29" s="2084"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c r="L29" s="2944"/>
      <c r="M29" s="2945"/>
      <c r="N29" s="2945"/>
      <c r="O29" s="2999"/>
      <c r="P29" s="3311"/>
      <c r="Q29" s="1526" t="str">
        <f t="shared" ref="Q29" si="9">B29</f>
        <v>基础设施水平</v>
      </c>
      <c r="R29" s="707" t="s">
        <v>17</v>
      </c>
      <c r="S29" s="708">
        <f>F29</f>
        <v>100</v>
      </c>
      <c r="T29" s="707" t="s">
        <v>17</v>
      </c>
      <c r="U29" s="708">
        <f>H29</f>
        <v>100</v>
      </c>
      <c r="V29" s="707" t="s">
        <v>17</v>
      </c>
      <c r="W29" s="708">
        <f>J29</f>
        <v>100</v>
      </c>
      <c r="X29" s="709"/>
      <c r="Y29" s="3311"/>
      <c r="Z29" s="55" t="str">
        <f>Q29</f>
        <v>基础设施水平</v>
      </c>
      <c r="AA29" s="1536">
        <f>D29/F29</f>
        <v>1</v>
      </c>
      <c r="AB29" s="1536">
        <f>D29/H29</f>
        <v>1</v>
      </c>
      <c r="AC29" s="1536">
        <f>D29/J29</f>
        <v>1</v>
      </c>
    </row>
    <row r="30" spans="1:29" s="113" customFormat="1" ht="15">
      <c r="A30" s="603"/>
      <c r="B30" s="413"/>
      <c r="C30" s="2162"/>
      <c r="D30" s="405"/>
      <c r="E30" s="2163"/>
      <c r="F30" s="405"/>
      <c r="G30" s="2163"/>
      <c r="H30" s="405"/>
      <c r="I30" s="2163"/>
      <c r="J30" s="405"/>
      <c r="K30" s="626"/>
      <c r="L30" s="2944"/>
      <c r="M30" s="2945"/>
      <c r="N30" s="2945"/>
      <c r="O30" s="2999"/>
      <c r="P30" s="3311"/>
      <c r="Q30" s="1526"/>
      <c r="R30" s="707"/>
      <c r="S30" s="708"/>
      <c r="T30" s="707"/>
      <c r="U30" s="708"/>
      <c r="V30" s="707"/>
      <c r="W30" s="708"/>
      <c r="X30" s="709"/>
      <c r="Y30" s="3311"/>
      <c r="Z30" s="55"/>
      <c r="AA30" s="1536">
        <v>1</v>
      </c>
      <c r="AB30" s="1536">
        <v>1</v>
      </c>
      <c r="AC30" s="1536">
        <v>1</v>
      </c>
    </row>
    <row r="31" spans="1:29" ht="15">
      <c r="A31" s="385"/>
      <c r="B31" s="413" t="s">
        <v>2476</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49"/>
      <c r="M31" s="2943"/>
      <c r="N31" s="2943"/>
      <c r="O31" s="3001"/>
      <c r="P31" s="3311"/>
      <c r="Q31" s="1535" t="str">
        <f t="shared" si="8"/>
        <v>临街状况</v>
      </c>
      <c r="R31" s="711" t="s">
        <v>17</v>
      </c>
      <c r="S31" s="712">
        <f t="shared" ref="S31:S45" si="10">F31</f>
        <v>100</v>
      </c>
      <c r="T31" s="711" t="s">
        <v>17</v>
      </c>
      <c r="U31" s="712">
        <f t="shared" ref="U31:U45" si="11">H31</f>
        <v>100</v>
      </c>
      <c r="V31" s="711" t="s">
        <v>17</v>
      </c>
      <c r="W31" s="712">
        <f t="shared" ref="W31:W45" si="12">J31</f>
        <v>100</v>
      </c>
      <c r="X31" s="1538"/>
      <c r="Y31" s="3311"/>
      <c r="Z31" s="1539" t="str">
        <f t="shared" ref="Z31:Z45" si="13">Q31</f>
        <v>临街状况</v>
      </c>
      <c r="AA31" s="1536">
        <f t="shared" si="3"/>
        <v>1</v>
      </c>
      <c r="AB31" s="1536">
        <f t="shared" si="4"/>
        <v>1</v>
      </c>
      <c r="AC31" s="1536">
        <f t="shared" si="5"/>
        <v>1</v>
      </c>
    </row>
    <row r="32" spans="1:29" ht="27">
      <c r="A32" s="385"/>
      <c r="B32" s="1290" t="s">
        <v>2511</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49"/>
      <c r="M32" s="2943"/>
      <c r="N32" s="2943"/>
      <c r="O32" s="3001"/>
      <c r="P32" s="3311"/>
      <c r="Q32" s="1535" t="str">
        <f t="shared" si="8"/>
        <v>毗邻道路的类型与等级</v>
      </c>
      <c r="R32" s="711" t="s">
        <v>17</v>
      </c>
      <c r="S32" s="712">
        <f t="shared" si="10"/>
        <v>100</v>
      </c>
      <c r="T32" s="711" t="s">
        <v>17</v>
      </c>
      <c r="U32" s="712">
        <f t="shared" si="11"/>
        <v>100</v>
      </c>
      <c r="V32" s="711" t="s">
        <v>17</v>
      </c>
      <c r="W32" s="712">
        <f t="shared" si="12"/>
        <v>100</v>
      </c>
      <c r="X32" s="1538"/>
      <c r="Y32" s="3311"/>
      <c r="Z32" s="1539" t="str">
        <f t="shared" si="13"/>
        <v>毗邻道路的类型与等级</v>
      </c>
      <c r="AA32" s="1536">
        <f t="shared" si="3"/>
        <v>1</v>
      </c>
      <c r="AB32" s="1536">
        <f t="shared" si="4"/>
        <v>1</v>
      </c>
      <c r="AC32" s="1536">
        <f t="shared" si="5"/>
        <v>1</v>
      </c>
    </row>
    <row r="33" spans="1:29" ht="15">
      <c r="A33" s="385"/>
      <c r="B33" s="413"/>
      <c r="C33" s="404"/>
      <c r="D33" s="405"/>
      <c r="E33" s="2088"/>
      <c r="F33" s="405"/>
      <c r="G33" s="2088"/>
      <c r="H33" s="405"/>
      <c r="I33" s="404"/>
      <c r="J33" s="405"/>
      <c r="K33" s="568"/>
      <c r="L33" s="2949"/>
      <c r="M33" s="2943"/>
      <c r="N33" s="2943"/>
      <c r="O33" s="3001"/>
      <c r="P33" s="3311"/>
      <c r="Q33" s="1535"/>
      <c r="R33" s="711"/>
      <c r="S33" s="712"/>
      <c r="T33" s="711"/>
      <c r="U33" s="712"/>
      <c r="V33" s="711"/>
      <c r="W33" s="712"/>
      <c r="X33" s="1538"/>
      <c r="Y33" s="3311"/>
      <c r="Z33" s="1539"/>
      <c r="AA33" s="1536">
        <v>1</v>
      </c>
      <c r="AB33" s="1536">
        <v>1</v>
      </c>
      <c r="AC33" s="1536">
        <v>1</v>
      </c>
    </row>
    <row r="34" spans="1:29" ht="15">
      <c r="A34" s="385"/>
      <c r="B34" s="379" t="s">
        <v>2570</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49"/>
      <c r="M34" s="2943"/>
      <c r="N34" s="2943"/>
      <c r="O34" s="3001"/>
      <c r="P34" s="3311"/>
      <c r="Q34" s="1535" t="str">
        <f t="shared" si="8"/>
        <v>土地级别</v>
      </c>
      <c r="R34" s="711" t="s">
        <v>17</v>
      </c>
      <c r="S34" s="712">
        <f t="shared" si="10"/>
        <v>100</v>
      </c>
      <c r="T34" s="711" t="s">
        <v>17</v>
      </c>
      <c r="U34" s="712">
        <f t="shared" si="11"/>
        <v>100</v>
      </c>
      <c r="V34" s="711" t="s">
        <v>17</v>
      </c>
      <c r="W34" s="712">
        <f t="shared" si="12"/>
        <v>100</v>
      </c>
      <c r="X34" s="1538"/>
      <c r="Y34" s="3311"/>
      <c r="Z34" s="1539" t="str">
        <f t="shared" si="13"/>
        <v>土地级别</v>
      </c>
      <c r="AA34" s="1536">
        <f t="shared" si="3"/>
        <v>1</v>
      </c>
      <c r="AB34" s="1536">
        <f t="shared" si="4"/>
        <v>1</v>
      </c>
      <c r="AC34" s="1536">
        <f t="shared" si="5"/>
        <v>1</v>
      </c>
    </row>
    <row r="35" spans="1:29" ht="15">
      <c r="A35" s="362"/>
      <c r="B35" s="1292">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49"/>
      <c r="M35" s="2943"/>
      <c r="N35" s="2943"/>
      <c r="O35" s="3001"/>
      <c r="P35" s="3311"/>
      <c r="Q35" s="1535">
        <f t="shared" si="8"/>
        <v>111</v>
      </c>
      <c r="R35" s="711" t="s">
        <v>17</v>
      </c>
      <c r="S35" s="712">
        <f t="shared" si="10"/>
        <v>100</v>
      </c>
      <c r="T35" s="711" t="s">
        <v>17</v>
      </c>
      <c r="U35" s="712">
        <f t="shared" si="11"/>
        <v>100</v>
      </c>
      <c r="V35" s="711" t="s">
        <v>17</v>
      </c>
      <c r="W35" s="712">
        <f t="shared" si="12"/>
        <v>100</v>
      </c>
      <c r="X35" s="1538"/>
      <c r="Y35" s="3311"/>
      <c r="Z35" s="1539">
        <f t="shared" si="13"/>
        <v>111</v>
      </c>
      <c r="AA35" s="1536">
        <f t="shared" si="3"/>
        <v>1</v>
      </c>
      <c r="AB35" s="1536">
        <f t="shared" si="4"/>
        <v>1</v>
      </c>
      <c r="AC35" s="1536">
        <f t="shared" si="5"/>
        <v>1</v>
      </c>
    </row>
    <row r="36" spans="1:29" ht="15">
      <c r="A36" s="629"/>
      <c r="B36" s="1293">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49"/>
      <c r="M36" s="2943"/>
      <c r="N36" s="2943"/>
      <c r="O36" s="3001"/>
      <c r="P36" s="3312" t="s">
        <v>2385</v>
      </c>
      <c r="Q36" s="1535">
        <f t="shared" si="8"/>
        <v>111</v>
      </c>
      <c r="R36" s="711" t="s">
        <v>17</v>
      </c>
      <c r="S36" s="712">
        <f t="shared" si="10"/>
        <v>100</v>
      </c>
      <c r="T36" s="711" t="s">
        <v>17</v>
      </c>
      <c r="U36" s="712">
        <f t="shared" si="11"/>
        <v>100</v>
      </c>
      <c r="V36" s="711" t="s">
        <v>17</v>
      </c>
      <c r="W36" s="712">
        <f t="shared" si="12"/>
        <v>100</v>
      </c>
      <c r="X36" s="1538"/>
      <c r="Y36" s="3313" t="s">
        <v>2385</v>
      </c>
      <c r="Z36" s="1539">
        <f t="shared" si="13"/>
        <v>111</v>
      </c>
      <c r="AA36" s="1536">
        <f t="shared" si="3"/>
        <v>1</v>
      </c>
      <c r="AB36" s="1536">
        <f t="shared" si="4"/>
        <v>1</v>
      </c>
      <c r="AC36" s="1536">
        <f t="shared" si="5"/>
        <v>1</v>
      </c>
    </row>
    <row r="37" spans="1:29" s="428" customFormat="1" ht="15.75" thickBot="1">
      <c r="A37" s="630"/>
      <c r="B37" s="1294">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48"/>
      <c r="M37" s="2950"/>
      <c r="N37" s="2950"/>
      <c r="O37" s="3002"/>
      <c r="P37" s="3313"/>
      <c r="Q37" s="1535">
        <f t="shared" si="8"/>
        <v>111</v>
      </c>
      <c r="R37" s="714" t="s">
        <v>17</v>
      </c>
      <c r="S37" s="715">
        <f t="shared" si="10"/>
        <v>100</v>
      </c>
      <c r="T37" s="714" t="s">
        <v>17</v>
      </c>
      <c r="U37" s="715">
        <f t="shared" si="11"/>
        <v>100</v>
      </c>
      <c r="V37" s="714" t="s">
        <v>17</v>
      </c>
      <c r="W37" s="715">
        <f t="shared" si="12"/>
        <v>100</v>
      </c>
      <c r="X37" s="716"/>
      <c r="Y37" s="3313"/>
      <c r="Z37" s="717">
        <f t="shared" si="13"/>
        <v>111</v>
      </c>
      <c r="AA37" s="1536">
        <f t="shared" si="3"/>
        <v>1</v>
      </c>
      <c r="AB37" s="1536">
        <f t="shared" si="4"/>
        <v>1</v>
      </c>
      <c r="AC37" s="1536">
        <f t="shared" si="5"/>
        <v>1</v>
      </c>
    </row>
    <row r="38" spans="1:29" ht="15">
      <c r="A38" s="429" t="s">
        <v>2383</v>
      </c>
      <c r="B38" s="413" t="s">
        <v>2571</v>
      </c>
      <c r="C38" s="633"/>
      <c r="D38" s="424">
        <v>100</v>
      </c>
      <c r="E38" s="633"/>
      <c r="F38" s="424" t="e">
        <f>LOOKUP(E38,117:117,118:118)-LOOKUP(C38,117:117,118:118)+100</f>
        <v>#N/A</v>
      </c>
      <c r="G38" s="633"/>
      <c r="H38" s="424" t="e">
        <f>LOOKUP(G38,117:117,118:118)-LOOKUP(C38,117:117,118:118)+100</f>
        <v>#N/A</v>
      </c>
      <c r="I38" s="485"/>
      <c r="J38" s="424" t="e">
        <f>LOOKUP(I38,117:117,118:118)-LOOKUP(C38,117:117,118:118)+100</f>
        <v>#N/A</v>
      </c>
      <c r="K38" s="568"/>
      <c r="L38" s="2949"/>
      <c r="M38" s="2943"/>
      <c r="N38" s="2943"/>
      <c r="O38" s="3001"/>
      <c r="P38" s="3313"/>
      <c r="Q38" s="1535" t="str">
        <f>B38</f>
        <v>宗地面积</v>
      </c>
      <c r="R38" s="711" t="s">
        <v>17</v>
      </c>
      <c r="S38" s="712" t="e">
        <f t="shared" si="10"/>
        <v>#N/A</v>
      </c>
      <c r="T38" s="711" t="s">
        <v>17</v>
      </c>
      <c r="U38" s="712" t="e">
        <f t="shared" si="11"/>
        <v>#N/A</v>
      </c>
      <c r="V38" s="711" t="s">
        <v>17</v>
      </c>
      <c r="W38" s="712" t="e">
        <f t="shared" si="12"/>
        <v>#N/A</v>
      </c>
      <c r="X38" s="1538"/>
      <c r="Y38" s="3313"/>
      <c r="Z38" s="1539" t="str">
        <f t="shared" si="13"/>
        <v>宗地面积</v>
      </c>
      <c r="AA38" s="1536" t="e">
        <f t="shared" si="3"/>
        <v>#N/A</v>
      </c>
      <c r="AB38" s="1536" t="e">
        <f t="shared" si="4"/>
        <v>#N/A</v>
      </c>
      <c r="AC38" s="1536" t="e">
        <f t="shared" si="5"/>
        <v>#N/A</v>
      </c>
    </row>
    <row r="39" spans="1:29" ht="15">
      <c r="A39" s="429"/>
      <c r="B39" s="379" t="s">
        <v>2572</v>
      </c>
      <c r="C39" s="2090"/>
      <c r="D39" s="392">
        <v>100</v>
      </c>
      <c r="E39" s="2090"/>
      <c r="F39" s="392">
        <f>SUMIF(119:119,E39,120:120)-SUMIF(119:119,C39,120:120)+100</f>
        <v>100</v>
      </c>
      <c r="G39" s="2090"/>
      <c r="H39" s="392">
        <f>SUMIF(119:119,G39,120:120)-SUMIF(119:119,C39,120:120)+100</f>
        <v>100</v>
      </c>
      <c r="I39" s="2090"/>
      <c r="J39" s="392">
        <f>SUMIF(119:119,I39,120:120)-SUMIF(119:119,C39,120:120)+100</f>
        <v>100</v>
      </c>
      <c r="K39" s="567"/>
      <c r="L39" s="2949"/>
      <c r="M39" s="2943"/>
      <c r="N39" s="2943"/>
      <c r="O39" s="3001"/>
      <c r="P39" s="3313"/>
      <c r="Q39" s="1535" t="str">
        <f t="shared" ref="Q39:Q45" si="14">B39</f>
        <v>宗地形状</v>
      </c>
      <c r="R39" s="711" t="s">
        <v>17</v>
      </c>
      <c r="S39" s="712">
        <f t="shared" si="10"/>
        <v>100</v>
      </c>
      <c r="T39" s="711" t="s">
        <v>17</v>
      </c>
      <c r="U39" s="712">
        <f t="shared" si="11"/>
        <v>100</v>
      </c>
      <c r="V39" s="711" t="s">
        <v>17</v>
      </c>
      <c r="W39" s="712">
        <f t="shared" si="12"/>
        <v>100</v>
      </c>
      <c r="X39" s="1538"/>
      <c r="Y39" s="3313"/>
      <c r="Z39" s="1539" t="str">
        <f t="shared" si="13"/>
        <v>宗地形状</v>
      </c>
      <c r="AA39" s="1536">
        <f t="shared" si="3"/>
        <v>1</v>
      </c>
      <c r="AB39" s="1536">
        <f t="shared" si="4"/>
        <v>1</v>
      </c>
      <c r="AC39" s="1536">
        <f t="shared" si="5"/>
        <v>1</v>
      </c>
    </row>
    <row r="40" spans="1:29" ht="15">
      <c r="A40" s="429"/>
      <c r="B40" s="379" t="s">
        <v>2573</v>
      </c>
      <c r="C40" s="2090"/>
      <c r="D40" s="392">
        <v>100</v>
      </c>
      <c r="E40" s="2090"/>
      <c r="F40" s="392">
        <f>SUMIF(121:121,E40,122:122)-SUMIF(121:121,C40,122:122)+100</f>
        <v>100</v>
      </c>
      <c r="G40" s="2090"/>
      <c r="H40" s="392">
        <f>SUMIF(121:121,G40,122:122)-SUMIF(121:121,C40,122:122)+100</f>
        <v>100</v>
      </c>
      <c r="I40" s="2090"/>
      <c r="J40" s="392">
        <f>SUMIF(121:121,I40,122:122)-SUMIF(121:121,C40,122:122)+100</f>
        <v>100</v>
      </c>
      <c r="K40" s="567"/>
      <c r="L40" s="2949"/>
      <c r="M40" s="2943"/>
      <c r="N40" s="2943"/>
      <c r="O40" s="3001"/>
      <c r="P40" s="3313"/>
      <c r="Q40" s="1535" t="str">
        <f t="shared" si="14"/>
        <v>临街宽度及深度</v>
      </c>
      <c r="R40" s="711" t="s">
        <v>17</v>
      </c>
      <c r="S40" s="712">
        <f t="shared" si="10"/>
        <v>100</v>
      </c>
      <c r="T40" s="711" t="s">
        <v>17</v>
      </c>
      <c r="U40" s="712">
        <f t="shared" si="11"/>
        <v>100</v>
      </c>
      <c r="V40" s="711" t="s">
        <v>17</v>
      </c>
      <c r="W40" s="712">
        <f t="shared" si="12"/>
        <v>100</v>
      </c>
      <c r="X40" s="1538"/>
      <c r="Y40" s="3313"/>
      <c r="Z40" s="1539" t="str">
        <f t="shared" si="13"/>
        <v>临街宽度及深度</v>
      </c>
      <c r="AA40" s="1536">
        <f t="shared" si="3"/>
        <v>1</v>
      </c>
      <c r="AB40" s="1536">
        <f t="shared" si="4"/>
        <v>1</v>
      </c>
      <c r="AC40" s="1536">
        <f t="shared" si="5"/>
        <v>1</v>
      </c>
    </row>
    <row r="41" spans="1:29" s="113" customFormat="1" ht="15">
      <c r="A41" s="430"/>
      <c r="B41" s="379" t="s">
        <v>2574</v>
      </c>
      <c r="C41" s="2164"/>
      <c r="D41" s="130">
        <v>100</v>
      </c>
      <c r="E41" s="2164"/>
      <c r="F41" s="392">
        <f>SUMIF(123:123,E41,124:124)-SUMIF(123:123,C41,124:124)+100</f>
        <v>100</v>
      </c>
      <c r="G41" s="2164"/>
      <c r="H41" s="392">
        <f>SUMIF(123:123,G41,124:124)-SUMIF(123:123,C41,124:124)+100</f>
        <v>100</v>
      </c>
      <c r="I41" s="2164"/>
      <c r="J41" s="392">
        <f>SUMIF(123:123,I41,124:124)-SUMIF(123:123,C41,124:124)+100</f>
        <v>100</v>
      </c>
      <c r="K41" s="567"/>
      <c r="L41" s="2944"/>
      <c r="M41" s="2945"/>
      <c r="N41" s="2945"/>
      <c r="O41" s="2999"/>
      <c r="P41" s="3313"/>
      <c r="Q41" s="1535" t="str">
        <f t="shared" si="14"/>
        <v>宗地开发程度</v>
      </c>
      <c r="R41" s="707" t="s">
        <v>17</v>
      </c>
      <c r="S41" s="708">
        <f t="shared" si="10"/>
        <v>100</v>
      </c>
      <c r="T41" s="707" t="s">
        <v>17</v>
      </c>
      <c r="U41" s="708">
        <f t="shared" si="11"/>
        <v>100</v>
      </c>
      <c r="V41" s="707" t="s">
        <v>17</v>
      </c>
      <c r="W41" s="708">
        <f t="shared" si="12"/>
        <v>100</v>
      </c>
      <c r="X41" s="709"/>
      <c r="Y41" s="3313"/>
      <c r="Z41" s="55" t="str">
        <f t="shared" si="13"/>
        <v>宗地开发程度</v>
      </c>
      <c r="AA41" s="710">
        <f t="shared" si="3"/>
        <v>1</v>
      </c>
      <c r="AB41" s="710">
        <f t="shared" si="4"/>
        <v>1</v>
      </c>
      <c r="AC41" s="710">
        <f t="shared" si="5"/>
        <v>1</v>
      </c>
    </row>
    <row r="42" spans="1:29" ht="15">
      <c r="A42" s="429"/>
      <c r="B42" s="379" t="s">
        <v>2575</v>
      </c>
      <c r="C42" s="2090"/>
      <c r="D42" s="392">
        <v>100</v>
      </c>
      <c r="E42" s="2090"/>
      <c r="F42" s="392">
        <f>SUMIF(125:125,E42,126:126)-SUMIF(125:125,C42,126:126)+100</f>
        <v>100</v>
      </c>
      <c r="G42" s="2090"/>
      <c r="H42" s="392">
        <f>SUMIF(125:125,G42,126:126)-SUMIF(125:125,C42,126:126)+100</f>
        <v>100</v>
      </c>
      <c r="I42" s="2090"/>
      <c r="J42" s="392">
        <f>SUMIF(125:125,I42,126:126)-SUMIF(125:125,C42,126:126)+100</f>
        <v>100</v>
      </c>
      <c r="K42" s="567"/>
      <c r="L42" s="2949"/>
      <c r="M42" s="2943"/>
      <c r="N42" s="2943"/>
      <c r="O42" s="3001"/>
      <c r="P42" s="3313" t="s">
        <v>2385</v>
      </c>
      <c r="Q42" s="1535" t="str">
        <f t="shared" si="14"/>
        <v>工程地质条件</v>
      </c>
      <c r="R42" s="711" t="s">
        <v>17</v>
      </c>
      <c r="S42" s="712">
        <f t="shared" si="10"/>
        <v>100</v>
      </c>
      <c r="T42" s="711" t="s">
        <v>17</v>
      </c>
      <c r="U42" s="712">
        <f t="shared" si="11"/>
        <v>100</v>
      </c>
      <c r="V42" s="711" t="s">
        <v>17</v>
      </c>
      <c r="W42" s="712">
        <f t="shared" si="12"/>
        <v>100</v>
      </c>
      <c r="X42" s="1538"/>
      <c r="Y42" s="3313" t="s">
        <v>2385</v>
      </c>
      <c r="Z42" s="1539" t="str">
        <f t="shared" si="13"/>
        <v>工程地质条件</v>
      </c>
      <c r="AA42" s="1536">
        <f t="shared" si="3"/>
        <v>1</v>
      </c>
      <c r="AB42" s="1536">
        <f t="shared" si="4"/>
        <v>1</v>
      </c>
      <c r="AC42" s="1536">
        <f t="shared" si="5"/>
        <v>1</v>
      </c>
    </row>
    <row r="43" spans="1:29" ht="15">
      <c r="A43" s="429"/>
      <c r="B43" s="1293">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49"/>
      <c r="M43" s="2943"/>
      <c r="N43" s="2943"/>
      <c r="O43" s="3001"/>
      <c r="P43" s="3313"/>
      <c r="Q43" s="1535">
        <f t="shared" si="14"/>
        <v>111</v>
      </c>
      <c r="R43" s="711" t="s">
        <v>17</v>
      </c>
      <c r="S43" s="712">
        <f t="shared" si="10"/>
        <v>100</v>
      </c>
      <c r="T43" s="711" t="s">
        <v>17</v>
      </c>
      <c r="U43" s="712">
        <f t="shared" si="11"/>
        <v>100</v>
      </c>
      <c r="V43" s="711" t="s">
        <v>17</v>
      </c>
      <c r="W43" s="712">
        <f t="shared" si="12"/>
        <v>100</v>
      </c>
      <c r="X43" s="1538"/>
      <c r="Y43" s="3313"/>
      <c r="Z43" s="1539">
        <f t="shared" si="13"/>
        <v>111</v>
      </c>
      <c r="AA43" s="1536">
        <f t="shared" si="3"/>
        <v>1</v>
      </c>
      <c r="AB43" s="1536">
        <f t="shared" si="4"/>
        <v>1</v>
      </c>
      <c r="AC43" s="1536">
        <f t="shared" si="5"/>
        <v>1</v>
      </c>
    </row>
    <row r="44" spans="1:29" ht="15">
      <c r="A44" s="429"/>
      <c r="B44" s="1293">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49"/>
      <c r="M44" s="2943"/>
      <c r="N44" s="2943"/>
      <c r="O44" s="3001"/>
      <c r="P44" s="3313"/>
      <c r="Q44" s="1535">
        <f t="shared" si="14"/>
        <v>111</v>
      </c>
      <c r="R44" s="711" t="s">
        <v>17</v>
      </c>
      <c r="S44" s="712">
        <f t="shared" si="10"/>
        <v>100</v>
      </c>
      <c r="T44" s="711" t="s">
        <v>17</v>
      </c>
      <c r="U44" s="712">
        <f t="shared" si="11"/>
        <v>100</v>
      </c>
      <c r="V44" s="711" t="s">
        <v>17</v>
      </c>
      <c r="W44" s="712">
        <f t="shared" si="12"/>
        <v>100</v>
      </c>
      <c r="X44" s="1538"/>
      <c r="Y44" s="3313"/>
      <c r="Z44" s="1539">
        <f t="shared" si="13"/>
        <v>111</v>
      </c>
      <c r="AA44" s="1536">
        <f t="shared" si="3"/>
        <v>1</v>
      </c>
      <c r="AB44" s="1536">
        <f t="shared" si="4"/>
        <v>1</v>
      </c>
      <c r="AC44" s="1536">
        <f t="shared" si="5"/>
        <v>1</v>
      </c>
    </row>
    <row r="45" spans="1:29" s="428" customFormat="1" ht="15.75" thickBot="1">
      <c r="A45" s="425"/>
      <c r="B45" s="1293">
        <v>111</v>
      </c>
      <c r="C45" s="2165"/>
      <c r="D45" s="634">
        <v>100</v>
      </c>
      <c r="E45" s="628"/>
      <c r="F45" s="395">
        <f>SUMIF(131:131,E45,132:132)-SUMIF(131:131,C45,132:132)+100</f>
        <v>100</v>
      </c>
      <c r="G45" s="628"/>
      <c r="H45" s="395">
        <f>SUMIF(131:131,G45,132:132)-SUMIF(131:131,C45,132:132)+100</f>
        <v>100</v>
      </c>
      <c r="I45" s="628"/>
      <c r="J45" s="395">
        <f>SUMIF(131:131,I45,132:132)-SUMIF(131:131,C45,132:132)+100</f>
        <v>100</v>
      </c>
      <c r="K45" s="635"/>
      <c r="L45" s="2948"/>
      <c r="M45" s="2950"/>
      <c r="N45" s="2950"/>
      <c r="O45" s="3002"/>
      <c r="P45" s="3313"/>
      <c r="Q45" s="1535">
        <f t="shared" si="14"/>
        <v>111</v>
      </c>
      <c r="R45" s="714" t="s">
        <v>17</v>
      </c>
      <c r="S45" s="715">
        <f t="shared" si="10"/>
        <v>100</v>
      </c>
      <c r="T45" s="714" t="s">
        <v>17</v>
      </c>
      <c r="U45" s="715">
        <f t="shared" si="11"/>
        <v>100</v>
      </c>
      <c r="V45" s="714" t="s">
        <v>17</v>
      </c>
      <c r="W45" s="715">
        <f t="shared" si="12"/>
        <v>100</v>
      </c>
      <c r="X45" s="716"/>
      <c r="Y45" s="3313"/>
      <c r="Z45" s="717">
        <f t="shared" si="13"/>
        <v>111</v>
      </c>
      <c r="AA45" s="1536">
        <f t="shared" si="3"/>
        <v>1</v>
      </c>
      <c r="AB45" s="1536">
        <f t="shared" si="4"/>
        <v>1</v>
      </c>
      <c r="AC45" s="1536">
        <f t="shared" si="5"/>
        <v>1</v>
      </c>
    </row>
    <row r="46" spans="1:29" ht="15">
      <c r="A46" s="436" t="s">
        <v>2540</v>
      </c>
      <c r="B46" s="2166" t="s">
        <v>2576</v>
      </c>
      <c r="C46" s="636" t="s">
        <v>1</v>
      </c>
      <c r="D46" s="438"/>
      <c r="E46" s="439"/>
      <c r="F46" s="440"/>
      <c r="G46" s="441"/>
      <c r="H46" s="442"/>
      <c r="I46" s="439"/>
      <c r="J46" s="442"/>
      <c r="K46" s="720"/>
      <c r="L46" s="2951"/>
      <c r="M46" s="2952"/>
      <c r="N46" s="2943"/>
      <c r="O46" s="2952"/>
      <c r="P46" s="3295" t="str">
        <f>A46</f>
        <v>成交单价</v>
      </c>
      <c r="Q46" s="3295"/>
      <c r="R46" s="3308">
        <f>E46</f>
        <v>0</v>
      </c>
      <c r="S46" s="3308"/>
      <c r="T46" s="3308">
        <f>G46</f>
        <v>0</v>
      </c>
      <c r="U46" s="3308"/>
      <c r="V46" s="3308">
        <f>I46</f>
        <v>0</v>
      </c>
      <c r="W46" s="3308"/>
      <c r="X46" s="696"/>
      <c r="Y46" s="718"/>
      <c r="Z46" s="696"/>
      <c r="AA46" s="696"/>
      <c r="AB46" s="696"/>
      <c r="AC46" s="696"/>
    </row>
    <row r="47" spans="1:29" ht="15.75" thickBot="1">
      <c r="A47" s="443" t="s">
        <v>2489</v>
      </c>
      <c r="B47" s="637"/>
      <c r="C47" s="446" t="e">
        <f>R48</f>
        <v>#DIV/0!</v>
      </c>
      <c r="D47" s="2536" t="s">
        <v>2879</v>
      </c>
      <c r="E47" s="446" t="e">
        <f>R47</f>
        <v>#DIV/0!</v>
      </c>
      <c r="F47" s="2537"/>
      <c r="G47" s="445" t="e">
        <f>T47</f>
        <v>#DIV/0!</v>
      </c>
      <c r="H47" s="2537"/>
      <c r="I47" s="446" t="e">
        <f>V47</f>
        <v>#DIV/0!</v>
      </c>
      <c r="J47" s="2537"/>
      <c r="K47" s="2539">
        <f>F47+H47+J47</f>
        <v>0</v>
      </c>
      <c r="L47" s="2951"/>
      <c r="M47" s="2952"/>
      <c r="N47" s="2952"/>
      <c r="O47" s="2952"/>
      <c r="P47" s="3295" t="str">
        <f>A47</f>
        <v>比较价值（元/平方米）</v>
      </c>
      <c r="Q47" s="3295"/>
      <c r="R47" s="3314" t="e">
        <f>ROUND(PRODUCT(R46,AA7:AA45),0)</f>
        <v>#DIV/0!</v>
      </c>
      <c r="S47" s="3314"/>
      <c r="T47" s="3314" t="e">
        <f>ROUND(PRODUCT(T46,AB7:AB45),0)</f>
        <v>#DIV/0!</v>
      </c>
      <c r="U47" s="3314"/>
      <c r="V47" s="3314" t="e">
        <f>ROUND(PRODUCT(V46,AC7:AC45),0)</f>
        <v>#DIV/0!</v>
      </c>
      <c r="W47" s="3314"/>
      <c r="X47" s="696"/>
      <c r="Y47" s="696"/>
      <c r="Z47" s="696"/>
      <c r="AA47" s="696"/>
      <c r="AB47" s="696"/>
      <c r="AC47" s="696"/>
    </row>
    <row r="48" spans="1:29" ht="15.75" thickBot="1">
      <c r="A48" s="447" t="s">
        <v>2577</v>
      </c>
      <c r="B48" s="448"/>
      <c r="C48" s="449" t="e">
        <f>R48</f>
        <v>#DIV/0!</v>
      </c>
      <c r="D48" s="449"/>
      <c r="E48" s="449"/>
      <c r="F48" s="449"/>
      <c r="G48" s="449"/>
      <c r="H48" s="449"/>
      <c r="I48" s="449"/>
      <c r="J48" s="449"/>
      <c r="K48" s="721"/>
      <c r="L48" s="2951"/>
      <c r="M48" s="2952"/>
      <c r="N48" s="2952"/>
      <c r="O48" s="2952"/>
      <c r="P48" s="3315" t="str">
        <f>A48</f>
        <v>估价对象XX用房的比较价值（楼面单价，元/平方米）</v>
      </c>
      <c r="Q48" s="3316"/>
      <c r="R48" s="3317" t="e">
        <f>ROUND(IF(D47="简单平均",AVERAGE(R47:W47),R47*F47+T47*H47+V47*J47),0)</f>
        <v>#DIV/0!</v>
      </c>
      <c r="S48" s="3317"/>
      <c r="T48" s="3317"/>
      <c r="U48" s="3317"/>
      <c r="V48" s="3317"/>
      <c r="W48" s="3317"/>
      <c r="X48" s="696"/>
      <c r="Y48" s="696"/>
      <c r="Z48" s="696"/>
      <c r="AA48" s="696"/>
      <c r="AB48" s="696"/>
      <c r="AC48" s="696"/>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2" t="s">
        <v>2491</v>
      </c>
      <c r="D51" s="453"/>
      <c r="E51" s="454" t="e">
        <f>IF(E46&lt;E47,E47/E46-1,E46/E47-1)</f>
        <v>#DIV/0!</v>
      </c>
      <c r="F51" s="455" t="e">
        <f>IF(OR(E51&gt;=0.3,E51&lt;=-0.3),"超过30%","")</f>
        <v>#DIV/0!</v>
      </c>
      <c r="G51" s="454" t="e">
        <f>IF(G46&lt;G47,G47/G46-1,G46/G47-1)</f>
        <v>#DIV/0!</v>
      </c>
      <c r="H51" s="455" t="e">
        <f>IF(OR(G51&gt;=0.3,G51&lt;=-0.3),"超过30%","")</f>
        <v>#DIV/0!</v>
      </c>
      <c r="I51" s="454" t="e">
        <f>IF(I46&lt;I47,I47/I46-1,I46/I47-1)</f>
        <v>#DIV/0!</v>
      </c>
      <c r="J51" s="455"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2" t="s">
        <v>2492</v>
      </c>
      <c r="D52" s="456"/>
      <c r="E52" s="454" t="e">
        <f>IF(E47&lt;G47,G47/E47-1,E47/G47-1)</f>
        <v>#DIV/0!</v>
      </c>
      <c r="F52" s="455" t="e">
        <f>IF(OR(E52&gt;=0.2,E52&lt;=-0.2),"超过20%","")</f>
        <v>#DIV/0!</v>
      </c>
      <c r="G52" s="454" t="e">
        <f>IF(G47&lt;I47,I47/G47-1,G47/I47-1)</f>
        <v>#DIV/0!</v>
      </c>
      <c r="H52" s="455" t="e">
        <f>IF(OR(G52&gt;=0.2,G52&lt;=-0.2),"超过20%","")</f>
        <v>#DIV/0!</v>
      </c>
      <c r="I52" s="454" t="e">
        <f>IF(I47&lt;E47,E47/I47-1,I47/E47-1)</f>
        <v>#DIV/0!</v>
      </c>
      <c r="J52" s="455"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7" customFormat="1" ht="13.5" customHeight="1">
      <c r="A53" s="2955"/>
      <c r="B53" s="2955"/>
      <c r="C53" s="452" t="s">
        <v>2493</v>
      </c>
      <c r="D53" s="456"/>
      <c r="E53" s="454" t="e">
        <f>IF(E46&lt;G46,G46/E46-1,E46/G46-1)</f>
        <v>#DIV/0!</v>
      </c>
      <c r="F53" s="455" t="e">
        <f>IF(OR(E53&gt;=0.3,E53&lt;=-0.3),"超过30%","")</f>
        <v>#DIV/0!</v>
      </c>
      <c r="G53" s="454" t="e">
        <f>IF(G46&lt;I46,I46/G46-1,G46/I46-1)</f>
        <v>#DIV/0!</v>
      </c>
      <c r="H53" s="455" t="e">
        <f>IF(OR(G53&gt;=0.3,G53&lt;=-0.3),"超过30%","")</f>
        <v>#DIV/0!</v>
      </c>
      <c r="I53" s="454" t="e">
        <f>IF(I46&lt;E46,E46/I46-1,I46/E46-1)</f>
        <v>#DIV/0!</v>
      </c>
      <c r="J53" s="455"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7" customFormat="1" ht="15" thickBot="1">
      <c r="A54" s="2955"/>
      <c r="B54" s="2958"/>
      <c r="C54" s="699"/>
      <c r="D54" s="697"/>
      <c r="E54" s="697"/>
      <c r="F54" s="697"/>
      <c r="G54" s="697"/>
      <c r="H54" s="697"/>
      <c r="I54" s="697"/>
      <c r="J54" s="697"/>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38" t="s">
        <v>2578</v>
      </c>
      <c r="B55" s="639" t="s">
        <v>2579</v>
      </c>
      <c r="C55" s="2167" t="s">
        <v>2580</v>
      </c>
      <c r="D55" s="2168" t="s">
        <v>2581</v>
      </c>
      <c r="E55" s="640" t="s">
        <v>2582</v>
      </c>
      <c r="F55" s="1018" t="s">
        <v>2583</v>
      </c>
      <c r="G55" s="3296" t="s">
        <v>2584</v>
      </c>
      <c r="H55" s="3318"/>
      <c r="I55" s="138" t="s">
        <v>2585</v>
      </c>
      <c r="J55" s="2169">
        <f>项目基本情况!F35</f>
        <v>0</v>
      </c>
      <c r="K55" s="2170" t="s">
        <v>2586</v>
      </c>
      <c r="L55" s="2953"/>
      <c r="M55" s="2952"/>
      <c r="N55" s="2952"/>
      <c r="O55" s="2952"/>
      <c r="P55" s="2952"/>
      <c r="Q55" s="2952"/>
      <c r="R55" s="2952"/>
      <c r="S55" s="2952"/>
      <c r="T55" s="2952"/>
      <c r="U55" s="2952"/>
      <c r="V55" s="2952"/>
      <c r="W55" s="2952"/>
      <c r="X55" s="2952"/>
      <c r="Y55" s="2952"/>
      <c r="Z55" s="2952"/>
      <c r="AA55" s="2952"/>
      <c r="AB55" s="2952"/>
      <c r="AC55" s="2952"/>
    </row>
    <row r="56" spans="1:29" s="646" customFormat="1">
      <c r="A56" s="642" t="s">
        <v>2587</v>
      </c>
      <c r="B56" s="643" t="e">
        <f>C48</f>
        <v>#DIV/0!</v>
      </c>
      <c r="C56" s="644">
        <v>1</v>
      </c>
      <c r="D56" s="1072">
        <v>1</v>
      </c>
      <c r="E56" s="644">
        <f>'数据-汇总表'!E8+'数据-汇总表'!E9</f>
        <v>111596.87</v>
      </c>
      <c r="F56" s="1014" t="e">
        <f t="shared" ref="F56:F65" si="15">ROUND(B56*E56/10000,0)</f>
        <v>#DIV/0!</v>
      </c>
      <c r="G56" s="3319"/>
      <c r="H56" s="3295"/>
      <c r="I56" s="1019">
        <v>1</v>
      </c>
      <c r="J56" s="1022">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6" customFormat="1">
      <c r="A57" s="647" t="s">
        <v>2588</v>
      </c>
      <c r="B57" s="222" t="e">
        <f>ROUND($C$48*C57*D57,0)</f>
        <v>#DIV/0!</v>
      </c>
      <c r="C57" s="174">
        <f t="shared" ref="C57:C65" si="16">IF($C$55="北京市系数",I57,J57)</f>
        <v>0.8</v>
      </c>
      <c r="D57" s="1073">
        <v>0.25</v>
      </c>
      <c r="E57" s="648"/>
      <c r="F57" s="1014" t="e">
        <f t="shared" si="15"/>
        <v>#DIV/0!</v>
      </c>
      <c r="G57" s="3320" t="s">
        <v>2589</v>
      </c>
      <c r="H57" s="1015" t="str">
        <f>项目基本情况!B37</f>
        <v>一级</v>
      </c>
      <c r="I57" s="1019">
        <f>SUMIF(修正!A45:A56,H57,修正!B45:B56)</f>
        <v>0.8</v>
      </c>
      <c r="J57" s="1023"/>
      <c r="K57" s="2952"/>
      <c r="L57" s="3009"/>
      <c r="M57" s="3009"/>
      <c r="N57" s="3009"/>
      <c r="O57" s="3009"/>
      <c r="P57" s="3009"/>
      <c r="Q57" s="3009"/>
      <c r="R57" s="3009"/>
      <c r="S57" s="3009"/>
      <c r="T57" s="3009"/>
      <c r="U57" s="3009"/>
      <c r="V57" s="3009"/>
      <c r="W57" s="3009"/>
      <c r="X57" s="3009"/>
      <c r="Y57" s="3009"/>
      <c r="Z57" s="3009"/>
      <c r="AA57" s="3009"/>
      <c r="AB57" s="3009"/>
      <c r="AC57" s="3009"/>
    </row>
    <row r="58" spans="1:29" s="646" customFormat="1">
      <c r="A58" s="647" t="s">
        <v>2590</v>
      </c>
      <c r="B58" s="222" t="e">
        <f t="shared" ref="B58:B65" si="17">ROUND($C$48*C58*D58,0)</f>
        <v>#DIV/0!</v>
      </c>
      <c r="C58" s="174">
        <f t="shared" si="16"/>
        <v>0.5</v>
      </c>
      <c r="D58" s="1073">
        <v>0.25</v>
      </c>
      <c r="E58" s="648"/>
      <c r="F58" s="1014" t="e">
        <f t="shared" si="15"/>
        <v>#DIV/0!</v>
      </c>
      <c r="G58" s="3320"/>
      <c r="H58" s="1015" t="str">
        <f>项目基本情况!B37</f>
        <v>一级</v>
      </c>
      <c r="I58" s="1019">
        <f>SUMIF(修正!A45:A56,H58,修正!C45:C56)</f>
        <v>0.5</v>
      </c>
      <c r="J58" s="1023"/>
      <c r="K58" s="2955"/>
      <c r="L58" s="3009"/>
      <c r="M58" s="3009"/>
      <c r="N58" s="3009"/>
      <c r="O58" s="3009"/>
      <c r="P58" s="3009"/>
      <c r="Q58" s="3009"/>
      <c r="R58" s="3009"/>
      <c r="S58" s="3009"/>
      <c r="T58" s="3009"/>
      <c r="U58" s="3009"/>
      <c r="V58" s="3009"/>
      <c r="W58" s="3009"/>
      <c r="X58" s="3009"/>
      <c r="Y58" s="3009"/>
      <c r="Z58" s="3009"/>
      <c r="AA58" s="3009"/>
      <c r="AB58" s="3009"/>
      <c r="AC58" s="3009"/>
    </row>
    <row r="59" spans="1:29" s="646" customFormat="1">
      <c r="A59" s="647" t="s">
        <v>2591</v>
      </c>
      <c r="B59" s="222" t="e">
        <f t="shared" si="17"/>
        <v>#DIV/0!</v>
      </c>
      <c r="C59" s="174">
        <f t="shared" si="16"/>
        <v>0.36</v>
      </c>
      <c r="D59" s="1073">
        <v>0.25</v>
      </c>
      <c r="E59" s="648"/>
      <c r="F59" s="1014" t="e">
        <f t="shared" si="15"/>
        <v>#DIV/0!</v>
      </c>
      <c r="G59" s="3320"/>
      <c r="H59" s="1015" t="str">
        <f>项目基本情况!B37</f>
        <v>一级</v>
      </c>
      <c r="I59" s="1019">
        <f>SUMIF(修正!A45:A56,H59,修正!D45:D56)</f>
        <v>0.36</v>
      </c>
      <c r="J59" s="1023"/>
      <c r="K59" s="2952"/>
      <c r="L59" s="3009"/>
      <c r="M59" s="3009"/>
      <c r="N59" s="3009"/>
      <c r="O59" s="3009"/>
      <c r="P59" s="3009"/>
      <c r="Q59" s="3009"/>
      <c r="R59" s="3009"/>
      <c r="S59" s="3009"/>
      <c r="T59" s="3009"/>
      <c r="U59" s="3009"/>
      <c r="V59" s="3009"/>
      <c r="W59" s="3009"/>
      <c r="X59" s="3009"/>
      <c r="Y59" s="3009"/>
      <c r="Z59" s="3009"/>
      <c r="AA59" s="3009"/>
      <c r="AB59" s="3009"/>
      <c r="AC59" s="3009"/>
    </row>
    <row r="60" spans="1:29" s="646" customFormat="1">
      <c r="A60" s="647" t="s">
        <v>2592</v>
      </c>
      <c r="B60" s="222" t="e">
        <f t="shared" si="17"/>
        <v>#DIV/0!</v>
      </c>
      <c r="C60" s="174">
        <f t="shared" si="16"/>
        <v>0.3</v>
      </c>
      <c r="D60" s="1073">
        <v>0.25</v>
      </c>
      <c r="E60" s="648"/>
      <c r="F60" s="1014" t="e">
        <f t="shared" si="15"/>
        <v>#DIV/0!</v>
      </c>
      <c r="G60" s="3320"/>
      <c r="H60" s="1015" t="str">
        <f>项目基本情况!B37</f>
        <v>一级</v>
      </c>
      <c r="I60" s="1019">
        <f>SUMIF(修正!A45:A56,H60,修正!E45:E56)</f>
        <v>0.3</v>
      </c>
      <c r="J60" s="1023"/>
      <c r="K60" s="2955"/>
      <c r="L60" s="3009"/>
      <c r="M60" s="3009"/>
      <c r="N60" s="3009"/>
      <c r="O60" s="3009"/>
      <c r="P60" s="3009"/>
      <c r="Q60" s="3009"/>
      <c r="R60" s="3009"/>
      <c r="S60" s="3009"/>
      <c r="T60" s="3009"/>
      <c r="U60" s="3009"/>
      <c r="V60" s="3009"/>
      <c r="W60" s="3009"/>
      <c r="X60" s="3009"/>
      <c r="Y60" s="3009"/>
      <c r="Z60" s="3009"/>
      <c r="AA60" s="3009"/>
      <c r="AB60" s="3009"/>
      <c r="AC60" s="3009"/>
    </row>
    <row r="61" spans="1:29" s="646" customFormat="1">
      <c r="A61" s="647" t="s">
        <v>2593</v>
      </c>
      <c r="B61" s="222" t="e">
        <f t="shared" si="17"/>
        <v>#DIV/0!</v>
      </c>
      <c r="C61" s="174">
        <f t="shared" si="16"/>
        <v>0.3</v>
      </c>
      <c r="D61" s="1073">
        <v>0.25</v>
      </c>
      <c r="E61" s="221">
        <f>'数据-汇总表'!E11</f>
        <v>0</v>
      </c>
      <c r="F61" s="1014" t="e">
        <f t="shared" si="15"/>
        <v>#DIV/0!</v>
      </c>
      <c r="G61" s="2171" t="s">
        <v>2594</v>
      </c>
      <c r="H61" s="1015" t="str">
        <f>项目基本情况!C37</f>
        <v>一级</v>
      </c>
      <c r="I61" s="1019">
        <f>SUMIF(修正!A45:A56,H61,修正!F45:F56)</f>
        <v>0.3</v>
      </c>
      <c r="J61" s="1023"/>
      <c r="K61" s="2952"/>
      <c r="L61" s="3009"/>
      <c r="M61" s="3009"/>
      <c r="N61" s="3009"/>
      <c r="O61" s="3009"/>
      <c r="P61" s="3009"/>
      <c r="Q61" s="3009"/>
      <c r="R61" s="3009"/>
      <c r="S61" s="3009"/>
      <c r="T61" s="3009"/>
      <c r="U61" s="3009"/>
      <c r="V61" s="3009"/>
      <c r="W61" s="3009"/>
      <c r="X61" s="3009"/>
      <c r="Y61" s="3009"/>
      <c r="Z61" s="3009"/>
      <c r="AA61" s="3009"/>
      <c r="AB61" s="3009"/>
      <c r="AC61" s="3009"/>
    </row>
    <row r="62" spans="1:29" s="646" customFormat="1">
      <c r="A62" s="647" t="s">
        <v>2595</v>
      </c>
      <c r="B62" s="222" t="e">
        <f t="shared" si="17"/>
        <v>#DIV/0!</v>
      </c>
      <c r="C62" s="174">
        <f t="shared" si="16"/>
        <v>0.3</v>
      </c>
      <c r="D62" s="1073">
        <v>0.25</v>
      </c>
      <c r="E62" s="221">
        <f>'数据-汇总表'!E12</f>
        <v>0</v>
      </c>
      <c r="F62" s="1014" t="e">
        <f t="shared" si="15"/>
        <v>#DIV/0!</v>
      </c>
      <c r="G62" s="1020" t="s">
        <v>2596</v>
      </c>
      <c r="H62" s="1015" t="str">
        <f>IF(G62="商业",项目基本情况!B37,IF(G62="办公",项目基本情况!C37,IF(G62="住宅",项目基本情况!D37,项目基本情况!E37)))</f>
        <v>一级</v>
      </c>
      <c r="I62" s="1019">
        <f>SUMIF(修正!A45:A56,H62,修正!G45:G56)</f>
        <v>0.3</v>
      </c>
      <c r="J62" s="1023"/>
      <c r="K62" s="2955"/>
      <c r="L62" s="3009"/>
      <c r="M62" s="3009"/>
      <c r="N62" s="3009"/>
      <c r="O62" s="3009"/>
      <c r="P62" s="3009"/>
      <c r="Q62" s="3009"/>
      <c r="R62" s="3009"/>
      <c r="S62" s="3009"/>
      <c r="T62" s="3009"/>
      <c r="U62" s="3009"/>
      <c r="V62" s="3009"/>
      <c r="W62" s="3009"/>
      <c r="X62" s="3009"/>
      <c r="Y62" s="3009"/>
      <c r="Z62" s="3009"/>
      <c r="AA62" s="3009"/>
      <c r="AB62" s="3009"/>
      <c r="AC62" s="3009"/>
    </row>
    <row r="63" spans="1:29" s="646" customFormat="1">
      <c r="A63" s="647" t="s">
        <v>2597</v>
      </c>
      <c r="B63" s="222" t="e">
        <f t="shared" si="17"/>
        <v>#DIV/0!</v>
      </c>
      <c r="C63" s="174">
        <f t="shared" si="16"/>
        <v>0</v>
      </c>
      <c r="D63" s="1073">
        <v>0.25</v>
      </c>
      <c r="E63" s="221">
        <f>'数据-汇总表'!E13</f>
        <v>41869.699999999997</v>
      </c>
      <c r="F63" s="1014" t="e">
        <f t="shared" si="15"/>
        <v>#DIV/0!</v>
      </c>
      <c r="G63" s="1020" t="s">
        <v>2598</v>
      </c>
      <c r="H63" s="1015">
        <f>IF(G63="商业",项目基本情况!B37,IF(G63="办公",项目基本情况!C37,IF(G63="住宅",项目基本情况!D37,项目基本情况!E37)))</f>
        <v>0</v>
      </c>
      <c r="I63" s="1019">
        <f>SUMIF(修正!A45:A56,H63,修正!H45:H56)</f>
        <v>0</v>
      </c>
      <c r="J63" s="1023"/>
      <c r="K63" s="2952"/>
      <c r="L63" s="3009"/>
      <c r="M63" s="3009"/>
      <c r="N63" s="3009"/>
      <c r="O63" s="3009"/>
      <c r="P63" s="3009"/>
      <c r="Q63" s="3009"/>
      <c r="R63" s="3009"/>
      <c r="S63" s="3009"/>
      <c r="T63" s="3009"/>
      <c r="U63" s="3009"/>
      <c r="V63" s="3009"/>
      <c r="W63" s="3009"/>
      <c r="X63" s="3009"/>
      <c r="Y63" s="3009"/>
      <c r="Z63" s="3009"/>
      <c r="AA63" s="3009"/>
      <c r="AB63" s="3009"/>
      <c r="AC63" s="3009"/>
    </row>
    <row r="64" spans="1:29" s="646" customFormat="1">
      <c r="A64" s="647" t="s">
        <v>2599</v>
      </c>
      <c r="B64" s="222" t="e">
        <f t="shared" si="17"/>
        <v>#DIV/0!</v>
      </c>
      <c r="C64" s="174">
        <f t="shared" si="16"/>
        <v>0.25</v>
      </c>
      <c r="D64" s="1073">
        <v>0.25</v>
      </c>
      <c r="E64" s="221">
        <f>'数据-汇总表'!E14</f>
        <v>0</v>
      </c>
      <c r="F64" s="1014" t="e">
        <f t="shared" si="15"/>
        <v>#DIV/0!</v>
      </c>
      <c r="G64" s="2171" t="s">
        <v>2589</v>
      </c>
      <c r="H64" s="1015" t="str">
        <f>项目基本情况!B37</f>
        <v>一级</v>
      </c>
      <c r="I64" s="1019">
        <f>SUMIF(修正!A45:A56,H64,修正!H45:H56)</f>
        <v>0.25</v>
      </c>
      <c r="J64" s="1023"/>
      <c r="K64" s="2955"/>
      <c r="L64" s="3009"/>
      <c r="M64" s="3009"/>
      <c r="N64" s="3009"/>
      <c r="O64" s="3009"/>
      <c r="P64" s="3009"/>
      <c r="Q64" s="3009"/>
      <c r="R64" s="3009"/>
      <c r="S64" s="3009"/>
      <c r="T64" s="3009"/>
      <c r="U64" s="3009"/>
      <c r="V64" s="3009"/>
      <c r="W64" s="3009"/>
      <c r="X64" s="3009"/>
      <c r="Y64" s="3009"/>
      <c r="Z64" s="3009"/>
      <c r="AA64" s="3009"/>
      <c r="AB64" s="3009"/>
      <c r="AC64" s="3009"/>
    </row>
    <row r="65" spans="1:29" s="646" customFormat="1" ht="15" thickBot="1">
      <c r="A65" s="647" t="s">
        <v>2600</v>
      </c>
      <c r="B65" s="222" t="e">
        <f t="shared" si="17"/>
        <v>#DIV/0!</v>
      </c>
      <c r="C65" s="174">
        <f t="shared" si="16"/>
        <v>0.25</v>
      </c>
      <c r="D65" s="1073">
        <v>0.25</v>
      </c>
      <c r="E65" s="221">
        <f>'数据-汇总表'!E15</f>
        <v>0</v>
      </c>
      <c r="F65" s="1014" t="e">
        <f t="shared" si="15"/>
        <v>#DIV/0!</v>
      </c>
      <c r="G65" s="2172" t="s">
        <v>2594</v>
      </c>
      <c r="H65" s="1025" t="str">
        <f>项目基本情况!C37</f>
        <v>一级</v>
      </c>
      <c r="I65" s="1021">
        <f>SUMIF(修正!A45:A56,H65,修正!H45:H56)</f>
        <v>0.25</v>
      </c>
      <c r="J65" s="1024"/>
      <c r="K65" s="2952"/>
      <c r="L65" s="3009"/>
      <c r="M65" s="3009"/>
      <c r="N65" s="3009"/>
      <c r="O65" s="3009"/>
      <c r="P65" s="3009"/>
      <c r="Q65" s="3009"/>
      <c r="R65" s="3009"/>
      <c r="S65" s="3009"/>
      <c r="T65" s="3009"/>
      <c r="U65" s="3009"/>
      <c r="V65" s="3009"/>
      <c r="W65" s="3009"/>
      <c r="X65" s="3009"/>
      <c r="Y65" s="3009"/>
      <c r="Z65" s="3009"/>
      <c r="AA65" s="3009"/>
      <c r="AB65" s="3009"/>
      <c r="AC65" s="3009"/>
    </row>
    <row r="66" spans="1:29" s="646" customFormat="1" ht="13.5" thickBot="1">
      <c r="A66" s="649" t="s">
        <v>2601</v>
      </c>
      <c r="B66" s="650" t="s">
        <v>28</v>
      </c>
      <c r="C66" s="650" t="s">
        <v>29</v>
      </c>
      <c r="D66" s="650" t="s">
        <v>997</v>
      </c>
      <c r="E66" s="650">
        <f>IF(B46="楼面地价",SUM(E56:E65),'数据-汇总表'!D3)</f>
        <v>153466.57</v>
      </c>
      <c r="F66" s="651" t="e">
        <f>IF(B46="楼面地价",SUM(F56:F65),ROUND(C48*E66/10000,0))</f>
        <v>#DIV/0!</v>
      </c>
      <c r="G66" s="723"/>
      <c r="H66" s="723"/>
      <c r="I66" s="723"/>
      <c r="J66" s="723"/>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6"/>
      <c r="B67" s="698"/>
      <c r="C67" s="699"/>
      <c r="D67" s="696"/>
      <c r="E67" s="696"/>
      <c r="F67" s="696"/>
      <c r="G67" s="696"/>
      <c r="H67" s="696"/>
      <c r="I67" s="696"/>
      <c r="J67" s="1055"/>
      <c r="K67" s="1016"/>
      <c r="L67" s="1017"/>
      <c r="M67" s="1055"/>
      <c r="N67" s="1055"/>
      <c r="O67" s="1055"/>
      <c r="P67" s="2952"/>
      <c r="Q67" s="2952"/>
      <c r="R67" s="2952"/>
      <c r="S67" s="2952"/>
      <c r="T67" s="2952"/>
      <c r="U67" s="2952"/>
      <c r="V67" s="2952"/>
      <c r="W67" s="2952"/>
      <c r="X67" s="2952"/>
      <c r="Y67" s="2952"/>
      <c r="Z67" s="2952"/>
      <c r="AA67" s="2952"/>
      <c r="AB67" s="2952"/>
      <c r="AC67" s="2952"/>
    </row>
    <row r="68" spans="1:29">
      <c r="A68" s="696"/>
      <c r="B68" s="698"/>
      <c r="C68" s="698" t="str">
        <f>YEAR(C7)&amp;"-"&amp;MONTH(C7)&amp;"-1"</f>
        <v>2020-11-1</v>
      </c>
      <c r="D68" s="698">
        <f>EDATE(C68,-3)</f>
        <v>44044</v>
      </c>
      <c r="E68" s="698">
        <f>EDATE(D68,-3)</f>
        <v>43952</v>
      </c>
      <c r="F68" s="698">
        <f t="shared" ref="F68:O68" si="18">EDATE(E68,-3)</f>
        <v>43862</v>
      </c>
      <c r="G68" s="698">
        <f t="shared" si="18"/>
        <v>43770</v>
      </c>
      <c r="H68" s="698">
        <f t="shared" si="18"/>
        <v>43678</v>
      </c>
      <c r="I68" s="698">
        <f t="shared" si="18"/>
        <v>43586</v>
      </c>
      <c r="J68" s="698">
        <f t="shared" si="18"/>
        <v>43497</v>
      </c>
      <c r="K68" s="698">
        <f t="shared" si="18"/>
        <v>43405</v>
      </c>
      <c r="L68" s="698">
        <f t="shared" si="18"/>
        <v>43313</v>
      </c>
      <c r="M68" s="698">
        <f t="shared" si="18"/>
        <v>43221</v>
      </c>
      <c r="N68" s="698">
        <f t="shared" si="18"/>
        <v>43132</v>
      </c>
      <c r="O68" s="698">
        <f t="shared" si="18"/>
        <v>43040</v>
      </c>
      <c r="P68" s="2952"/>
      <c r="Q68" s="2952"/>
      <c r="R68" s="2952"/>
      <c r="S68" s="2952"/>
      <c r="T68" s="2952"/>
      <c r="U68" s="2952"/>
      <c r="V68" s="2952"/>
      <c r="W68" s="2952"/>
      <c r="X68" s="2952"/>
      <c r="Y68" s="2952"/>
      <c r="Z68" s="2952"/>
      <c r="AA68" s="2952"/>
      <c r="AB68" s="2952"/>
      <c r="AC68" s="2952"/>
    </row>
    <row r="69" spans="1:29" ht="21.75" thickBot="1">
      <c r="A69" s="700" t="s">
        <v>2494</v>
      </c>
      <c r="B69" s="696"/>
      <c r="C69" s="701"/>
      <c r="D69" s="701"/>
      <c r="E69" s="701"/>
      <c r="F69" s="702"/>
      <c r="G69" s="702"/>
      <c r="H69" s="701"/>
      <c r="I69" s="701"/>
      <c r="J69" s="1068"/>
      <c r="K69" s="1069"/>
      <c r="L69" s="1070"/>
      <c r="M69" s="1068"/>
      <c r="N69" s="2996"/>
      <c r="O69" s="2996"/>
      <c r="P69" s="2996"/>
      <c r="Q69" s="2966"/>
      <c r="R69" s="2952"/>
      <c r="S69" s="2952"/>
      <c r="T69" s="2952"/>
      <c r="U69" s="2952"/>
      <c r="V69" s="2952"/>
      <c r="W69" s="2952"/>
      <c r="X69" s="2952"/>
      <c r="Y69" s="2952"/>
      <c r="Z69" s="2952"/>
      <c r="AA69" s="2952"/>
      <c r="AB69" s="2952"/>
      <c r="AC69" s="2952"/>
    </row>
    <row r="70" spans="1:29" s="463" customFormat="1" ht="15">
      <c r="A70" s="2173" t="s">
        <v>2602</v>
      </c>
      <c r="B70" s="1266"/>
      <c r="C70" s="1341" t="str">
        <f>YEAR(C68)&amp;"-"&amp;ROUNDUP(MONTH(C68)/3,0)</f>
        <v>2020-4</v>
      </c>
      <c r="D70" s="1341" t="str">
        <f>YEAR(D68)&amp;"-"&amp;ROUNDUP(MONTH(D68)/3,0)</f>
        <v>2020-3</v>
      </c>
      <c r="E70" s="1341" t="str">
        <f t="shared" ref="E70:O70" si="19">YEAR(E68)&amp;"-"&amp;ROUNDUP(MONTH(E68)/3,0)</f>
        <v>2020-2</v>
      </c>
      <c r="F70" s="1341" t="str">
        <f t="shared" si="19"/>
        <v>2020-1</v>
      </c>
      <c r="G70" s="1341" t="str">
        <f t="shared" si="19"/>
        <v>2019-4</v>
      </c>
      <c r="H70" s="1341" t="str">
        <f t="shared" si="19"/>
        <v>2019-3</v>
      </c>
      <c r="I70" s="1341" t="str">
        <f t="shared" si="19"/>
        <v>2019-2</v>
      </c>
      <c r="J70" s="1341" t="str">
        <f t="shared" si="19"/>
        <v>2019-1</v>
      </c>
      <c r="K70" s="1341" t="str">
        <f t="shared" si="19"/>
        <v>2018-4</v>
      </c>
      <c r="L70" s="1341" t="str">
        <f t="shared" si="19"/>
        <v>2018-3</v>
      </c>
      <c r="M70" s="1341" t="str">
        <f t="shared" si="19"/>
        <v>2018-2</v>
      </c>
      <c r="N70" s="1341" t="str">
        <f t="shared" si="19"/>
        <v>2018-1</v>
      </c>
      <c r="O70" s="1341" t="str">
        <f t="shared" si="19"/>
        <v>2017-4</v>
      </c>
      <c r="P70" s="3003"/>
      <c r="Q70" s="2968"/>
      <c r="R70" s="2968"/>
      <c r="S70" s="2968"/>
      <c r="T70" s="2968"/>
      <c r="U70" s="2968"/>
      <c r="V70" s="2968"/>
      <c r="W70" s="2968"/>
      <c r="X70" s="2968"/>
      <c r="Y70" s="2968"/>
      <c r="Z70" s="2968"/>
      <c r="AA70" s="2968"/>
      <c r="AB70" s="2968"/>
      <c r="AC70" s="2968"/>
    </row>
    <row r="71" spans="1:29" s="113" customFormat="1" ht="30" customHeight="1">
      <c r="A71" s="2174" t="s">
        <v>2603</v>
      </c>
      <c r="B71" s="292" t="str">
        <f>"北京市平均增长率"&amp;TEXT(SUMIF(基准地价修正!N21:N25,A71,基准地价修正!P21:P25),"0.00%")</f>
        <v>北京市平均增长率1.92%</v>
      </c>
      <c r="C71" s="558">
        <v>100</v>
      </c>
      <c r="D71" s="550"/>
      <c r="E71" s="550"/>
      <c r="F71" s="550"/>
      <c r="G71" s="550"/>
      <c r="H71" s="550"/>
      <c r="I71" s="550"/>
      <c r="J71" s="550"/>
      <c r="K71" s="550"/>
      <c r="L71" s="550"/>
      <c r="M71" s="1337"/>
      <c r="N71" s="550"/>
      <c r="O71" s="1338"/>
      <c r="P71" s="2966"/>
      <c r="Q71" s="2886"/>
      <c r="R71" s="2886"/>
      <c r="S71" s="2886"/>
      <c r="T71" s="2886"/>
      <c r="U71" s="2886"/>
      <c r="V71" s="2886"/>
      <c r="W71" s="2886"/>
      <c r="X71" s="2886"/>
      <c r="Y71" s="2886"/>
      <c r="Z71" s="2886"/>
      <c r="AA71" s="2886"/>
      <c r="AB71" s="2886"/>
      <c r="AC71" s="2886"/>
    </row>
    <row r="72" spans="1:29" s="113" customFormat="1" ht="15.75" thickBot="1">
      <c r="A72" s="470" t="s">
        <v>2405</v>
      </c>
      <c r="B72" s="471"/>
      <c r="C72" s="472"/>
      <c r="D72" s="473"/>
      <c r="E72" s="473"/>
      <c r="F72" s="473"/>
      <c r="G72" s="473"/>
      <c r="H72" s="473"/>
      <c r="I72" s="473"/>
      <c r="J72" s="473"/>
      <c r="K72" s="473"/>
      <c r="L72" s="473"/>
      <c r="M72" s="474"/>
      <c r="N72" s="473"/>
      <c r="O72" s="1071"/>
      <c r="P72" s="2966"/>
      <c r="Q72" s="2966"/>
      <c r="R72" s="2886"/>
      <c r="S72" s="2886"/>
      <c r="T72" s="2886"/>
      <c r="U72" s="2886"/>
      <c r="V72" s="2886"/>
      <c r="W72" s="2886"/>
      <c r="X72" s="2886"/>
      <c r="Y72" s="2886"/>
      <c r="Z72" s="2886"/>
      <c r="AA72" s="2886"/>
      <c r="AB72" s="2886"/>
      <c r="AC72" s="2886"/>
    </row>
    <row r="73" spans="1:29" s="113" customFormat="1" ht="15">
      <c r="A73" s="476" t="s">
        <v>2370</v>
      </c>
      <c r="B73" s="465"/>
      <c r="C73" s="477" t="s">
        <v>2472</v>
      </c>
      <c r="D73" s="478"/>
      <c r="E73" s="478"/>
      <c r="F73" s="478"/>
      <c r="G73" s="478"/>
      <c r="H73" s="478"/>
      <c r="I73" s="478"/>
      <c r="J73" s="478"/>
      <c r="K73" s="478"/>
      <c r="L73" s="479"/>
      <c r="M73" s="480"/>
      <c r="N73" s="2979"/>
      <c r="O73" s="2979"/>
      <c r="P73" s="3004"/>
      <c r="Q73" s="2966"/>
      <c r="R73" s="2886"/>
      <c r="S73" s="2886"/>
      <c r="T73" s="2886"/>
      <c r="U73" s="2886"/>
      <c r="V73" s="2886"/>
      <c r="W73" s="2886"/>
      <c r="X73" s="2886"/>
      <c r="Y73" s="2886"/>
      <c r="Z73" s="2886"/>
      <c r="AA73" s="2886"/>
      <c r="AB73" s="2886"/>
      <c r="AC73" s="2886"/>
    </row>
    <row r="74" spans="1:29" s="113" customFormat="1" ht="15.75" thickBot="1">
      <c r="A74" s="476"/>
      <c r="B74" s="465"/>
      <c r="C74" s="593">
        <v>100</v>
      </c>
      <c r="D74" s="467"/>
      <c r="E74" s="467"/>
      <c r="F74" s="467"/>
      <c r="G74" s="467"/>
      <c r="H74" s="467"/>
      <c r="I74" s="467"/>
      <c r="J74" s="467"/>
      <c r="K74" s="467"/>
      <c r="L74" s="467"/>
      <c r="M74" s="469"/>
      <c r="N74" s="2979"/>
      <c r="O74" s="2979"/>
      <c r="P74" s="2966"/>
      <c r="Q74" s="2966"/>
      <c r="R74" s="2886"/>
      <c r="S74" s="2886"/>
      <c r="T74" s="2886"/>
      <c r="U74" s="2886"/>
      <c r="V74" s="2886"/>
      <c r="W74" s="2886"/>
      <c r="X74" s="2886"/>
      <c r="Y74" s="2886"/>
      <c r="Z74" s="2886"/>
      <c r="AA74" s="2886"/>
      <c r="AB74" s="2886"/>
      <c r="AC74" s="2886"/>
    </row>
    <row r="75" spans="1:29">
      <c r="A75" s="482" t="s">
        <v>2408</v>
      </c>
      <c r="B75" s="483" t="s">
        <v>2374</v>
      </c>
      <c r="C75" s="485"/>
      <c r="D75" s="485"/>
      <c r="E75" s="485"/>
      <c r="F75" s="485"/>
      <c r="G75" s="485"/>
      <c r="H75" s="485"/>
      <c r="I75" s="485"/>
      <c r="J75" s="485"/>
      <c r="K75" s="486"/>
      <c r="L75" s="487"/>
      <c r="M75" s="488"/>
      <c r="N75" s="2980"/>
      <c r="O75" s="2980"/>
      <c r="P75" s="3005"/>
      <c r="Q75" s="2966"/>
      <c r="R75" s="2952"/>
      <c r="S75" s="2952"/>
      <c r="T75" s="2952"/>
      <c r="U75" s="2952"/>
      <c r="V75" s="2952"/>
      <c r="W75" s="2952"/>
      <c r="X75" s="2952"/>
      <c r="Y75" s="2952"/>
      <c r="Z75" s="2952"/>
      <c r="AA75" s="2952"/>
      <c r="AB75" s="2952"/>
      <c r="AC75" s="2952"/>
    </row>
    <row r="76" spans="1:29" ht="15.75" thickBot="1">
      <c r="A76" s="489"/>
      <c r="B76" s="490"/>
      <c r="C76" s="491"/>
      <c r="D76" s="491"/>
      <c r="E76" s="491"/>
      <c r="F76" s="491"/>
      <c r="G76" s="491"/>
      <c r="H76" s="491"/>
      <c r="I76" s="491"/>
      <c r="J76" s="491"/>
      <c r="K76" s="491"/>
      <c r="L76" s="491"/>
      <c r="M76" s="492"/>
      <c r="N76" s="2981"/>
      <c r="O76" s="2981"/>
      <c r="P76" s="3005"/>
      <c r="Q76" s="2966"/>
      <c r="R76" s="2952"/>
      <c r="S76" s="2952"/>
      <c r="T76" s="2952"/>
      <c r="U76" s="2952"/>
      <c r="V76" s="2952"/>
      <c r="W76" s="2952"/>
      <c r="X76" s="2952"/>
      <c r="Y76" s="2952"/>
      <c r="Z76" s="2952"/>
      <c r="AA76" s="2952"/>
      <c r="AB76" s="2952"/>
      <c r="AC76" s="2952"/>
    </row>
    <row r="77" spans="1:29" ht="27.75" thickTop="1">
      <c r="A77" s="489"/>
      <c r="B77" s="493" t="s">
        <v>2377</v>
      </c>
      <c r="C77" s="494"/>
      <c r="D77" s="494"/>
      <c r="E77" s="494"/>
      <c r="F77" s="494"/>
      <c r="G77" s="494"/>
      <c r="H77" s="494"/>
      <c r="I77" s="494"/>
      <c r="J77" s="494"/>
      <c r="K77" s="495"/>
      <c r="L77" s="496"/>
      <c r="M77" s="497"/>
      <c r="N77" s="2980"/>
      <c r="O77" s="2980"/>
      <c r="P77" s="3005"/>
      <c r="Q77" s="2966"/>
      <c r="R77" s="2952"/>
      <c r="S77" s="2952"/>
      <c r="T77" s="2952"/>
      <c r="U77" s="2952"/>
      <c r="V77" s="2952"/>
      <c r="W77" s="2952"/>
      <c r="X77" s="2952"/>
      <c r="Y77" s="2952"/>
      <c r="Z77" s="2952"/>
      <c r="AA77" s="2952"/>
      <c r="AB77" s="2952"/>
      <c r="AC77" s="2952"/>
    </row>
    <row r="78" spans="1:29" ht="15.75" thickBot="1">
      <c r="A78" s="489"/>
      <c r="B78" s="498"/>
      <c r="C78" s="499"/>
      <c r="D78" s="499"/>
      <c r="E78" s="499"/>
      <c r="F78" s="499"/>
      <c r="G78" s="499"/>
      <c r="H78" s="499"/>
      <c r="I78" s="499"/>
      <c r="J78" s="499"/>
      <c r="K78" s="499"/>
      <c r="L78" s="499"/>
      <c r="M78" s="500"/>
      <c r="N78" s="2981"/>
      <c r="O78" s="2981"/>
      <c r="P78" s="3005"/>
      <c r="Q78" s="2966"/>
      <c r="R78" s="2952"/>
      <c r="S78" s="2952"/>
      <c r="T78" s="2952"/>
      <c r="U78" s="2952"/>
      <c r="V78" s="2952"/>
      <c r="W78" s="2952"/>
      <c r="X78" s="2952"/>
      <c r="Y78" s="2952"/>
      <c r="Z78" s="2952"/>
      <c r="AA78" s="2952"/>
      <c r="AB78" s="2952"/>
      <c r="AC78" s="2952"/>
    </row>
    <row r="79" spans="1:29" ht="15.75" thickTop="1">
      <c r="A79" s="489"/>
      <c r="B79" s="501" t="s">
        <v>2378</v>
      </c>
      <c r="C79" s="502" t="str">
        <f>C80&amp;"（含）"&amp;"-"&amp;D80</f>
        <v>（含）-</v>
      </c>
      <c r="D79" s="502" t="str">
        <f t="shared" ref="D79:L79" si="20">D80&amp;"（含）"&amp;"-"&amp;E80</f>
        <v>（含）-</v>
      </c>
      <c r="E79" s="502" t="str">
        <f t="shared" si="20"/>
        <v>（含）-</v>
      </c>
      <c r="F79" s="502" t="str">
        <f t="shared" si="20"/>
        <v>（含）-</v>
      </c>
      <c r="G79" s="502" t="str">
        <f t="shared" si="20"/>
        <v>（含）-</v>
      </c>
      <c r="H79" s="502" t="str">
        <f t="shared" si="20"/>
        <v>（含）-</v>
      </c>
      <c r="I79" s="502" t="str">
        <f t="shared" si="20"/>
        <v>（含）-</v>
      </c>
      <c r="J79" s="502" t="str">
        <f t="shared" si="20"/>
        <v>（含）-</v>
      </c>
      <c r="K79" s="502" t="str">
        <f t="shared" si="20"/>
        <v>（含）-</v>
      </c>
      <c r="L79" s="502" t="str">
        <f t="shared" si="20"/>
        <v>（含）-</v>
      </c>
      <c r="M79" s="405"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89"/>
      <c r="B80" s="503"/>
      <c r="C80" s="504"/>
      <c r="D80" s="504"/>
      <c r="E80" s="504"/>
      <c r="F80" s="504"/>
      <c r="G80" s="504"/>
      <c r="H80" s="504"/>
      <c r="I80" s="504"/>
      <c r="J80" s="504"/>
      <c r="K80" s="505"/>
      <c r="L80" s="506"/>
      <c r="M80" s="507"/>
      <c r="N80" s="2980"/>
      <c r="O80" s="2980"/>
      <c r="P80" s="3005"/>
      <c r="Q80" s="2966"/>
      <c r="R80" s="2952"/>
      <c r="S80" s="2952"/>
      <c r="T80" s="2952"/>
      <c r="U80" s="2952"/>
      <c r="V80" s="2952"/>
      <c r="W80" s="2952"/>
      <c r="X80" s="2952"/>
      <c r="Y80" s="2952"/>
      <c r="Z80" s="2952"/>
      <c r="AA80" s="2952"/>
      <c r="AB80" s="2952"/>
      <c r="AC80" s="2952"/>
    </row>
    <row r="81" spans="1:29" ht="15.75" thickBot="1">
      <c r="A81" s="489"/>
      <c r="B81" s="490"/>
      <c r="C81" s="499">
        <v>100</v>
      </c>
      <c r="D81" s="499">
        <f t="shared" ref="D81:M81" si="21">IF($B$46="单位面积地价",C81+$K11,C81-$K11)</f>
        <v>100</v>
      </c>
      <c r="E81" s="499">
        <f t="shared" si="21"/>
        <v>100</v>
      </c>
      <c r="F81" s="499">
        <f t="shared" si="21"/>
        <v>100</v>
      </c>
      <c r="G81" s="499">
        <f t="shared" si="21"/>
        <v>100</v>
      </c>
      <c r="H81" s="499">
        <f t="shared" si="21"/>
        <v>100</v>
      </c>
      <c r="I81" s="499">
        <f t="shared" si="21"/>
        <v>100</v>
      </c>
      <c r="J81" s="499">
        <f t="shared" si="21"/>
        <v>100</v>
      </c>
      <c r="K81" s="499">
        <f t="shared" si="21"/>
        <v>100</v>
      </c>
      <c r="L81" s="499">
        <f t="shared" si="21"/>
        <v>100</v>
      </c>
      <c r="M81" s="499">
        <f t="shared" si="21"/>
        <v>100</v>
      </c>
      <c r="N81" s="2981"/>
      <c r="O81" s="2981"/>
      <c r="P81" s="3005"/>
      <c r="Q81" s="2966"/>
      <c r="R81" s="2952"/>
      <c r="S81" s="2952"/>
      <c r="T81" s="2952"/>
      <c r="U81" s="2952"/>
      <c r="V81" s="2952"/>
      <c r="W81" s="2952"/>
      <c r="X81" s="2952"/>
      <c r="Y81" s="2952"/>
      <c r="Z81" s="2952"/>
      <c r="AA81" s="2952"/>
      <c r="AB81" s="2952"/>
      <c r="AC81" s="2952"/>
    </row>
    <row r="82" spans="1:29" s="428" customFormat="1" ht="15.75" thickTop="1">
      <c r="A82" s="508"/>
      <c r="B82" s="493" t="str">
        <f>B12</f>
        <v>配建</v>
      </c>
      <c r="C82" s="509"/>
      <c r="D82" s="509"/>
      <c r="E82" s="509"/>
      <c r="F82" s="509"/>
      <c r="G82" s="509"/>
      <c r="H82" s="510"/>
      <c r="I82" s="510"/>
      <c r="J82" s="510"/>
      <c r="K82" s="510"/>
      <c r="L82" s="511"/>
      <c r="M82" s="512"/>
      <c r="N82" s="2982"/>
      <c r="O82" s="2982"/>
      <c r="P82" s="3006"/>
      <c r="Q82" s="2973"/>
      <c r="R82" s="2974"/>
      <c r="S82" s="2974"/>
      <c r="T82" s="2974"/>
      <c r="U82" s="2974"/>
      <c r="V82" s="2974"/>
      <c r="W82" s="2974"/>
      <c r="X82" s="2974"/>
      <c r="Y82" s="2974"/>
      <c r="Z82" s="2974"/>
      <c r="AA82" s="2974"/>
      <c r="AB82" s="2974"/>
      <c r="AC82" s="2974"/>
    </row>
    <row r="83" spans="1:29" s="428" customFormat="1" ht="15.75" thickBot="1">
      <c r="A83" s="508"/>
      <c r="B83" s="498"/>
      <c r="C83" s="515"/>
      <c r="D83" s="491"/>
      <c r="E83" s="491"/>
      <c r="F83" s="491"/>
      <c r="G83" s="491"/>
      <c r="H83" s="491"/>
      <c r="I83" s="491"/>
      <c r="J83" s="491"/>
      <c r="K83" s="491"/>
      <c r="L83" s="491"/>
      <c r="M83" s="492"/>
      <c r="N83" s="2981"/>
      <c r="O83" s="2981"/>
      <c r="P83" s="3006"/>
      <c r="Q83" s="2973"/>
      <c r="R83" s="2974"/>
      <c r="S83" s="2974"/>
      <c r="T83" s="2974"/>
      <c r="U83" s="2974"/>
      <c r="V83" s="2974"/>
      <c r="W83" s="2974"/>
      <c r="X83" s="2974"/>
      <c r="Y83" s="2974"/>
      <c r="Z83" s="2974"/>
      <c r="AA83" s="2974"/>
      <c r="AB83" s="2974"/>
      <c r="AC83" s="2974"/>
    </row>
    <row r="84" spans="1:29" s="428" customFormat="1" ht="15.75" thickTop="1">
      <c r="A84" s="508"/>
      <c r="B84" s="493">
        <f>B13</f>
        <v>111</v>
      </c>
      <c r="C84" s="509"/>
      <c r="D84" s="509"/>
      <c r="E84" s="509"/>
      <c r="F84" s="509"/>
      <c r="G84" s="509"/>
      <c r="H84" s="510"/>
      <c r="I84" s="510"/>
      <c r="J84" s="510"/>
      <c r="K84" s="510"/>
      <c r="L84" s="511"/>
      <c r="M84" s="512"/>
      <c r="N84" s="2982"/>
      <c r="O84" s="2982"/>
      <c r="P84" s="2950"/>
      <c r="Q84" s="2976"/>
      <c r="R84" s="2974"/>
      <c r="S84" s="2974"/>
      <c r="T84" s="2974"/>
      <c r="U84" s="2974"/>
      <c r="V84" s="2974"/>
      <c r="W84" s="2974"/>
      <c r="X84" s="2974"/>
      <c r="Y84" s="2974"/>
      <c r="Z84" s="2974"/>
      <c r="AA84" s="2974"/>
      <c r="AB84" s="2974"/>
      <c r="AC84" s="2974"/>
    </row>
    <row r="85" spans="1:29" s="428" customFormat="1" ht="15.75" thickBot="1">
      <c r="A85" s="508"/>
      <c r="B85" s="498"/>
      <c r="C85" s="515"/>
      <c r="D85" s="515"/>
      <c r="E85" s="515"/>
      <c r="F85" s="515"/>
      <c r="G85" s="515"/>
      <c r="H85" s="517"/>
      <c r="I85" s="517"/>
      <c r="J85" s="517"/>
      <c r="K85" s="517"/>
      <c r="L85" s="517"/>
      <c r="M85" s="518"/>
      <c r="N85" s="2982"/>
      <c r="O85" s="2982"/>
      <c r="P85" s="3006"/>
      <c r="Q85" s="2973"/>
      <c r="R85" s="2974"/>
      <c r="S85" s="2974"/>
      <c r="T85" s="2974"/>
      <c r="U85" s="2974"/>
      <c r="V85" s="2974"/>
      <c r="W85" s="2974"/>
      <c r="X85" s="2974"/>
      <c r="Y85" s="2974"/>
      <c r="Z85" s="2974"/>
      <c r="AA85" s="2974"/>
      <c r="AB85" s="2974"/>
      <c r="AC85" s="2974"/>
    </row>
    <row r="86" spans="1:29" s="428" customFormat="1" ht="15.75" thickTop="1">
      <c r="A86" s="508"/>
      <c r="B86" s="501">
        <f>B14</f>
        <v>111</v>
      </c>
      <c r="C86" s="478"/>
      <c r="D86" s="478"/>
      <c r="E86" s="478"/>
      <c r="F86" s="478"/>
      <c r="G86" s="478"/>
      <c r="H86" s="519"/>
      <c r="I86" s="519"/>
      <c r="J86" s="519"/>
      <c r="K86" s="519"/>
      <c r="L86" s="520"/>
      <c r="M86" s="521"/>
      <c r="N86" s="2982"/>
      <c r="O86" s="2982"/>
      <c r="P86" s="3011"/>
      <c r="Q86" s="2973"/>
      <c r="R86" s="2974"/>
      <c r="S86" s="2974"/>
      <c r="T86" s="2974"/>
      <c r="U86" s="2974"/>
      <c r="V86" s="2974"/>
      <c r="W86" s="2974"/>
      <c r="X86" s="2974"/>
      <c r="Y86" s="2974"/>
      <c r="Z86" s="2974"/>
      <c r="AA86" s="2974"/>
      <c r="AB86" s="2974"/>
      <c r="AC86" s="2974"/>
    </row>
    <row r="87" spans="1:29" s="428" customFormat="1" ht="15.75" thickBot="1">
      <c r="A87" s="523"/>
      <c r="B87" s="524"/>
      <c r="C87" s="525"/>
      <c r="D87" s="525"/>
      <c r="E87" s="525"/>
      <c r="F87" s="525"/>
      <c r="G87" s="525"/>
      <c r="H87" s="526"/>
      <c r="I87" s="526"/>
      <c r="J87" s="526"/>
      <c r="K87" s="526"/>
      <c r="L87" s="526"/>
      <c r="M87" s="527"/>
      <c r="N87" s="2982"/>
      <c r="O87" s="2982"/>
      <c r="P87" s="3006"/>
      <c r="Q87" s="2973"/>
      <c r="R87" s="2974"/>
      <c r="S87" s="2974"/>
      <c r="T87" s="2974"/>
      <c r="U87" s="2974"/>
      <c r="V87" s="2974"/>
      <c r="W87" s="2974"/>
      <c r="X87" s="2974"/>
      <c r="Y87" s="2974"/>
      <c r="Z87" s="2974"/>
      <c r="AA87" s="2974"/>
      <c r="AB87" s="2974"/>
      <c r="AC87" s="2974"/>
    </row>
    <row r="88" spans="1:29">
      <c r="A88" s="482" t="s">
        <v>2379</v>
      </c>
      <c r="B88" s="483" t="s">
        <v>2416</v>
      </c>
      <c r="C88" s="528" t="s">
        <v>2417</v>
      </c>
      <c r="D88" s="528" t="s">
        <v>2418</v>
      </c>
      <c r="E88" s="528" t="s">
        <v>2419</v>
      </c>
      <c r="F88" s="528" t="s">
        <v>2420</v>
      </c>
      <c r="G88" s="528" t="s">
        <v>2421</v>
      </c>
      <c r="H88" s="484"/>
      <c r="I88" s="484"/>
      <c r="J88" s="484"/>
      <c r="K88" s="529"/>
      <c r="L88" s="530"/>
      <c r="M88" s="531"/>
      <c r="N88" s="2980"/>
      <c r="O88" s="2980"/>
      <c r="P88" s="3007"/>
      <c r="Q88" s="2966"/>
      <c r="R88" s="2952"/>
      <c r="S88" s="2952"/>
      <c r="T88" s="2952"/>
      <c r="U88" s="2952"/>
      <c r="V88" s="2952"/>
      <c r="W88" s="2952"/>
      <c r="X88" s="2952"/>
      <c r="Y88" s="2952"/>
      <c r="Z88" s="2952"/>
      <c r="AA88" s="2952"/>
      <c r="AB88" s="2952"/>
      <c r="AC88" s="2952"/>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81"/>
      <c r="O89" s="2981"/>
      <c r="P89" s="3005"/>
      <c r="Q89" s="2966"/>
      <c r="R89" s="2952"/>
      <c r="S89" s="2952"/>
      <c r="T89" s="2952"/>
      <c r="U89" s="2952"/>
      <c r="V89" s="2952"/>
      <c r="W89" s="2952"/>
      <c r="X89" s="2952"/>
      <c r="Y89" s="2952"/>
      <c r="Z89" s="2952"/>
      <c r="AA89" s="2952"/>
      <c r="AB89" s="2952"/>
      <c r="AC89" s="2952"/>
    </row>
    <row r="90" spans="1:29" ht="15.75" thickTop="1">
      <c r="A90" s="489"/>
      <c r="B90" s="493" t="s">
        <v>2604</v>
      </c>
      <c r="C90" s="533" t="s">
        <v>2417</v>
      </c>
      <c r="D90" s="533" t="s">
        <v>2418</v>
      </c>
      <c r="E90" s="533" t="s">
        <v>2419</v>
      </c>
      <c r="F90" s="533" t="s">
        <v>2420</v>
      </c>
      <c r="G90" s="533" t="s">
        <v>2421</v>
      </c>
      <c r="H90" s="494"/>
      <c r="I90" s="494"/>
      <c r="J90" s="494"/>
      <c r="K90" s="495"/>
      <c r="L90" s="496"/>
      <c r="M90" s="497"/>
      <c r="N90" s="2980"/>
      <c r="O90" s="2980"/>
      <c r="P90" s="3005"/>
      <c r="Q90" s="2966"/>
      <c r="R90" s="2952"/>
      <c r="S90" s="2952"/>
      <c r="T90" s="2952"/>
      <c r="U90" s="2952"/>
      <c r="V90" s="2952"/>
      <c r="W90" s="2952"/>
      <c r="X90" s="2952"/>
      <c r="Y90" s="2952"/>
      <c r="Z90" s="2952"/>
      <c r="AA90" s="2952"/>
      <c r="AB90" s="2952"/>
      <c r="AC90" s="2952"/>
    </row>
    <row r="91" spans="1:29" ht="15.75" thickBot="1">
      <c r="A91" s="489"/>
      <c r="B91" s="498"/>
      <c r="C91" s="499">
        <v>100</v>
      </c>
      <c r="D91" s="499">
        <f>C91-$K17</f>
        <v>100</v>
      </c>
      <c r="E91" s="499">
        <f>D91-$K17</f>
        <v>100</v>
      </c>
      <c r="F91" s="499">
        <f>E91-$K17</f>
        <v>100</v>
      </c>
      <c r="G91" s="499">
        <f>F91-$K17</f>
        <v>100</v>
      </c>
      <c r="H91" s="499"/>
      <c r="I91" s="499"/>
      <c r="J91" s="499"/>
      <c r="K91" s="499"/>
      <c r="L91" s="499"/>
      <c r="M91" s="500"/>
      <c r="N91" s="2981"/>
      <c r="O91" s="2981"/>
      <c r="P91" s="3005"/>
      <c r="Q91" s="2966"/>
      <c r="R91" s="2952"/>
      <c r="S91" s="2952"/>
      <c r="T91" s="2952"/>
      <c r="U91" s="2952"/>
      <c r="V91" s="2952"/>
      <c r="W91" s="2952"/>
      <c r="X91" s="2952"/>
      <c r="Y91" s="2952"/>
      <c r="Z91" s="2952"/>
      <c r="AA91" s="2952"/>
      <c r="AB91" s="2952"/>
      <c r="AC91" s="2952"/>
    </row>
    <row r="92" spans="1:29" ht="15.75" thickTop="1">
      <c r="A92" s="489"/>
      <c r="B92" s="493" t="s">
        <v>2517</v>
      </c>
      <c r="C92" s="533" t="s">
        <v>2417</v>
      </c>
      <c r="D92" s="533" t="s">
        <v>2418</v>
      </c>
      <c r="E92" s="533" t="s">
        <v>2419</v>
      </c>
      <c r="F92" s="533" t="s">
        <v>2420</v>
      </c>
      <c r="G92" s="533" t="s">
        <v>2421</v>
      </c>
      <c r="H92" s="494"/>
      <c r="I92" s="494"/>
      <c r="J92" s="494"/>
      <c r="K92" s="495"/>
      <c r="L92" s="496"/>
      <c r="M92" s="497"/>
      <c r="N92" s="2980"/>
      <c r="O92" s="2980"/>
      <c r="P92" s="3005"/>
      <c r="Q92" s="2966"/>
      <c r="R92" s="2952"/>
      <c r="S92" s="2952"/>
      <c r="T92" s="2952"/>
      <c r="U92" s="2952"/>
      <c r="V92" s="2952"/>
      <c r="W92" s="2952"/>
      <c r="X92" s="2952"/>
      <c r="Y92" s="2952"/>
      <c r="Z92" s="2952"/>
      <c r="AA92" s="2952"/>
      <c r="AB92" s="2952"/>
      <c r="AC92" s="2952"/>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81"/>
      <c r="O93" s="2981"/>
      <c r="P93" s="3005"/>
      <c r="Q93" s="2966"/>
      <c r="R93" s="2952"/>
      <c r="S93" s="2952"/>
      <c r="T93" s="2952"/>
      <c r="U93" s="2952"/>
      <c r="V93" s="2952"/>
      <c r="W93" s="2952"/>
      <c r="X93" s="2952"/>
      <c r="Y93" s="2952"/>
      <c r="Z93" s="2952"/>
      <c r="AA93" s="2952"/>
      <c r="AB93" s="2952"/>
      <c r="AC93" s="2952"/>
    </row>
    <row r="94" spans="1:29" ht="15.75" thickTop="1">
      <c r="A94" s="489"/>
      <c r="B94" s="493" t="s">
        <v>2422</v>
      </c>
      <c r="C94" s="533" t="s">
        <v>2417</v>
      </c>
      <c r="D94" s="533" t="s">
        <v>2418</v>
      </c>
      <c r="E94" s="533" t="s">
        <v>2419</v>
      </c>
      <c r="F94" s="533" t="s">
        <v>2420</v>
      </c>
      <c r="G94" s="533" t="s">
        <v>2421</v>
      </c>
      <c r="H94" s="494"/>
      <c r="I94" s="494"/>
      <c r="J94" s="494"/>
      <c r="K94" s="495"/>
      <c r="L94" s="496"/>
      <c r="M94" s="497"/>
      <c r="N94" s="2980"/>
      <c r="O94" s="2980"/>
      <c r="P94" s="3005"/>
      <c r="Q94" s="2966"/>
      <c r="R94" s="2952"/>
      <c r="S94" s="2952"/>
      <c r="T94" s="2952"/>
      <c r="U94" s="2952"/>
      <c r="V94" s="2952"/>
      <c r="W94" s="2952"/>
      <c r="X94" s="2952"/>
      <c r="Y94" s="2952"/>
      <c r="Z94" s="2952"/>
      <c r="AA94" s="2952"/>
      <c r="AB94" s="2952"/>
      <c r="AC94" s="2952"/>
    </row>
    <row r="95" spans="1:29" ht="15.75" thickBot="1">
      <c r="A95" s="489"/>
      <c r="B95" s="498"/>
      <c r="C95" s="499">
        <v>100</v>
      </c>
      <c r="D95" s="499">
        <f>C95-$K21</f>
        <v>100</v>
      </c>
      <c r="E95" s="499">
        <f>D95-$K21</f>
        <v>100</v>
      </c>
      <c r="F95" s="499">
        <f>E95-$K21</f>
        <v>100</v>
      </c>
      <c r="G95" s="499">
        <f>F95-$K21</f>
        <v>100</v>
      </c>
      <c r="H95" s="499"/>
      <c r="I95" s="499"/>
      <c r="J95" s="499"/>
      <c r="K95" s="499"/>
      <c r="L95" s="499"/>
      <c r="M95" s="500"/>
      <c r="N95" s="2981"/>
      <c r="O95" s="2981"/>
      <c r="P95" s="3005"/>
      <c r="Q95" s="2966"/>
      <c r="R95" s="2952"/>
      <c r="S95" s="2952"/>
      <c r="T95" s="2952"/>
      <c r="U95" s="2952"/>
      <c r="V95" s="2952"/>
      <c r="W95" s="2952"/>
      <c r="X95" s="2952"/>
      <c r="Y95" s="2952"/>
      <c r="Z95" s="2952"/>
      <c r="AA95" s="2952"/>
      <c r="AB95" s="2952"/>
      <c r="AC95" s="2952"/>
    </row>
    <row r="96" spans="1:29" s="113" customFormat="1" ht="15.75" thickTop="1">
      <c r="A96" s="534"/>
      <c r="B96" s="493" t="s">
        <v>2605</v>
      </c>
      <c r="C96" s="533" t="s">
        <v>2417</v>
      </c>
      <c r="D96" s="533" t="s">
        <v>2418</v>
      </c>
      <c r="E96" s="533" t="s">
        <v>2419</v>
      </c>
      <c r="F96" s="533" t="s">
        <v>2420</v>
      </c>
      <c r="G96" s="533" t="s">
        <v>2421</v>
      </c>
      <c r="H96" s="533"/>
      <c r="I96" s="533"/>
      <c r="J96" s="533"/>
      <c r="K96" s="533"/>
      <c r="L96" s="652"/>
      <c r="M96" s="576"/>
      <c r="N96" s="2979"/>
      <c r="O96" s="2979"/>
      <c r="P96" s="3005"/>
      <c r="Q96" s="2966"/>
      <c r="R96" s="2886"/>
      <c r="S96" s="2886"/>
      <c r="T96" s="2886"/>
      <c r="U96" s="2886"/>
      <c r="V96" s="2886"/>
      <c r="W96" s="2886"/>
      <c r="X96" s="2886"/>
      <c r="Y96" s="2886"/>
      <c r="Z96" s="2886"/>
      <c r="AA96" s="2886"/>
      <c r="AB96" s="2886"/>
      <c r="AC96" s="2886"/>
    </row>
    <row r="97" spans="1:29" s="113" customFormat="1" ht="15.75" thickBot="1">
      <c r="A97" s="534"/>
      <c r="B97" s="498"/>
      <c r="C97" s="537">
        <v>100</v>
      </c>
      <c r="D97" s="499">
        <f>C97-$K23</f>
        <v>100</v>
      </c>
      <c r="E97" s="499">
        <f>D97-$K23</f>
        <v>100</v>
      </c>
      <c r="F97" s="499">
        <f>E97-$K23</f>
        <v>100</v>
      </c>
      <c r="G97" s="499">
        <f>F97-$K23</f>
        <v>100</v>
      </c>
      <c r="H97" s="499"/>
      <c r="I97" s="499"/>
      <c r="J97" s="499"/>
      <c r="K97" s="499"/>
      <c r="L97" s="499"/>
      <c r="M97" s="500"/>
      <c r="N97" s="2981"/>
      <c r="O97" s="2981"/>
      <c r="P97" s="3005"/>
      <c r="Q97" s="2966"/>
      <c r="R97" s="2886"/>
      <c r="S97" s="2886"/>
      <c r="T97" s="2886"/>
      <c r="U97" s="2886"/>
      <c r="V97" s="2886"/>
      <c r="W97" s="2886"/>
      <c r="X97" s="2886"/>
      <c r="Y97" s="2886"/>
      <c r="Z97" s="2886"/>
      <c r="AA97" s="2886"/>
      <c r="AB97" s="2886"/>
      <c r="AC97" s="2886"/>
    </row>
    <row r="98" spans="1:29" s="113" customFormat="1" ht="27.75" thickTop="1">
      <c r="A98" s="534"/>
      <c r="B98" s="493" t="s">
        <v>2606</v>
      </c>
      <c r="C98" s="528" t="s">
        <v>2417</v>
      </c>
      <c r="D98" s="528" t="s">
        <v>2418</v>
      </c>
      <c r="E98" s="528" t="s">
        <v>2419</v>
      </c>
      <c r="F98" s="528" t="s">
        <v>2420</v>
      </c>
      <c r="G98" s="528" t="s">
        <v>2421</v>
      </c>
      <c r="H98" s="533"/>
      <c r="I98" s="533"/>
      <c r="J98" s="533"/>
      <c r="K98" s="533"/>
      <c r="L98" s="533"/>
      <c r="M98" s="576"/>
      <c r="N98" s="2979"/>
      <c r="O98" s="2979"/>
      <c r="P98" s="3005"/>
      <c r="Q98" s="2966"/>
      <c r="R98" s="2886"/>
      <c r="S98" s="2886"/>
      <c r="T98" s="2886"/>
      <c r="U98" s="2886"/>
      <c r="V98" s="2886"/>
      <c r="W98" s="2886"/>
      <c r="X98" s="2886"/>
      <c r="Y98" s="2886"/>
      <c r="Z98" s="2886"/>
      <c r="AA98" s="2886"/>
      <c r="AB98" s="2886"/>
      <c r="AC98" s="2886"/>
    </row>
    <row r="99" spans="1:29" s="113" customFormat="1" ht="15.75" thickBot="1">
      <c r="A99" s="534"/>
      <c r="B99" s="498"/>
      <c r="C99" s="499">
        <v>100</v>
      </c>
      <c r="D99" s="499">
        <f>C99-$K25</f>
        <v>100</v>
      </c>
      <c r="E99" s="499">
        <f>D99-$K25</f>
        <v>100</v>
      </c>
      <c r="F99" s="499">
        <f>E99-$K25</f>
        <v>100</v>
      </c>
      <c r="G99" s="499">
        <f>F99-$K25</f>
        <v>100</v>
      </c>
      <c r="H99" s="499"/>
      <c r="I99" s="499"/>
      <c r="J99" s="499"/>
      <c r="K99" s="499"/>
      <c r="L99" s="499"/>
      <c r="M99" s="500"/>
      <c r="N99" s="2981"/>
      <c r="O99" s="2981"/>
      <c r="P99" s="3005"/>
      <c r="Q99" s="2966"/>
      <c r="R99" s="2886"/>
      <c r="S99" s="2886"/>
      <c r="T99" s="2886"/>
      <c r="U99" s="2886"/>
      <c r="V99" s="2886"/>
      <c r="W99" s="2886"/>
      <c r="X99" s="2886"/>
      <c r="Y99" s="2886"/>
      <c r="Z99" s="2886"/>
      <c r="AA99" s="2886"/>
      <c r="AB99" s="2886"/>
      <c r="AC99" s="2886"/>
    </row>
    <row r="100" spans="1:29" s="428" customFormat="1" ht="15.75" thickTop="1">
      <c r="A100" s="508"/>
      <c r="B100" s="493" t="s">
        <v>2474</v>
      </c>
      <c r="C100" s="528" t="s">
        <v>2417</v>
      </c>
      <c r="D100" s="528" t="s">
        <v>2418</v>
      </c>
      <c r="E100" s="528" t="s">
        <v>2419</v>
      </c>
      <c r="F100" s="528" t="s">
        <v>2420</v>
      </c>
      <c r="G100" s="528" t="s">
        <v>2421</v>
      </c>
      <c r="H100" s="555"/>
      <c r="I100" s="555"/>
      <c r="J100" s="555"/>
      <c r="K100" s="555"/>
      <c r="L100" s="556"/>
      <c r="M100" s="557"/>
      <c r="N100" s="2982"/>
      <c r="O100" s="2982"/>
      <c r="P100" s="3006"/>
      <c r="Q100" s="2973"/>
      <c r="R100" s="2974"/>
      <c r="S100" s="2974"/>
      <c r="T100" s="2974"/>
      <c r="U100" s="2974"/>
      <c r="V100" s="2974"/>
      <c r="W100" s="2974"/>
      <c r="X100" s="2974"/>
      <c r="Y100" s="2974"/>
      <c r="Z100" s="2974"/>
      <c r="AA100" s="2974"/>
      <c r="AB100" s="2974"/>
      <c r="AC100" s="2974"/>
    </row>
    <row r="101" spans="1:29" s="428" customFormat="1" ht="15.75" thickBot="1">
      <c r="A101" s="508"/>
      <c r="B101" s="498"/>
      <c r="C101" s="499">
        <v>100</v>
      </c>
      <c r="D101" s="499">
        <f>C101-$K27</f>
        <v>100</v>
      </c>
      <c r="E101" s="499">
        <f>D101-$K27</f>
        <v>100</v>
      </c>
      <c r="F101" s="499">
        <f>E101-$K27</f>
        <v>100</v>
      </c>
      <c r="G101" s="499">
        <f>F101-$K27</f>
        <v>100</v>
      </c>
      <c r="H101" s="562"/>
      <c r="I101" s="562"/>
      <c r="J101" s="562"/>
      <c r="K101" s="562"/>
      <c r="L101" s="562"/>
      <c r="M101" s="563"/>
      <c r="N101" s="2982"/>
      <c r="O101" s="2982"/>
      <c r="P101" s="3006"/>
      <c r="Q101" s="2973"/>
      <c r="R101" s="2974"/>
      <c r="S101" s="2974"/>
      <c r="T101" s="2974"/>
      <c r="U101" s="2974"/>
      <c r="V101" s="2974"/>
      <c r="W101" s="2974"/>
      <c r="X101" s="2974"/>
      <c r="Y101" s="2974"/>
      <c r="Z101" s="2974"/>
      <c r="AA101" s="2974"/>
      <c r="AB101" s="2974"/>
      <c r="AC101" s="2974"/>
    </row>
    <row r="102" spans="1:29" s="428" customFormat="1" ht="15.75" thickTop="1">
      <c r="A102" s="508"/>
      <c r="B102" s="501" t="s">
        <v>2475</v>
      </c>
      <c r="C102" s="614" t="s">
        <v>2495</v>
      </c>
      <c r="D102" s="614" t="s">
        <v>2496</v>
      </c>
      <c r="E102" s="614" t="s">
        <v>2497</v>
      </c>
      <c r="F102" s="614" t="s">
        <v>2498</v>
      </c>
      <c r="G102" s="614" t="s">
        <v>2499</v>
      </c>
      <c r="H102" s="555"/>
      <c r="I102" s="555"/>
      <c r="J102" s="555"/>
      <c r="K102" s="555"/>
      <c r="L102" s="555"/>
      <c r="M102" s="1291"/>
      <c r="N102" s="2982"/>
      <c r="O102" s="2982"/>
      <c r="P102" s="3006"/>
      <c r="Q102" s="2973"/>
      <c r="R102" s="2974"/>
      <c r="S102" s="2974"/>
      <c r="T102" s="2974"/>
      <c r="U102" s="2974"/>
      <c r="V102" s="2974"/>
      <c r="W102" s="2974"/>
      <c r="X102" s="2974"/>
      <c r="Y102" s="2974"/>
      <c r="Z102" s="2974"/>
      <c r="AA102" s="2974"/>
      <c r="AB102" s="2974"/>
      <c r="AC102" s="2974"/>
    </row>
    <row r="103" spans="1:29" s="428" customFormat="1" ht="15.75" thickBot="1">
      <c r="A103" s="508"/>
      <c r="B103" s="501"/>
      <c r="C103" s="499">
        <v>100</v>
      </c>
      <c r="D103" s="499">
        <f>C103-$K29</f>
        <v>100</v>
      </c>
      <c r="E103" s="499">
        <f>D103-$K29</f>
        <v>100</v>
      </c>
      <c r="F103" s="499">
        <f>E103-$K29</f>
        <v>100</v>
      </c>
      <c r="G103" s="499">
        <f>F103-$K29</f>
        <v>100</v>
      </c>
      <c r="H103" s="503"/>
      <c r="I103" s="503"/>
      <c r="J103" s="503"/>
      <c r="K103" s="503"/>
      <c r="L103" s="503"/>
      <c r="M103" s="1291"/>
      <c r="N103" s="2982"/>
      <c r="O103" s="2982"/>
      <c r="P103" s="3006"/>
      <c r="Q103" s="2973"/>
      <c r="R103" s="2974"/>
      <c r="S103" s="2974"/>
      <c r="T103" s="2974"/>
      <c r="U103" s="2974"/>
      <c r="V103" s="2974"/>
      <c r="W103" s="2974"/>
      <c r="X103" s="2974"/>
      <c r="Y103" s="2974"/>
      <c r="Z103" s="2974"/>
      <c r="AA103" s="2974"/>
      <c r="AB103" s="2974"/>
      <c r="AC103" s="2974"/>
    </row>
    <row r="104" spans="1:29" ht="15.75" thickTop="1">
      <c r="A104" s="489"/>
      <c r="B104" s="493" t="str">
        <f>B31</f>
        <v>临街状况</v>
      </c>
      <c r="C104" s="494" t="s">
        <v>2607</v>
      </c>
      <c r="D104" s="494" t="s">
        <v>2608</v>
      </c>
      <c r="E104" s="494" t="s">
        <v>2609</v>
      </c>
      <c r="F104" s="494" t="s">
        <v>2610</v>
      </c>
      <c r="G104" s="494"/>
      <c r="H104" s="494"/>
      <c r="I104" s="494"/>
      <c r="J104" s="494"/>
      <c r="K104" s="495"/>
      <c r="L104" s="496"/>
      <c r="M104" s="497"/>
      <c r="N104" s="2980"/>
      <c r="O104" s="2980"/>
      <c r="P104" s="3005"/>
      <c r="Q104" s="2966"/>
      <c r="R104" s="2952"/>
      <c r="S104" s="2952"/>
      <c r="T104" s="2952"/>
      <c r="U104" s="2952"/>
      <c r="V104" s="2952"/>
      <c r="W104" s="2952"/>
      <c r="X104" s="2952"/>
      <c r="Y104" s="2952"/>
      <c r="Z104" s="2952"/>
      <c r="AA104" s="2952"/>
      <c r="AB104" s="2952"/>
      <c r="AC104" s="2952"/>
    </row>
    <row r="105" spans="1:29" ht="15.75" thickBot="1">
      <c r="A105" s="489"/>
      <c r="B105" s="498"/>
      <c r="C105" s="499">
        <v>100</v>
      </c>
      <c r="D105" s="499">
        <f>C105-$K31</f>
        <v>100</v>
      </c>
      <c r="E105" s="499">
        <f t="shared" ref="E105:M105" si="22">D105-$K31</f>
        <v>100</v>
      </c>
      <c r="F105" s="499">
        <f t="shared" si="22"/>
        <v>100</v>
      </c>
      <c r="G105" s="499">
        <f t="shared" si="22"/>
        <v>100</v>
      </c>
      <c r="H105" s="499">
        <f t="shared" si="22"/>
        <v>100</v>
      </c>
      <c r="I105" s="499">
        <f t="shared" si="22"/>
        <v>100</v>
      </c>
      <c r="J105" s="499">
        <f t="shared" si="22"/>
        <v>100</v>
      </c>
      <c r="K105" s="499">
        <f t="shared" si="22"/>
        <v>100</v>
      </c>
      <c r="L105" s="499">
        <f t="shared" si="22"/>
        <v>100</v>
      </c>
      <c r="M105" s="499">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89"/>
      <c r="B106" s="493" t="s">
        <v>2511</v>
      </c>
      <c r="C106" s="509"/>
      <c r="D106" s="509"/>
      <c r="E106" s="509"/>
      <c r="F106" s="509"/>
      <c r="G106" s="509"/>
      <c r="H106" s="538"/>
      <c r="I106" s="538"/>
      <c r="J106" s="538"/>
      <c r="K106" s="539"/>
      <c r="L106" s="540"/>
      <c r="M106" s="541"/>
      <c r="N106" s="2980"/>
      <c r="O106" s="2980"/>
      <c r="P106" s="3005"/>
      <c r="Q106" s="2966"/>
      <c r="R106" s="2952"/>
      <c r="S106" s="2952"/>
      <c r="T106" s="2952"/>
      <c r="U106" s="2952"/>
      <c r="V106" s="2952"/>
      <c r="W106" s="2952"/>
      <c r="X106" s="2952"/>
      <c r="Y106" s="2952"/>
      <c r="Z106" s="2952"/>
      <c r="AA106" s="2952"/>
      <c r="AB106" s="2952"/>
      <c r="AC106" s="2952"/>
    </row>
    <row r="107" spans="1:29" ht="15.75" thickBot="1">
      <c r="A107" s="489"/>
      <c r="B107" s="498"/>
      <c r="C107" s="499">
        <v>100</v>
      </c>
      <c r="D107" s="499">
        <f>C107-$K32</f>
        <v>100</v>
      </c>
      <c r="E107" s="499">
        <f t="shared" ref="E107:M107" si="23">D107-$K32</f>
        <v>100</v>
      </c>
      <c r="F107" s="499">
        <f t="shared" si="23"/>
        <v>100</v>
      </c>
      <c r="G107" s="499">
        <f t="shared" si="23"/>
        <v>100</v>
      </c>
      <c r="H107" s="499">
        <f t="shared" si="23"/>
        <v>100</v>
      </c>
      <c r="I107" s="499">
        <f t="shared" si="23"/>
        <v>100</v>
      </c>
      <c r="J107" s="499">
        <f t="shared" si="23"/>
        <v>100</v>
      </c>
      <c r="K107" s="499">
        <f t="shared" si="23"/>
        <v>100</v>
      </c>
      <c r="L107" s="499">
        <f t="shared" si="23"/>
        <v>100</v>
      </c>
      <c r="M107" s="499">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89"/>
      <c r="B108" s="493" t="s">
        <v>2570</v>
      </c>
      <c r="C108" s="538"/>
      <c r="D108" s="538"/>
      <c r="E108" s="538"/>
      <c r="F108" s="538"/>
      <c r="G108" s="538"/>
      <c r="H108" s="538"/>
      <c r="I108" s="538"/>
      <c r="J108" s="538"/>
      <c r="K108" s="539"/>
      <c r="L108" s="540"/>
      <c r="M108" s="541"/>
      <c r="N108" s="2980"/>
      <c r="O108" s="2980"/>
      <c r="P108" s="3005"/>
      <c r="Q108" s="2966"/>
      <c r="R108" s="2952"/>
      <c r="S108" s="2952"/>
      <c r="T108" s="2952"/>
      <c r="U108" s="2952"/>
      <c r="V108" s="2952"/>
      <c r="W108" s="2952"/>
      <c r="X108" s="2952"/>
      <c r="Y108" s="2952"/>
      <c r="Z108" s="2952"/>
      <c r="AA108" s="2952"/>
      <c r="AB108" s="2952"/>
      <c r="AC108" s="2952"/>
    </row>
    <row r="109" spans="1:29" ht="15.75" thickBot="1">
      <c r="A109" s="489"/>
      <c r="B109" s="498"/>
      <c r="C109" s="499">
        <v>100</v>
      </c>
      <c r="D109" s="499">
        <f>C109-$K34</f>
        <v>100</v>
      </c>
      <c r="E109" s="499">
        <f t="shared" ref="E109:M109" si="24">D109-$K34</f>
        <v>100</v>
      </c>
      <c r="F109" s="499">
        <f t="shared" si="24"/>
        <v>100</v>
      </c>
      <c r="G109" s="499">
        <f t="shared" si="24"/>
        <v>100</v>
      </c>
      <c r="H109" s="499">
        <f t="shared" si="24"/>
        <v>100</v>
      </c>
      <c r="I109" s="499">
        <f t="shared" si="24"/>
        <v>100</v>
      </c>
      <c r="J109" s="499">
        <f t="shared" si="24"/>
        <v>100</v>
      </c>
      <c r="K109" s="499">
        <f t="shared" si="24"/>
        <v>100</v>
      </c>
      <c r="L109" s="499">
        <f t="shared" si="24"/>
        <v>100</v>
      </c>
      <c r="M109" s="499">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89"/>
      <c r="B110" s="501">
        <f>B35</f>
        <v>111</v>
      </c>
      <c r="C110" s="509"/>
      <c r="D110" s="509"/>
      <c r="E110" s="509"/>
      <c r="F110" s="509"/>
      <c r="G110" s="542"/>
      <c r="H110" s="542"/>
      <c r="I110" s="542"/>
      <c r="J110" s="542"/>
      <c r="K110" s="543"/>
      <c r="L110" s="544"/>
      <c r="M110" s="545"/>
      <c r="N110" s="2980"/>
      <c r="O110" s="2980"/>
      <c r="P110" s="3005"/>
      <c r="Q110" s="2966"/>
      <c r="R110" s="2952"/>
      <c r="S110" s="2952"/>
      <c r="T110" s="2952"/>
      <c r="U110" s="2952"/>
      <c r="V110" s="2952"/>
      <c r="W110" s="2952"/>
      <c r="X110" s="2952"/>
      <c r="Y110" s="2952"/>
      <c r="Z110" s="2952"/>
      <c r="AA110" s="2952"/>
      <c r="AB110" s="2952"/>
      <c r="AC110" s="2952"/>
    </row>
    <row r="111" spans="1:29" ht="15.75" thickBot="1">
      <c r="A111" s="489"/>
      <c r="B111" s="524"/>
      <c r="C111" s="515"/>
      <c r="D111" s="515"/>
      <c r="E111" s="515"/>
      <c r="F111" s="515"/>
      <c r="G111" s="546"/>
      <c r="H111" s="546"/>
      <c r="I111" s="546"/>
      <c r="J111" s="546"/>
      <c r="K111" s="546"/>
      <c r="L111" s="546"/>
      <c r="M111" s="547"/>
      <c r="N111" s="2981"/>
      <c r="O111" s="2981"/>
      <c r="P111" s="3005"/>
      <c r="Q111" s="2966"/>
      <c r="R111" s="2952"/>
      <c r="S111" s="2952"/>
      <c r="T111" s="2952"/>
      <c r="U111" s="2952"/>
      <c r="V111" s="2952"/>
      <c r="W111" s="2952"/>
      <c r="X111" s="2952"/>
      <c r="Y111" s="2952"/>
      <c r="Z111" s="2952"/>
      <c r="AA111" s="2952"/>
      <c r="AB111" s="2952"/>
      <c r="AC111" s="2952"/>
    </row>
    <row r="112" spans="1:29" ht="15" thickTop="1">
      <c r="A112" s="629"/>
      <c r="B112" s="493">
        <f>B36</f>
        <v>111</v>
      </c>
      <c r="C112" s="478"/>
      <c r="D112" s="478"/>
      <c r="E112" s="478"/>
      <c r="F112" s="478"/>
      <c r="G112" s="538"/>
      <c r="H112" s="538"/>
      <c r="I112" s="538"/>
      <c r="J112" s="538"/>
      <c r="K112" s="539"/>
      <c r="L112" s="540"/>
      <c r="M112" s="541"/>
      <c r="N112" s="2980"/>
      <c r="O112" s="2980"/>
      <c r="P112" s="3005"/>
      <c r="Q112" s="2966"/>
      <c r="R112" s="2952"/>
      <c r="S112" s="2952"/>
      <c r="T112" s="2952"/>
      <c r="U112" s="2952"/>
      <c r="V112" s="2952"/>
      <c r="W112" s="2952"/>
      <c r="X112" s="2952"/>
      <c r="Y112" s="2952"/>
      <c r="Z112" s="2952"/>
      <c r="AA112" s="2952"/>
      <c r="AB112" s="2952"/>
      <c r="AC112" s="2952"/>
    </row>
    <row r="113" spans="1:29" ht="15.75" thickBot="1">
      <c r="A113" s="489"/>
      <c r="B113" s="498"/>
      <c r="C113" s="525"/>
      <c r="D113" s="525"/>
      <c r="E113" s="525"/>
      <c r="F113" s="525"/>
      <c r="G113" s="491"/>
      <c r="H113" s="491"/>
      <c r="I113" s="491"/>
      <c r="J113" s="491"/>
      <c r="K113" s="491"/>
      <c r="L113" s="491"/>
      <c r="M113" s="492"/>
      <c r="N113" s="2981"/>
      <c r="O113" s="2981"/>
      <c r="P113" s="3005"/>
      <c r="Q113" s="2966"/>
      <c r="R113" s="2952"/>
      <c r="S113" s="2952"/>
      <c r="T113" s="2952"/>
      <c r="U113" s="2952"/>
      <c r="V113" s="2952"/>
      <c r="W113" s="2952"/>
      <c r="X113" s="2952"/>
      <c r="Y113" s="2952"/>
      <c r="Z113" s="2952"/>
      <c r="AA113" s="2952"/>
      <c r="AB113" s="2952"/>
      <c r="AC113" s="2952"/>
    </row>
    <row r="114" spans="1:29" s="428" customFormat="1" ht="15" thickTop="1">
      <c r="A114" s="548"/>
      <c r="B114" s="549">
        <f>B37</f>
        <v>111</v>
      </c>
      <c r="C114" s="550"/>
      <c r="D114" s="550"/>
      <c r="E114" s="550"/>
      <c r="F114" s="550"/>
      <c r="G114" s="550"/>
      <c r="H114" s="550"/>
      <c r="I114" s="550"/>
      <c r="J114" s="551"/>
      <c r="K114" s="551"/>
      <c r="L114" s="552"/>
      <c r="M114" s="553"/>
      <c r="N114" s="2982"/>
      <c r="O114" s="2982"/>
      <c r="P114" s="3006"/>
      <c r="Q114" s="2973"/>
      <c r="R114" s="2974"/>
      <c r="S114" s="2974"/>
      <c r="T114" s="2974"/>
      <c r="U114" s="2974"/>
      <c r="V114" s="2974"/>
      <c r="W114" s="2974"/>
      <c r="X114" s="2974"/>
      <c r="Y114" s="2974"/>
      <c r="Z114" s="2974"/>
      <c r="AA114" s="2974"/>
      <c r="AB114" s="2974"/>
      <c r="AC114" s="2974"/>
    </row>
    <row r="115" spans="1:29" s="428" customFormat="1" ht="15.75" thickBot="1">
      <c r="A115" s="508"/>
      <c r="B115" s="501"/>
      <c r="C115" s="467"/>
      <c r="D115" s="631"/>
      <c r="E115" s="631"/>
      <c r="F115" s="631"/>
      <c r="G115" s="631"/>
      <c r="H115" s="631"/>
      <c r="I115" s="631"/>
      <c r="J115" s="631"/>
      <c r="K115" s="631"/>
      <c r="L115" s="631"/>
      <c r="M115" s="653"/>
      <c r="N115" s="2981"/>
      <c r="O115" s="2981"/>
      <c r="P115" s="3006"/>
      <c r="Q115" s="2973"/>
      <c r="R115" s="2974"/>
      <c r="S115" s="2974"/>
      <c r="T115" s="2974"/>
      <c r="U115" s="2974"/>
      <c r="V115" s="2974"/>
      <c r="W115" s="2974"/>
      <c r="X115" s="2974"/>
      <c r="Y115" s="2974"/>
      <c r="Z115" s="2974"/>
      <c r="AA115" s="2974"/>
      <c r="AB115" s="2974"/>
      <c r="AC115" s="2974"/>
    </row>
    <row r="116" spans="1:29">
      <c r="A116" s="482" t="s">
        <v>2383</v>
      </c>
      <c r="B116" s="483" t="s">
        <v>2611</v>
      </c>
      <c r="C116" s="484" t="str">
        <f>C117&amp;"(含)"&amp;"-"&amp;D117</f>
        <v>(含)-</v>
      </c>
      <c r="D116" s="484" t="str">
        <f t="shared" ref="D116:M116" si="25">D117&amp;"(含)"&amp;"-"&amp;E117</f>
        <v>(含)-</v>
      </c>
      <c r="E116" s="484" t="str">
        <f t="shared" si="25"/>
        <v>(含)-</v>
      </c>
      <c r="F116" s="484" t="str">
        <f t="shared" si="25"/>
        <v>(含)-</v>
      </c>
      <c r="G116" s="484" t="str">
        <f t="shared" si="25"/>
        <v>(含)-</v>
      </c>
      <c r="H116" s="484" t="str">
        <f t="shared" si="25"/>
        <v>(含)-</v>
      </c>
      <c r="I116" s="484" t="str">
        <f t="shared" si="25"/>
        <v>(含)-</v>
      </c>
      <c r="J116" s="484" t="str">
        <f t="shared" si="25"/>
        <v>(含)-</v>
      </c>
      <c r="K116" s="484" t="str">
        <f t="shared" si="25"/>
        <v>(含)-</v>
      </c>
      <c r="L116" s="484" t="str">
        <f t="shared" si="25"/>
        <v>(含)-</v>
      </c>
      <c r="M116" s="484"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89"/>
      <c r="B117" s="501"/>
      <c r="C117" s="550"/>
      <c r="D117" s="550"/>
      <c r="E117" s="550"/>
      <c r="F117" s="550"/>
      <c r="G117" s="550"/>
      <c r="H117" s="550"/>
      <c r="I117" s="550"/>
      <c r="J117" s="551"/>
      <c r="K117" s="551"/>
      <c r="L117" s="552"/>
      <c r="M117" s="553"/>
      <c r="N117" s="2980"/>
      <c r="O117" s="2980"/>
      <c r="P117" s="3005"/>
      <c r="Q117" s="2966"/>
      <c r="R117" s="2952"/>
      <c r="S117" s="2952"/>
      <c r="T117" s="2952"/>
      <c r="U117" s="2952"/>
      <c r="V117" s="2952"/>
      <c r="W117" s="2952"/>
      <c r="X117" s="2952"/>
      <c r="Y117" s="2952"/>
      <c r="Z117" s="2952"/>
      <c r="AA117" s="2952"/>
      <c r="AB117" s="2952"/>
      <c r="AC117" s="2952"/>
    </row>
    <row r="118" spans="1:29" ht="15.75" thickBot="1">
      <c r="A118" s="489"/>
      <c r="B118" s="498"/>
      <c r="C118" s="525"/>
      <c r="D118" s="546"/>
      <c r="E118" s="546"/>
      <c r="F118" s="546"/>
      <c r="G118" s="546"/>
      <c r="H118" s="546"/>
      <c r="I118" s="546"/>
      <c r="J118" s="546"/>
      <c r="K118" s="546"/>
      <c r="L118" s="546"/>
      <c r="M118" s="547"/>
      <c r="N118" s="2981"/>
      <c r="O118" s="2981"/>
      <c r="P118" s="3005"/>
      <c r="Q118" s="2966"/>
      <c r="R118" s="2952"/>
      <c r="S118" s="2952"/>
      <c r="T118" s="2952"/>
      <c r="U118" s="2952"/>
      <c r="V118" s="2952"/>
      <c r="W118" s="2952"/>
      <c r="X118" s="2952"/>
      <c r="Y118" s="2952"/>
      <c r="Z118" s="2952"/>
      <c r="AA118" s="2952"/>
      <c r="AB118" s="2952"/>
      <c r="AC118" s="2952"/>
    </row>
    <row r="119" spans="1:29" ht="15" thickTop="1">
      <c r="A119" s="554"/>
      <c r="B119" s="493" t="s">
        <v>2612</v>
      </c>
      <c r="C119" s="538"/>
      <c r="D119" s="538"/>
      <c r="E119" s="538"/>
      <c r="F119" s="538"/>
      <c r="G119" s="538"/>
      <c r="H119" s="538"/>
      <c r="I119" s="538"/>
      <c r="J119" s="538"/>
      <c r="K119" s="539"/>
      <c r="L119" s="540"/>
      <c r="M119" s="541"/>
      <c r="N119" s="2980"/>
      <c r="O119" s="2980"/>
      <c r="P119" s="3005"/>
      <c r="Q119" s="2966"/>
      <c r="R119" s="2952"/>
      <c r="S119" s="2952"/>
      <c r="T119" s="2952"/>
      <c r="U119" s="2952"/>
      <c r="V119" s="2952"/>
      <c r="W119" s="2952"/>
      <c r="X119" s="2952"/>
      <c r="Y119" s="2952"/>
      <c r="Z119" s="2952"/>
      <c r="AA119" s="2952"/>
      <c r="AB119" s="2952"/>
      <c r="AC119" s="2952"/>
    </row>
    <row r="120" spans="1:29" ht="15.75" thickBot="1">
      <c r="A120" s="489"/>
      <c r="B120" s="498"/>
      <c r="C120" s="499">
        <v>100</v>
      </c>
      <c r="D120" s="499">
        <f t="shared" ref="D120:M120" si="26">C120-$K39</f>
        <v>100</v>
      </c>
      <c r="E120" s="499">
        <f t="shared" si="26"/>
        <v>100</v>
      </c>
      <c r="F120" s="499">
        <f t="shared" si="26"/>
        <v>100</v>
      </c>
      <c r="G120" s="499">
        <f t="shared" si="26"/>
        <v>100</v>
      </c>
      <c r="H120" s="499">
        <f t="shared" si="26"/>
        <v>100</v>
      </c>
      <c r="I120" s="499">
        <f t="shared" si="26"/>
        <v>100</v>
      </c>
      <c r="J120" s="499">
        <f t="shared" si="26"/>
        <v>100</v>
      </c>
      <c r="K120" s="499">
        <f t="shared" si="26"/>
        <v>100</v>
      </c>
      <c r="L120" s="499">
        <f t="shared" si="26"/>
        <v>100</v>
      </c>
      <c r="M120" s="500">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4"/>
      <c r="B121" s="493" t="s">
        <v>2613</v>
      </c>
      <c r="C121" s="509"/>
      <c r="D121" s="509"/>
      <c r="E121" s="509"/>
      <c r="F121" s="538"/>
      <c r="G121" s="538"/>
      <c r="H121" s="538"/>
      <c r="I121" s="538"/>
      <c r="J121" s="538"/>
      <c r="K121" s="539"/>
      <c r="L121" s="540"/>
      <c r="M121" s="541"/>
      <c r="N121" s="2980"/>
      <c r="O121" s="2980"/>
      <c r="P121" s="3005"/>
      <c r="Q121" s="2966"/>
      <c r="R121" s="2952"/>
      <c r="S121" s="2952"/>
      <c r="T121" s="2952"/>
      <c r="U121" s="2952"/>
      <c r="V121" s="2952"/>
      <c r="W121" s="2952"/>
      <c r="X121" s="2952"/>
      <c r="Y121" s="2952"/>
      <c r="Z121" s="2952"/>
      <c r="AA121" s="2952"/>
      <c r="AB121" s="2952"/>
      <c r="AC121" s="2952"/>
    </row>
    <row r="122" spans="1:29" ht="15.75" thickBot="1">
      <c r="A122" s="489"/>
      <c r="B122" s="498"/>
      <c r="C122" s="499">
        <v>100</v>
      </c>
      <c r="D122" s="499">
        <f t="shared" ref="D122:M122" si="27">C122-$K40</f>
        <v>100</v>
      </c>
      <c r="E122" s="499">
        <f t="shared" si="27"/>
        <v>100</v>
      </c>
      <c r="F122" s="499">
        <f t="shared" si="27"/>
        <v>100</v>
      </c>
      <c r="G122" s="499">
        <f t="shared" si="27"/>
        <v>100</v>
      </c>
      <c r="H122" s="499">
        <f t="shared" si="27"/>
        <v>100</v>
      </c>
      <c r="I122" s="499">
        <f t="shared" si="27"/>
        <v>100</v>
      </c>
      <c r="J122" s="499">
        <f t="shared" si="27"/>
        <v>100</v>
      </c>
      <c r="K122" s="499">
        <f t="shared" si="27"/>
        <v>100</v>
      </c>
      <c r="L122" s="499">
        <f t="shared" si="27"/>
        <v>100</v>
      </c>
      <c r="M122" s="500">
        <f t="shared" si="27"/>
        <v>100</v>
      </c>
      <c r="N122" s="2981"/>
      <c r="O122" s="2981"/>
      <c r="P122" s="3005"/>
      <c r="Q122" s="2966"/>
      <c r="R122" s="2952"/>
      <c r="S122" s="2952"/>
      <c r="T122" s="2952"/>
      <c r="U122" s="2952"/>
      <c r="V122" s="2952"/>
      <c r="W122" s="2952"/>
      <c r="X122" s="2952"/>
      <c r="Y122" s="2952"/>
      <c r="Z122" s="2952"/>
      <c r="AA122" s="2952"/>
      <c r="AB122" s="2952"/>
      <c r="AC122" s="2952"/>
    </row>
    <row r="123" spans="1:29" s="428" customFormat="1" ht="15" thickTop="1">
      <c r="A123" s="548"/>
      <c r="B123" s="493" t="s">
        <v>2614</v>
      </c>
      <c r="C123" s="509"/>
      <c r="D123" s="509"/>
      <c r="E123" s="509"/>
      <c r="F123" s="509"/>
      <c r="G123" s="509"/>
      <c r="H123" s="538"/>
      <c r="I123" s="538"/>
      <c r="J123" s="538"/>
      <c r="K123" s="539"/>
      <c r="L123" s="540"/>
      <c r="M123" s="541"/>
      <c r="N123" s="2982"/>
      <c r="O123" s="2982"/>
      <c r="P123" s="3006"/>
      <c r="Q123" s="2973"/>
      <c r="R123" s="2974"/>
      <c r="S123" s="2974"/>
      <c r="T123" s="2974"/>
      <c r="U123" s="2974"/>
      <c r="V123" s="2974"/>
      <c r="W123" s="2974"/>
      <c r="X123" s="2974"/>
      <c r="Y123" s="2974"/>
      <c r="Z123" s="2974"/>
      <c r="AA123" s="2974"/>
      <c r="AB123" s="2974"/>
      <c r="AC123" s="2974"/>
    </row>
    <row r="124" spans="1:29" s="428" customFormat="1" ht="15.75" thickBot="1">
      <c r="A124" s="508"/>
      <c r="B124" s="498"/>
      <c r="C124" s="499">
        <v>100</v>
      </c>
      <c r="D124" s="499">
        <f>C124-$K41</f>
        <v>100</v>
      </c>
      <c r="E124" s="499">
        <f t="shared" ref="E124:M124" si="28">D124-$K41</f>
        <v>100</v>
      </c>
      <c r="F124" s="499">
        <f t="shared" si="28"/>
        <v>100</v>
      </c>
      <c r="G124" s="499">
        <f t="shared" si="28"/>
        <v>100</v>
      </c>
      <c r="H124" s="499">
        <f t="shared" si="28"/>
        <v>100</v>
      </c>
      <c r="I124" s="499">
        <f t="shared" si="28"/>
        <v>100</v>
      </c>
      <c r="J124" s="499">
        <f t="shared" si="28"/>
        <v>100</v>
      </c>
      <c r="K124" s="499">
        <f t="shared" si="28"/>
        <v>100</v>
      </c>
      <c r="L124" s="499">
        <f t="shared" si="28"/>
        <v>100</v>
      </c>
      <c r="M124" s="500">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4"/>
      <c r="B125" s="493" t="s">
        <v>2615</v>
      </c>
      <c r="C125" s="509"/>
      <c r="D125" s="509"/>
      <c r="E125" s="538"/>
      <c r="F125" s="538"/>
      <c r="G125" s="538"/>
      <c r="H125" s="538"/>
      <c r="I125" s="538"/>
      <c r="J125" s="538"/>
      <c r="K125" s="539"/>
      <c r="L125" s="540"/>
      <c r="M125" s="541"/>
      <c r="N125" s="2980"/>
      <c r="O125" s="2980"/>
      <c r="P125" s="3005"/>
      <c r="Q125" s="2966"/>
      <c r="R125" s="2952"/>
      <c r="S125" s="2952"/>
      <c r="T125" s="2952"/>
      <c r="U125" s="2952"/>
      <c r="V125" s="2952"/>
      <c r="W125" s="2952"/>
      <c r="X125" s="2952"/>
      <c r="Y125" s="2952"/>
      <c r="Z125" s="2952"/>
      <c r="AA125" s="2952"/>
      <c r="AB125" s="2952"/>
      <c r="AC125" s="2952"/>
    </row>
    <row r="126" spans="1:29" ht="15.75" thickBot="1">
      <c r="A126" s="489"/>
      <c r="B126" s="498"/>
      <c r="C126" s="499">
        <v>100</v>
      </c>
      <c r="D126" s="499">
        <f t="shared" ref="D126:M126" si="29">C126-$K42</f>
        <v>100</v>
      </c>
      <c r="E126" s="499">
        <f t="shared" si="29"/>
        <v>100</v>
      </c>
      <c r="F126" s="499">
        <f t="shared" si="29"/>
        <v>100</v>
      </c>
      <c r="G126" s="499">
        <f t="shared" si="29"/>
        <v>100</v>
      </c>
      <c r="H126" s="499">
        <f t="shared" si="29"/>
        <v>100</v>
      </c>
      <c r="I126" s="499">
        <f t="shared" si="29"/>
        <v>100</v>
      </c>
      <c r="J126" s="499">
        <f t="shared" si="29"/>
        <v>100</v>
      </c>
      <c r="K126" s="499">
        <f t="shared" si="29"/>
        <v>100</v>
      </c>
      <c r="L126" s="499">
        <f t="shared" si="29"/>
        <v>100</v>
      </c>
      <c r="M126" s="500">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4"/>
      <c r="B127" s="493">
        <f>B43</f>
        <v>111</v>
      </c>
      <c r="C127" s="509"/>
      <c r="D127" s="509"/>
      <c r="E127" s="509"/>
      <c r="F127" s="509"/>
      <c r="G127" s="509"/>
      <c r="H127" s="538"/>
      <c r="I127" s="538"/>
      <c r="J127" s="538"/>
      <c r="K127" s="539"/>
      <c r="L127" s="540"/>
      <c r="M127" s="541"/>
      <c r="N127" s="2980"/>
      <c r="O127" s="2980"/>
      <c r="P127" s="3005"/>
      <c r="Q127" s="2966"/>
      <c r="R127" s="2952"/>
      <c r="S127" s="2952"/>
      <c r="T127" s="2952"/>
      <c r="U127" s="2952"/>
      <c r="V127" s="2952"/>
      <c r="W127" s="2952"/>
      <c r="X127" s="2952"/>
      <c r="Y127" s="2952"/>
      <c r="Z127" s="2952"/>
      <c r="AA127" s="2952"/>
      <c r="AB127" s="2952"/>
      <c r="AC127" s="2952"/>
    </row>
    <row r="128" spans="1:29" ht="15.75" thickBot="1">
      <c r="A128" s="489"/>
      <c r="B128" s="498"/>
      <c r="C128" s="515"/>
      <c r="D128" s="515"/>
      <c r="E128" s="515"/>
      <c r="F128" s="515"/>
      <c r="G128" s="491"/>
      <c r="H128" s="491"/>
      <c r="I128" s="491"/>
      <c r="J128" s="491"/>
      <c r="K128" s="491"/>
      <c r="L128" s="491"/>
      <c r="M128" s="492"/>
      <c r="N128" s="2981"/>
      <c r="O128" s="2981"/>
      <c r="P128" s="3005"/>
      <c r="Q128" s="2966"/>
      <c r="R128" s="2952"/>
      <c r="S128" s="2952"/>
      <c r="T128" s="2952"/>
      <c r="U128" s="2952"/>
      <c r="V128" s="2952"/>
      <c r="W128" s="2952"/>
      <c r="X128" s="2952"/>
      <c r="Y128" s="2952"/>
      <c r="Z128" s="2952"/>
      <c r="AA128" s="2952"/>
      <c r="AB128" s="2952"/>
      <c r="AC128" s="2952"/>
    </row>
    <row r="129" spans="1:29" ht="15" thickTop="1">
      <c r="A129" s="554"/>
      <c r="B129" s="493">
        <f>B44</f>
        <v>111</v>
      </c>
      <c r="C129" s="478"/>
      <c r="D129" s="478"/>
      <c r="E129" s="478"/>
      <c r="F129" s="478"/>
      <c r="G129" s="538"/>
      <c r="H129" s="538"/>
      <c r="I129" s="538"/>
      <c r="J129" s="538"/>
      <c r="K129" s="539"/>
      <c r="L129" s="540"/>
      <c r="M129" s="541"/>
      <c r="N129" s="2980"/>
      <c r="O129" s="2980"/>
      <c r="P129" s="3005"/>
      <c r="Q129" s="2966"/>
      <c r="R129" s="2952"/>
      <c r="S129" s="2952"/>
      <c r="T129" s="2952"/>
      <c r="U129" s="2952"/>
      <c r="V129" s="2952"/>
      <c r="W129" s="2952"/>
      <c r="X129" s="2952"/>
      <c r="Y129" s="2952"/>
      <c r="Z129" s="2952"/>
      <c r="AA129" s="2952"/>
      <c r="AB129" s="2952"/>
      <c r="AC129" s="2952"/>
    </row>
    <row r="130" spans="1:29" ht="15.75" thickBot="1">
      <c r="A130" s="489"/>
      <c r="B130" s="498"/>
      <c r="C130" s="525"/>
      <c r="D130" s="525"/>
      <c r="E130" s="525"/>
      <c r="F130" s="525"/>
      <c r="G130" s="491"/>
      <c r="H130" s="491"/>
      <c r="I130" s="491"/>
      <c r="J130" s="491"/>
      <c r="K130" s="491"/>
      <c r="L130" s="491"/>
      <c r="M130" s="492"/>
      <c r="N130" s="2981"/>
      <c r="O130" s="2981"/>
      <c r="P130" s="3005"/>
      <c r="Q130" s="2966"/>
      <c r="R130" s="2952"/>
      <c r="S130" s="2952"/>
      <c r="T130" s="2952"/>
      <c r="U130" s="2952"/>
      <c r="V130" s="2952"/>
      <c r="W130" s="2952"/>
      <c r="X130" s="2952"/>
      <c r="Y130" s="2952"/>
      <c r="Z130" s="2952"/>
      <c r="AA130" s="2952"/>
      <c r="AB130" s="2952"/>
      <c r="AC130" s="2952"/>
    </row>
    <row r="131" spans="1:29" s="428" customFormat="1" ht="15" thickTop="1">
      <c r="A131" s="548"/>
      <c r="B131" s="493">
        <f>B45</f>
        <v>111</v>
      </c>
      <c r="C131" s="478"/>
      <c r="D131" s="478"/>
      <c r="E131" s="478"/>
      <c r="F131" s="478"/>
      <c r="G131" s="510"/>
      <c r="H131" s="510"/>
      <c r="I131" s="510"/>
      <c r="J131" s="510"/>
      <c r="K131" s="510"/>
      <c r="L131" s="511"/>
      <c r="M131" s="512"/>
      <c r="N131" s="2982"/>
      <c r="O131" s="2982"/>
      <c r="P131" s="3006"/>
      <c r="Q131" s="2973"/>
      <c r="R131" s="2974"/>
      <c r="S131" s="2974"/>
      <c r="T131" s="2974"/>
      <c r="U131" s="2974"/>
      <c r="V131" s="2974"/>
      <c r="W131" s="2974"/>
      <c r="X131" s="2974"/>
      <c r="Y131" s="2974"/>
      <c r="Z131" s="2974"/>
      <c r="AA131" s="2974"/>
      <c r="AB131" s="2974"/>
      <c r="AC131" s="2974"/>
    </row>
    <row r="132" spans="1:29" s="428" customFormat="1" ht="15.75" thickBot="1">
      <c r="A132" s="523"/>
      <c r="B132" s="654"/>
      <c r="C132" s="525"/>
      <c r="D132" s="525"/>
      <c r="E132" s="525"/>
      <c r="F132" s="525"/>
      <c r="G132" s="546"/>
      <c r="H132" s="546"/>
      <c r="I132" s="546"/>
      <c r="J132" s="546"/>
      <c r="K132" s="546"/>
      <c r="L132" s="546"/>
      <c r="M132" s="547"/>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0" priority="18" stopIfTrue="1" operator="containsText" text="超过">
      <formula>NOT(ISERROR(SEARCH("超过",F51)))</formula>
    </cfRule>
  </conditionalFormatting>
  <conditionalFormatting sqref="J53">
    <cfRule type="containsText" dxfId="179" priority="17" stopIfTrue="1" operator="containsText" text="超过">
      <formula>NOT(ISERROR(SEARCH("超过",J53)))</formula>
    </cfRule>
  </conditionalFormatting>
  <conditionalFormatting sqref="H53">
    <cfRule type="containsText" dxfId="178" priority="16" stopIfTrue="1" operator="containsText" text="超过">
      <formula>NOT(ISERROR(SEARCH("超过",H53)))</formula>
    </cfRule>
  </conditionalFormatting>
  <conditionalFormatting sqref="F53">
    <cfRule type="containsText" dxfId="177" priority="15" stopIfTrue="1" operator="containsText" text="超过">
      <formula>NOT(ISERROR(SEARCH("超过",F53)))</formula>
    </cfRule>
  </conditionalFormatting>
  <conditionalFormatting sqref="F52 H52 J52">
    <cfRule type="containsText" dxfId="176" priority="14" stopIfTrue="1" operator="containsText" text="超过">
      <formula>NOT(ISERROR(SEARCH("超过",F52)))</formula>
    </cfRule>
  </conditionalFormatting>
  <conditionalFormatting sqref="E51">
    <cfRule type="expression" dxfId="175" priority="13" stopIfTrue="1">
      <formula>$F$51="超过30%"</formula>
    </cfRule>
  </conditionalFormatting>
  <conditionalFormatting sqref="G53">
    <cfRule type="expression" dxfId="174" priority="12" stopIfTrue="1">
      <formula>$H$53="超过30%"</formula>
    </cfRule>
  </conditionalFormatting>
  <conditionalFormatting sqref="E52">
    <cfRule type="expression" dxfId="173" priority="11" stopIfTrue="1">
      <formula>$F$52="超过20%"</formula>
    </cfRule>
  </conditionalFormatting>
  <conditionalFormatting sqref="E53">
    <cfRule type="expression" dxfId="172" priority="10" stopIfTrue="1">
      <formula>$F$53="超过30%"</formula>
    </cfRule>
  </conditionalFormatting>
  <conditionalFormatting sqref="G51">
    <cfRule type="expression" dxfId="171" priority="9" stopIfTrue="1">
      <formula>$H$53+$H$51="超过30%"</formula>
    </cfRule>
  </conditionalFormatting>
  <conditionalFormatting sqref="G52">
    <cfRule type="expression" dxfId="170" priority="8" stopIfTrue="1">
      <formula>$H$52="超过20%"</formula>
    </cfRule>
  </conditionalFormatting>
  <conditionalFormatting sqref="I51">
    <cfRule type="expression" dxfId="169" priority="7" stopIfTrue="1">
      <formula>$J$51="超过30%"</formula>
    </cfRule>
  </conditionalFormatting>
  <conditionalFormatting sqref="I52">
    <cfRule type="expression" dxfId="168" priority="6" stopIfTrue="1">
      <formula>$J$52="超过20%"</formula>
    </cfRule>
  </conditionalFormatting>
  <conditionalFormatting sqref="I53">
    <cfRule type="expression" dxfId="167" priority="5" stopIfTrue="1">
      <formula>$J$53="超过30%"</formula>
    </cfRule>
  </conditionalFormatting>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F7:F45 H7:H45 J7:J45">
    <cfRule type="cellIs" dxfId="16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5" zoomScale="90" zoomScaleNormal="80" zoomScaleSheetLayoutView="90" workbookViewId="0">
      <selection activeCell="H19" sqref="H19"/>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79" customWidth="1"/>
    <col min="33" max="36" width="9.375" style="2248" customWidth="1"/>
    <col min="37" max="38" width="9.375" style="2182" customWidth="1"/>
    <col min="39" max="16384" width="12" style="2182"/>
  </cols>
  <sheetData>
    <row r="1" spans="1:36" ht="28.5">
      <c r="A1" s="200" t="s">
        <v>2624</v>
      </c>
      <c r="B1" s="201"/>
      <c r="C1" s="205" t="s">
        <v>2625</v>
      </c>
      <c r="D1" s="346">
        <f>SUM(D29:D30,D33:D39)</f>
        <v>153466.57</v>
      </c>
      <c r="E1" s="2179"/>
      <c r="F1" s="2179"/>
      <c r="G1" s="2179"/>
      <c r="H1" s="2179"/>
      <c r="I1" s="2179"/>
      <c r="J1" s="2179"/>
      <c r="K1" s="1277"/>
      <c r="L1" s="2180" t="s">
        <v>2626</v>
      </c>
      <c r="M1" s="991">
        <f>SUMPRODUCT((区片价!B5:B9=I2)*(区片价!C3:F3=E2)*(区片价!C5:F9))</f>
        <v>29780</v>
      </c>
      <c r="N1" s="994">
        <f>SUMPRODUCT((因素修正幅度!B5:B9=I2)*(因素修正幅度!C3:F3=E2)*(因素修正幅度!C5:F9))</f>
        <v>9.8000000000000004E-2</v>
      </c>
      <c r="O1" s="2181"/>
      <c r="P1" s="2181"/>
      <c r="Q1" s="1277"/>
      <c r="R1" s="1371" t="s">
        <v>2627</v>
      </c>
      <c r="S1" s="1371" t="s">
        <v>2628</v>
      </c>
      <c r="T1" s="1371" t="s">
        <v>2629</v>
      </c>
      <c r="U1" s="1371" t="s">
        <v>2630</v>
      </c>
      <c r="V1" s="1371" t="s">
        <v>2631</v>
      </c>
      <c r="W1" s="1375"/>
      <c r="X1" s="1375"/>
      <c r="Y1" s="1375"/>
      <c r="Z1" s="1375"/>
      <c r="AA1" s="1375"/>
      <c r="AB1" s="1375"/>
      <c r="AC1" s="1376"/>
      <c r="AD1" s="1377"/>
      <c r="AE1" s="1377"/>
      <c r="AF1" s="1377"/>
      <c r="AG1" s="1377"/>
      <c r="AH1" s="1377"/>
      <c r="AI1" s="1377"/>
      <c r="AJ1" s="1378"/>
    </row>
    <row r="2" spans="1:36" ht="15.75">
      <c r="A2" s="205" t="s">
        <v>2632</v>
      </c>
      <c r="B2" s="208">
        <f ca="1">C26</f>
        <v>422612</v>
      </c>
      <c r="C2" s="2183" t="s">
        <v>2633</v>
      </c>
      <c r="D2" s="2184" t="s">
        <v>2634</v>
      </c>
      <c r="E2" s="2185" t="s">
        <v>27</v>
      </c>
      <c r="F2" s="2184" t="s">
        <v>2635</v>
      </c>
      <c r="G2" s="2186" t="str">
        <f>IF(E2="商业",项目基本情况!B37,IF(E2="办公",项目基本情况!C37,IF(E2="住宅",项目基本情况!D37,项目基本情况!E37)))</f>
        <v>一级</v>
      </c>
      <c r="H2" s="2184" t="s">
        <v>2636</v>
      </c>
      <c r="I2" s="2186" t="str">
        <f>IF(E2="商业",项目基本情况!B38,IF(E2="办公",项目基本情况!C38,IF(E2="住宅",项目基本情况!D38,项目基本情况!E38)))</f>
        <v>Ⅰ—04</v>
      </c>
      <c r="J2" s="2187"/>
      <c r="K2" s="1277"/>
      <c r="L2" s="2188" t="s">
        <v>2637</v>
      </c>
      <c r="M2" s="992">
        <f>SUMPRODUCT((区片价!B10:B28=I2)*(区片价!C3:F3=E2)*(区片价!C10:F28))</f>
        <v>0</v>
      </c>
      <c r="N2" s="994">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1.9361999999999999</v>
      </c>
      <c r="T2" s="1371">
        <f ca="1">ROUND($C$5*$C$18*$C$19*$C$20*S2*$C$24,0)</f>
        <v>74492</v>
      </c>
      <c r="U2" s="1372"/>
      <c r="V2" s="1371">
        <f ca="1">ROUND(T2*U2/10000,0)</f>
        <v>0</v>
      </c>
      <c r="W2" s="1375"/>
      <c r="X2" s="1375"/>
      <c r="Y2" s="1375"/>
      <c r="Z2" s="1375"/>
      <c r="AA2" s="1375"/>
      <c r="AB2" s="1375"/>
      <c r="AC2" s="1376"/>
      <c r="AD2" s="1377"/>
      <c r="AE2" s="1377"/>
      <c r="AF2" s="1377"/>
      <c r="AG2" s="1377"/>
      <c r="AH2" s="1377"/>
      <c r="AI2" s="1377"/>
      <c r="AJ2" s="1378"/>
    </row>
    <row r="3" spans="1:36" ht="25.5">
      <c r="A3" s="207" t="s">
        <v>2638</v>
      </c>
      <c r="B3" s="208">
        <f ca="1">ROUND(B2*10000/D1,0)</f>
        <v>27538</v>
      </c>
      <c r="C3" s="2183" t="s">
        <v>2639</v>
      </c>
      <c r="D3" s="2184" t="s">
        <v>2640</v>
      </c>
      <c r="E3" s="2189" t="s">
        <v>3076</v>
      </c>
      <c r="F3" s="2190" t="s">
        <v>2641</v>
      </c>
      <c r="G3" s="852">
        <f>IF(F3="宗地容积率",'数据-汇总表'!I4,IF(F3="估价对象容积率",'数据-汇总表'!I6,'数据-汇总表'!I7))</f>
        <v>5.99</v>
      </c>
      <c r="H3" s="173" t="s">
        <v>2642</v>
      </c>
      <c r="I3" s="878"/>
      <c r="J3" s="2187" t="s">
        <v>2643</v>
      </c>
      <c r="K3" s="1277"/>
      <c r="L3" s="2188" t="s">
        <v>2644</v>
      </c>
      <c r="M3" s="992">
        <f>SUMPRODUCT((区片价!B29:B48=I2)*(区片价!C3:F3=E2)*(区片价!C29:F48))</f>
        <v>0</v>
      </c>
      <c r="N3" s="994">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1.4198</v>
      </c>
      <c r="T3" s="1371">
        <f t="shared" ref="T3:T16" ca="1" si="0">ROUND($C$5*$C$18*$C$19*$C$20*S3*$C$24,0)</f>
        <v>54625</v>
      </c>
      <c r="U3" s="1372"/>
      <c r="V3" s="1371">
        <f t="shared" ref="V3:V16" ca="1" si="1">ROUND(T3*U3/10000,0)</f>
        <v>0</v>
      </c>
      <c r="W3" s="1375"/>
      <c r="X3" s="1375"/>
      <c r="Y3" s="1375"/>
      <c r="Z3" s="1375"/>
      <c r="AA3" s="1375"/>
      <c r="AB3" s="1375"/>
      <c r="AC3" s="1376"/>
      <c r="AD3" s="1377"/>
      <c r="AE3" s="1377"/>
      <c r="AF3" s="1377"/>
      <c r="AG3" s="1377"/>
      <c r="AH3" s="1377"/>
      <c r="AI3" s="1377"/>
      <c r="AJ3" s="1378"/>
    </row>
    <row r="4" spans="1:36" ht="15.75">
      <c r="A4" s="3340"/>
      <c r="B4" s="3341"/>
      <c r="C4" s="3341"/>
      <c r="D4" s="3342"/>
      <c r="E4" s="3342"/>
      <c r="F4" s="3342"/>
      <c r="G4" s="3342"/>
      <c r="H4" s="3342"/>
      <c r="I4" s="3342"/>
      <c r="J4" s="3343"/>
      <c r="K4" s="1277"/>
      <c r="L4" s="2188" t="s">
        <v>2645</v>
      </c>
      <c r="M4" s="992">
        <f>SUMPRODUCT((区片价!B49:B75=I2)*(区片价!C3:F3=E2)*(区片价!C49:F75))</f>
        <v>0</v>
      </c>
      <c r="N4" s="994">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1.1594</v>
      </c>
      <c r="T4" s="1371">
        <f t="shared" ca="1" si="0"/>
        <v>44606</v>
      </c>
      <c r="U4" s="1372"/>
      <c r="V4" s="1371">
        <f t="shared" ca="1" si="1"/>
        <v>0</v>
      </c>
      <c r="W4" s="1375"/>
      <c r="X4" s="1375"/>
      <c r="Y4" s="1375"/>
      <c r="Z4" s="1375"/>
      <c r="AA4" s="1375"/>
      <c r="AB4" s="1375"/>
      <c r="AC4" s="1376"/>
      <c r="AD4" s="1377"/>
      <c r="AE4" s="1377"/>
      <c r="AF4" s="1377"/>
      <c r="AG4" s="1377"/>
      <c r="AH4" s="1377"/>
      <c r="AI4" s="1377"/>
      <c r="AJ4" s="1378"/>
    </row>
    <row r="5" spans="1:36" s="2200" customFormat="1" ht="15.75" thickBot="1">
      <c r="A5" s="2191" t="s">
        <v>807</v>
      </c>
      <c r="B5" s="2192" t="s">
        <v>2646</v>
      </c>
      <c r="C5" s="853">
        <f>ROUND(IF(E2="商业",C6*C7+C16,(IF(E2="住宅",C6*C12+C16,C6+C16))),0)</f>
        <v>29780</v>
      </c>
      <c r="D5" s="1522">
        <f>ROUND(C6+C16,0)</f>
        <v>29780</v>
      </c>
      <c r="E5" s="1522"/>
      <c r="F5" s="2193"/>
      <c r="G5" s="2194"/>
      <c r="H5" s="2194"/>
      <c r="I5" s="2194"/>
      <c r="J5" s="2195"/>
      <c r="K5" s="2196"/>
      <c r="L5" s="2188" t="s">
        <v>2647</v>
      </c>
      <c r="M5" s="992">
        <f>SUMPRODUCT((区片价!B76:B109=I2)*(区片价!C3:F3=E2)*(区片价!C76:F109))</f>
        <v>0</v>
      </c>
      <c r="N5" s="994">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0.96220000000000006</v>
      </c>
      <c r="T5" s="1371">
        <f t="shared" ca="1" si="0"/>
        <v>37019</v>
      </c>
      <c r="U5" s="1372"/>
      <c r="V5" s="1371">
        <f t="shared" ca="1" si="1"/>
        <v>0</v>
      </c>
      <c r="W5" s="1375"/>
      <c r="X5" s="1375"/>
      <c r="Y5" s="1375"/>
      <c r="Z5" s="1375"/>
      <c r="AA5" s="1375"/>
      <c r="AB5" s="1375"/>
      <c r="AC5" s="2197"/>
      <c r="AD5" s="2198"/>
      <c r="AE5" s="2198"/>
      <c r="AF5" s="2198"/>
      <c r="AG5" s="2198"/>
      <c r="AH5" s="2198"/>
      <c r="AI5" s="2198"/>
      <c r="AJ5" s="2199"/>
    </row>
    <row r="6" spans="1:36" ht="15.75" thickBot="1">
      <c r="A6" s="2201" t="s">
        <v>2648</v>
      </c>
      <c r="B6" s="2202" t="s">
        <v>2649</v>
      </c>
      <c r="C6" s="854">
        <f>SUMIF(L1:L12,G2,M1:M12)</f>
        <v>29780</v>
      </c>
      <c r="D6" s="2203" t="s">
        <v>2650</v>
      </c>
      <c r="E6" s="2204"/>
      <c r="F6" s="2204"/>
      <c r="G6" s="2205"/>
      <c r="H6" s="2205"/>
      <c r="I6" s="2205"/>
      <c r="J6" s="2206"/>
      <c r="K6" s="1567"/>
      <c r="L6" s="2188" t="s">
        <v>2651</v>
      </c>
      <c r="M6" s="992">
        <f>SUMPRODUCT((区片价!B110:B157=I2)*(区片价!C3:F3=E2)*(区片价!C110:F157))</f>
        <v>0</v>
      </c>
      <c r="N6" s="994">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0.8417</v>
      </c>
      <c r="T6" s="1371">
        <f t="shared" ca="1" si="0"/>
        <v>32383</v>
      </c>
      <c r="U6" s="1372"/>
      <c r="V6" s="1371">
        <f t="shared" ca="1" si="1"/>
        <v>0</v>
      </c>
      <c r="W6" s="1375"/>
      <c r="X6" s="1375"/>
      <c r="Y6" s="1375"/>
      <c r="Z6" s="1375"/>
      <c r="AA6" s="1375"/>
      <c r="AB6" s="1375"/>
      <c r="AC6" s="2197"/>
      <c r="AD6" s="2198"/>
      <c r="AE6" s="2198"/>
      <c r="AF6" s="2198"/>
      <c r="AG6" s="2198"/>
      <c r="AH6" s="2198"/>
      <c r="AI6" s="2198"/>
      <c r="AJ6" s="2199"/>
    </row>
    <row r="7" spans="1:36" ht="24">
      <c r="A7" s="3321" t="str">
        <f>IF(E2="商业",IF(C8="不临58条商业街","",2),"")</f>
        <v/>
      </c>
      <c r="B7" s="2207" t="s">
        <v>2652</v>
      </c>
      <c r="C7" s="855">
        <f>IF(C8="不临58条商业街",1,ROUND(1+(1.6*E8+1.2*E9+0.8*E10+0.4*E11)*C9,4))</f>
        <v>1</v>
      </c>
      <c r="D7" s="2208" t="s">
        <v>2653</v>
      </c>
      <c r="E7" s="879"/>
      <c r="F7" s="2209"/>
      <c r="G7" s="2210"/>
      <c r="H7" s="2210"/>
      <c r="I7" s="2210"/>
      <c r="J7" s="2211"/>
      <c r="K7" s="1567"/>
      <c r="L7" s="2188" t="s">
        <v>2654</v>
      </c>
      <c r="M7" s="992">
        <f>SUMPRODUCT((区片价!B158:B205=I2)*(区片价!C3:F3=E2)*(区片价!C158:F205))</f>
        <v>0</v>
      </c>
      <c r="N7" s="994">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0.76080000000000003</v>
      </c>
      <c r="T7" s="1371">
        <f t="shared" ca="1" si="0"/>
        <v>29271</v>
      </c>
      <c r="U7" s="1372"/>
      <c r="V7" s="1371">
        <f t="shared" ca="1" si="1"/>
        <v>0</v>
      </c>
      <c r="W7" s="1541" t="s">
        <v>2655</v>
      </c>
      <c r="X7" s="1373" t="str">
        <f>G2</f>
        <v>一级</v>
      </c>
      <c r="Y7" s="1373" t="s">
        <v>2656</v>
      </c>
      <c r="Z7" s="1374">
        <f>G3</f>
        <v>5.99</v>
      </c>
      <c r="AA7" s="1375"/>
      <c r="AB7" s="1375"/>
      <c r="AC7" s="1376"/>
      <c r="AD7" s="1377"/>
      <c r="AE7" s="1377"/>
      <c r="AF7" s="1377"/>
      <c r="AG7" s="1377"/>
      <c r="AH7" s="1377"/>
      <c r="AI7" s="1377"/>
      <c r="AJ7" s="1378"/>
    </row>
    <row r="8" spans="1:36" ht="25.5">
      <c r="A8" s="3344"/>
      <c r="B8" s="173" t="s">
        <v>2657</v>
      </c>
      <c r="C8" s="2212" t="s">
        <v>3080</v>
      </c>
      <c r="D8" s="856" t="s">
        <v>139</v>
      </c>
      <c r="E8" s="857" t="e">
        <f>ROUND(C11/E7,4)</f>
        <v>#DIV/0!</v>
      </c>
      <c r="F8" s="2213" t="s">
        <v>2658</v>
      </c>
      <c r="G8" s="2214"/>
      <c r="H8" s="2214"/>
      <c r="I8" s="2214"/>
      <c r="J8" s="2215"/>
      <c r="K8" s="1277"/>
      <c r="L8" s="2188" t="s">
        <v>2659</v>
      </c>
      <c r="M8" s="992">
        <f>SUMPRODUCT((区片价!B206:B244=I2)*(区片价!C3:F3=E2)*(区片价!C206:F244))</f>
        <v>0</v>
      </c>
      <c r="N8" s="994">
        <f>SUMPRODUCT((因素修正幅度!B206:B244=I2)*(因素修正幅度!C3:F3=E2)*(因素修正幅度!C206:F244))</f>
        <v>0</v>
      </c>
      <c r="O8" s="1277"/>
      <c r="P8" s="1277"/>
      <c r="Q8" s="1277"/>
      <c r="R8" s="1371">
        <v>7</v>
      </c>
      <c r="S8" s="1372"/>
      <c r="T8" s="1371">
        <f t="shared" ca="1" si="0"/>
        <v>0</v>
      </c>
      <c r="U8" s="1372"/>
      <c r="V8" s="1371">
        <f t="shared" ca="1" si="1"/>
        <v>0</v>
      </c>
      <c r="W8" s="3337" t="s">
        <v>2660</v>
      </c>
      <c r="X8" s="3338"/>
      <c r="Y8" s="1379" t="s">
        <v>2661</v>
      </c>
      <c r="Z8" s="1379" t="s">
        <v>2662</v>
      </c>
      <c r="AA8" s="1379" t="s">
        <v>2663</v>
      </c>
      <c r="AB8" s="1379" t="s">
        <v>2664</v>
      </c>
      <c r="AC8" s="1379" t="s">
        <v>2665</v>
      </c>
      <c r="AD8" s="1379" t="s">
        <v>2666</v>
      </c>
      <c r="AE8" s="1379" t="s">
        <v>2667</v>
      </c>
      <c r="AF8" s="1379" t="s">
        <v>2668</v>
      </c>
      <c r="AG8" s="1379" t="s">
        <v>2669</v>
      </c>
      <c r="AH8" s="1379" t="s">
        <v>2670</v>
      </c>
      <c r="AI8" s="1379" t="s">
        <v>2671</v>
      </c>
      <c r="AJ8" s="1379" t="s">
        <v>2672</v>
      </c>
    </row>
    <row r="9" spans="1:36" ht="15">
      <c r="A9" s="3344"/>
      <c r="B9" s="173" t="s">
        <v>2673</v>
      </c>
      <c r="C9" s="858">
        <f>SUMIF(修正!C59:C119,C8,修正!E59:E119)</f>
        <v>0</v>
      </c>
      <c r="D9" s="174" t="s">
        <v>140</v>
      </c>
      <c r="E9" s="174" t="e">
        <f>ROUND(C11/E7,4)</f>
        <v>#DIV/0!</v>
      </c>
      <c r="F9" s="2213" t="s">
        <v>2674</v>
      </c>
      <c r="G9" s="2214"/>
      <c r="H9" s="2214"/>
      <c r="I9" s="2214"/>
      <c r="J9" s="2215"/>
      <c r="K9" s="1277"/>
      <c r="L9" s="2188" t="s">
        <v>2675</v>
      </c>
      <c r="M9" s="992">
        <f>SUMPRODUCT((区片价!B245:B289=I2)*(区片价!C3:F3=E2)*(区片价!C245:F289))</f>
        <v>0</v>
      </c>
      <c r="N9" s="994">
        <f>SUMPRODUCT((因素修正幅度!B245:B289=I2)*(因素修正幅度!C3:F3=E2)*(因素修正幅度!C245:F289))</f>
        <v>0</v>
      </c>
      <c r="O9" s="1277"/>
      <c r="P9" s="1277"/>
      <c r="Q9" s="1277"/>
      <c r="R9" s="1371">
        <v>8</v>
      </c>
      <c r="S9" s="1372"/>
      <c r="T9" s="1371">
        <f t="shared" ca="1" si="0"/>
        <v>0</v>
      </c>
      <c r="U9" s="1372"/>
      <c r="V9" s="1371">
        <f t="shared" ca="1" si="1"/>
        <v>0</v>
      </c>
      <c r="W9" s="3339" t="s">
        <v>2676</v>
      </c>
      <c r="X9" s="1380" t="s">
        <v>2677</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44"/>
      <c r="B10" s="173" t="s">
        <v>2678</v>
      </c>
      <c r="C10" s="174">
        <f>SUMIF(修正!C59:C119,C8,修正!F59:F119)</f>
        <v>0</v>
      </c>
      <c r="D10" s="174" t="s">
        <v>141</v>
      </c>
      <c r="E10" s="174" t="e">
        <f>ROUND(C11/E7,4)</f>
        <v>#DIV/0!</v>
      </c>
      <c r="F10" s="2213" t="s">
        <v>2679</v>
      </c>
      <c r="G10" s="2214"/>
      <c r="H10" s="2214"/>
      <c r="I10" s="2214"/>
      <c r="J10" s="2215"/>
      <c r="K10" s="1277"/>
      <c r="L10" s="2188" t="s">
        <v>2680</v>
      </c>
      <c r="M10" s="992">
        <f>SUMPRODUCT((区片价!B290:B316=I2)*(区片价!C3:F3=E2)*(区片价!C290:F316))</f>
        <v>0</v>
      </c>
      <c r="N10" s="994">
        <f>SUMPRODUCT((因素修正幅度!B290:B316=I2)*(因素修正幅度!C3:F3=E2)*(因素修正幅度!C290:F316))</f>
        <v>0</v>
      </c>
      <c r="O10" s="1277"/>
      <c r="P10" s="1277"/>
      <c r="Q10" s="1277"/>
      <c r="R10" s="1371">
        <v>9</v>
      </c>
      <c r="S10" s="1372"/>
      <c r="T10" s="1371">
        <f t="shared" ca="1" si="0"/>
        <v>0</v>
      </c>
      <c r="U10" s="1372"/>
      <c r="V10" s="1371">
        <f t="shared" ca="1" si="1"/>
        <v>0</v>
      </c>
      <c r="W10" s="3339"/>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44"/>
      <c r="B11" s="2216" t="s">
        <v>2681</v>
      </c>
      <c r="C11" s="859">
        <f>C10/4</f>
        <v>0</v>
      </c>
      <c r="D11" s="859" t="s">
        <v>142</v>
      </c>
      <c r="E11" s="859" t="e">
        <f>ROUND(C11/E7,4)</f>
        <v>#DIV/0!</v>
      </c>
      <c r="F11" s="2217" t="s">
        <v>2682</v>
      </c>
      <c r="G11" s="2218"/>
      <c r="H11" s="2218"/>
      <c r="I11" s="2218"/>
      <c r="J11" s="2219"/>
      <c r="K11" s="1277"/>
      <c r="L11" s="2188" t="s">
        <v>2683</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f t="shared" ca="1" si="0"/>
        <v>0</v>
      </c>
      <c r="U11" s="1372"/>
      <c r="V11" s="1371">
        <f t="shared" ca="1" si="1"/>
        <v>0</v>
      </c>
      <c r="W11" s="3339" t="s">
        <v>2684</v>
      </c>
      <c r="X11" s="1383" t="s">
        <v>2685</v>
      </c>
      <c r="Y11" s="1384">
        <f>$G$3</f>
        <v>5.99</v>
      </c>
      <c r="Z11" s="1384">
        <f t="shared" ref="Z11:AJ11" si="3">$G$3</f>
        <v>5.99</v>
      </c>
      <c r="AA11" s="1384">
        <f t="shared" si="3"/>
        <v>5.99</v>
      </c>
      <c r="AB11" s="1384">
        <f t="shared" si="3"/>
        <v>5.99</v>
      </c>
      <c r="AC11" s="1384">
        <f t="shared" si="3"/>
        <v>5.99</v>
      </c>
      <c r="AD11" s="1384">
        <f t="shared" si="3"/>
        <v>5.99</v>
      </c>
      <c r="AE11" s="1384">
        <f t="shared" si="3"/>
        <v>5.99</v>
      </c>
      <c r="AF11" s="1384">
        <f t="shared" si="3"/>
        <v>5.99</v>
      </c>
      <c r="AG11" s="1384">
        <f t="shared" si="3"/>
        <v>5.99</v>
      </c>
      <c r="AH11" s="1384">
        <f t="shared" si="3"/>
        <v>5.99</v>
      </c>
      <c r="AI11" s="1384">
        <f t="shared" si="3"/>
        <v>5.99</v>
      </c>
      <c r="AJ11" s="1384">
        <f t="shared" si="3"/>
        <v>5.99</v>
      </c>
    </row>
    <row r="12" spans="1:36" ht="25.5" thickBot="1">
      <c r="A12" s="3321" t="s">
        <v>2686</v>
      </c>
      <c r="B12" s="2220" t="s">
        <v>2687</v>
      </c>
      <c r="C12" s="855">
        <f>ROUND(C15*D15*E15*F15*G15*H15*I15*J15,4)</f>
        <v>1.452</v>
      </c>
      <c r="D12" s="2221" t="s">
        <v>2688</v>
      </c>
      <c r="E12" s="2222"/>
      <c r="F12" s="2222"/>
      <c r="G12" s="2223"/>
      <c r="H12" s="2223"/>
      <c r="I12" s="2223"/>
      <c r="J12" s="2224"/>
      <c r="K12" s="1277"/>
      <c r="L12" s="2225" t="s">
        <v>2689</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f t="shared" ca="1" si="0"/>
        <v>0</v>
      </c>
      <c r="U12" s="1372"/>
      <c r="V12" s="1371">
        <f t="shared" ca="1" si="1"/>
        <v>0</v>
      </c>
      <c r="W12" s="3339"/>
      <c r="X12" s="1385" t="s">
        <v>2690</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45"/>
      <c r="B13" s="2226" t="s">
        <v>2691</v>
      </c>
      <c r="C13" s="2227" t="s">
        <v>2692</v>
      </c>
      <c r="D13" s="1533" t="s">
        <v>2693</v>
      </c>
      <c r="E13" s="1533" t="s">
        <v>2694</v>
      </c>
      <c r="F13" s="30" t="s">
        <v>2695</v>
      </c>
      <c r="G13" s="2228" t="s">
        <v>2696</v>
      </c>
      <c r="H13" s="2228" t="s">
        <v>2696</v>
      </c>
      <c r="I13" s="2228" t="s">
        <v>2696</v>
      </c>
      <c r="J13" s="2229" t="s">
        <v>2696</v>
      </c>
      <c r="K13" s="1277"/>
      <c r="L13" s="1277"/>
      <c r="M13" s="1277"/>
      <c r="N13" s="1277"/>
      <c r="O13" s="1277"/>
      <c r="P13" s="1277"/>
      <c r="Q13" s="1277"/>
      <c r="R13" s="1371">
        <v>12</v>
      </c>
      <c r="S13" s="1372"/>
      <c r="T13" s="1371">
        <f t="shared" ca="1" si="0"/>
        <v>0</v>
      </c>
      <c r="U13" s="1372"/>
      <c r="V13" s="1371">
        <f t="shared" ca="1" si="1"/>
        <v>0</v>
      </c>
      <c r="W13" s="3339"/>
      <c r="X13" s="1385"/>
      <c r="Y13" s="1382">
        <f>(-0.163*(Y12^2)-0.59*Y12+7617)*(10^(-4))/Y11</f>
        <v>0.12716193656093489</v>
      </c>
      <c r="Z13" s="1382">
        <f t="shared" ref="Z13:AJ13" si="5">(-0.163*(Z12^2)-0.59*Z12+7617)*(10^(-4))/Z11</f>
        <v>0.12716193656093489</v>
      </c>
      <c r="AA13" s="1382">
        <f t="shared" si="5"/>
        <v>0.12716193656093489</v>
      </c>
      <c r="AB13" s="1382">
        <f t="shared" si="5"/>
        <v>0.12716193656093489</v>
      </c>
      <c r="AC13" s="1382">
        <f t="shared" si="5"/>
        <v>0.12716193656093489</v>
      </c>
      <c r="AD13" s="1382">
        <f t="shared" si="5"/>
        <v>0.12716193656093489</v>
      </c>
      <c r="AE13" s="1382">
        <f t="shared" si="5"/>
        <v>0.12716193656093489</v>
      </c>
      <c r="AF13" s="1382">
        <f t="shared" si="5"/>
        <v>0.12716193656093489</v>
      </c>
      <c r="AG13" s="1382">
        <f t="shared" si="5"/>
        <v>0.12716193656093489</v>
      </c>
      <c r="AH13" s="1382">
        <f t="shared" si="5"/>
        <v>0.12716193656093489</v>
      </c>
      <c r="AI13" s="1382">
        <f t="shared" si="5"/>
        <v>0.12716193656093489</v>
      </c>
      <c r="AJ13" s="1382">
        <f t="shared" si="5"/>
        <v>0.12716193656093489</v>
      </c>
    </row>
    <row r="14" spans="1:36" ht="15">
      <c r="A14" s="3345"/>
      <c r="B14" s="2230"/>
      <c r="C14" s="2231" t="s">
        <v>3068</v>
      </c>
      <c r="D14" s="2232" t="s">
        <v>3069</v>
      </c>
      <c r="E14" s="2232" t="s">
        <v>3068</v>
      </c>
      <c r="F14" s="2233" t="s">
        <v>3070</v>
      </c>
      <c r="G14" s="2234" t="s">
        <v>2697</v>
      </c>
      <c r="H14" s="2235"/>
      <c r="I14" s="2236"/>
      <c r="J14" s="2237"/>
      <c r="K14" s="1277"/>
      <c r="L14" s="1277"/>
      <c r="M14" s="1277"/>
      <c r="N14" s="1277"/>
      <c r="O14" s="1277"/>
      <c r="P14" s="1277"/>
      <c r="Q14" s="1277"/>
      <c r="R14" s="1371">
        <v>13</v>
      </c>
      <c r="S14" s="1372"/>
      <c r="T14" s="1371">
        <f t="shared" ca="1" si="0"/>
        <v>0</v>
      </c>
      <c r="U14" s="1372"/>
      <c r="V14" s="1371">
        <f t="shared" ca="1" si="1"/>
        <v>0</v>
      </c>
      <c r="W14" s="1375"/>
      <c r="X14" s="1375"/>
      <c r="Y14" s="1375"/>
      <c r="Z14" s="1375"/>
      <c r="AA14" s="1375"/>
      <c r="AB14" s="1375"/>
      <c r="AC14" s="1376"/>
      <c r="AD14" s="3018"/>
      <c r="AE14" s="3018"/>
      <c r="AF14" s="3018"/>
      <c r="AG14" s="3018"/>
      <c r="AH14" s="3018"/>
      <c r="AI14" s="3018"/>
      <c r="AJ14" s="3019"/>
    </row>
    <row r="15" spans="1:36" ht="15.75" thickBot="1">
      <c r="A15" s="3346"/>
      <c r="B15" s="2238" t="s">
        <v>2698</v>
      </c>
      <c r="C15" s="191">
        <f>IF(C14="有",1.1,1)</f>
        <v>1.1000000000000001</v>
      </c>
      <c r="D15" s="191">
        <f>IF(D14="有",1.1,1)</f>
        <v>1</v>
      </c>
      <c r="E15" s="191">
        <f>IF(E14="有",1.1,1)</f>
        <v>1.1000000000000001</v>
      </c>
      <c r="F15" s="191">
        <f>IF(F14="500米范围内",1.2,IF(F14="500-1000米",1.1,1))</f>
        <v>1.2</v>
      </c>
      <c r="G15" s="880">
        <v>1</v>
      </c>
      <c r="H15" s="880">
        <v>1</v>
      </c>
      <c r="I15" s="880">
        <v>1</v>
      </c>
      <c r="J15" s="881">
        <v>1</v>
      </c>
      <c r="K15" s="1277"/>
      <c r="L15" s="2181"/>
      <c r="M15" s="2181"/>
      <c r="N15" s="2181"/>
      <c r="O15" s="2181"/>
      <c r="P15" s="2181"/>
      <c r="Q15" s="1277"/>
      <c r="R15" s="1371">
        <v>14</v>
      </c>
      <c r="S15" s="1372"/>
      <c r="T15" s="1371">
        <f t="shared" ca="1" si="0"/>
        <v>0</v>
      </c>
      <c r="U15" s="1372"/>
      <c r="V15" s="1371">
        <f t="shared" ca="1" si="1"/>
        <v>0</v>
      </c>
      <c r="W15" s="1375"/>
      <c r="X15" s="1375"/>
      <c r="Y15" s="1375"/>
      <c r="Z15" s="1375"/>
      <c r="AA15" s="1375"/>
      <c r="AB15" s="1375"/>
      <c r="AC15" s="1376"/>
      <c r="AD15" s="3018"/>
      <c r="AE15" s="3018"/>
      <c r="AF15" s="3018"/>
      <c r="AG15" s="3018"/>
      <c r="AH15" s="3018"/>
      <c r="AI15" s="3018"/>
      <c r="AJ15" s="3019"/>
    </row>
    <row r="16" spans="1:36" ht="24.6" customHeight="1">
      <c r="A16" s="3321" t="s">
        <v>2703</v>
      </c>
      <c r="B16" s="2207" t="s">
        <v>2704</v>
      </c>
      <c r="C16" s="2369">
        <f>ROUND(IF(F17="与级别开发程度一致",0,(G17-E17)/C17),0)</f>
        <v>0</v>
      </c>
      <c r="D16" s="3334" t="s">
        <v>2708</v>
      </c>
      <c r="E16" s="3335"/>
      <c r="F16" s="3334" t="s">
        <v>2705</v>
      </c>
      <c r="G16" s="3335"/>
      <c r="H16" s="2239" t="s">
        <v>3063</v>
      </c>
      <c r="I16" s="2239"/>
      <c r="J16" s="2373"/>
      <c r="K16" s="2239"/>
      <c r="L16" s="2239"/>
      <c r="M16" s="2239"/>
      <c r="N16" s="2239"/>
      <c r="O16" s="2240"/>
      <c r="P16" s="2181"/>
      <c r="Q16" s="1277"/>
      <c r="R16" s="1371">
        <v>15</v>
      </c>
      <c r="S16" s="1372"/>
      <c r="T16" s="1371">
        <f t="shared" ca="1" si="0"/>
        <v>0</v>
      </c>
      <c r="U16" s="1372"/>
      <c r="V16" s="1371">
        <f t="shared" ca="1" si="1"/>
        <v>0</v>
      </c>
      <c r="W16" s="1375"/>
      <c r="X16" s="1375"/>
      <c r="Y16" s="1375"/>
      <c r="Z16" s="1375"/>
      <c r="AA16" s="1375"/>
      <c r="AB16" s="1375"/>
      <c r="AC16" s="1376"/>
      <c r="AD16" s="3018"/>
      <c r="AE16" s="3018"/>
      <c r="AF16" s="3018"/>
      <c r="AG16" s="3018"/>
      <c r="AH16" s="3018"/>
      <c r="AI16" s="3018"/>
      <c r="AJ16" s="3019"/>
    </row>
    <row r="17" spans="1:37" ht="26.25" thickBot="1">
      <c r="A17" s="3322"/>
      <c r="B17" s="2380" t="s">
        <v>2707</v>
      </c>
      <c r="C17" s="2381">
        <f>SUMPRODUCT((修正!A2:A5=E2)*(修正!B1:M1=G2)*(修正!B2:M5))</f>
        <v>3.5</v>
      </c>
      <c r="D17" s="191" t="str">
        <f>IF(OR(G2="八级",G2="九级",G2="十级",G2="十一级",G2="十二级"),"五通一平","七通一平")</f>
        <v>七通一平</v>
      </c>
      <c r="E17" s="2370">
        <f>SUMPRODUCT((修正!B1:M1=G2)*(修正!B15:M15))</f>
        <v>375</v>
      </c>
      <c r="F17" s="2371" t="s">
        <v>3071</v>
      </c>
      <c r="G17" s="2372">
        <f>SUM(H17:O17)</f>
        <v>70</v>
      </c>
      <c r="H17" s="2381">
        <f>SUMPRODUCT((七通一平=H16)*(修正!B1:M1=G2)*(修正!B6:M14))</f>
        <v>70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7"/>
      <c r="R17" s="1277"/>
      <c r="S17" s="1277"/>
      <c r="T17" s="1277"/>
      <c r="U17" s="1277"/>
      <c r="V17" s="1277"/>
      <c r="W17" s="1277"/>
      <c r="X17" s="1277"/>
      <c r="Y17" s="1277"/>
      <c r="Z17" s="1278"/>
      <c r="AA17" s="1278"/>
      <c r="AB17" s="1278"/>
      <c r="AC17" s="1278"/>
      <c r="AD17" s="1278"/>
      <c r="AE17" s="1277"/>
      <c r="AF17" s="1277"/>
      <c r="AG17" s="2181"/>
      <c r="AH17" s="2181"/>
      <c r="AI17" s="2181"/>
      <c r="AJ17" s="2181"/>
    </row>
    <row r="18" spans="1:37" s="2200" customFormat="1" ht="15.75" thickBot="1">
      <c r="A18" s="2374" t="s">
        <v>808</v>
      </c>
      <c r="B18" s="2375" t="s">
        <v>2710</v>
      </c>
      <c r="C18" s="2376">
        <f>SUMIF(修正!C18:C39,E3,修正!E18:E39)</f>
        <v>1</v>
      </c>
      <c r="D18" s="2377"/>
      <c r="E18" s="2378"/>
      <c r="F18" s="2378"/>
      <c r="G18" s="2378"/>
      <c r="H18" s="2378"/>
      <c r="I18" s="2378"/>
      <c r="J18" s="2379"/>
      <c r="K18" s="1284"/>
      <c r="L18" s="3017"/>
      <c r="M18" s="3017"/>
      <c r="N18" s="3017"/>
      <c r="O18" s="1282"/>
      <c r="P18" s="1282"/>
      <c r="Q18" s="1283"/>
      <c r="R18" s="1283"/>
      <c r="S18" s="1283"/>
      <c r="T18" s="1278"/>
      <c r="U18" s="1278"/>
      <c r="V18" s="1278"/>
      <c r="W18" s="1277"/>
      <c r="X18" s="1277"/>
      <c r="Y18" s="1277"/>
      <c r="Z18" s="1284"/>
      <c r="AA18" s="1284"/>
      <c r="AB18" s="1284"/>
      <c r="AC18" s="1284"/>
      <c r="AD18" s="1284"/>
      <c r="AE18" s="1278"/>
      <c r="AF18" s="1278"/>
      <c r="AG18" s="2338"/>
      <c r="AH18" s="2338"/>
      <c r="AI18" s="2338"/>
      <c r="AJ18" s="3017"/>
    </row>
    <row r="19" spans="1:37" s="2200" customFormat="1" ht="29.25" thickBot="1">
      <c r="A19" s="2244" t="s">
        <v>809</v>
      </c>
      <c r="B19" s="2245" t="s">
        <v>2711</v>
      </c>
      <c r="C19" s="860">
        <f>ROUND(IF(H19="按公示增长率计算",SUMPRODUCT((地价!A3:A32=YEAR(G19)&amp;"-"&amp;ROUNDUP(MONTH(G19)/3,0))*(地价!X2:AB2=E2)*(地价!X3:AB32)),IF(H19="地价指数",M20/M19,(1+I19)^O19)),4)</f>
        <v>1.3420000000000001</v>
      </c>
      <c r="D19" s="2249" t="s">
        <v>2712</v>
      </c>
      <c r="E19" s="861">
        <v>41640</v>
      </c>
      <c r="F19" s="2249" t="s">
        <v>2713</v>
      </c>
      <c r="G19" s="862">
        <f>'数据-取费表'!B2</f>
        <v>44141</v>
      </c>
      <c r="H19" s="2250" t="s">
        <v>3102</v>
      </c>
      <c r="I19" s="863" t="str">
        <f>IF(H19="季度增幅（自定义）",SUMIF(N21:N24,E2,O21:O24),"")</f>
        <v/>
      </c>
      <c r="J19" s="2247"/>
      <c r="K19" s="1284"/>
      <c r="L19" s="2251" t="s">
        <v>2714</v>
      </c>
      <c r="M19" s="1495">
        <f>ROUND(SUMIF(地价!B2:F2,E2,地价!B32:F32),0)</f>
        <v>258</v>
      </c>
      <c r="N19" s="2252" t="s">
        <v>2715</v>
      </c>
      <c r="O19" s="864">
        <f>ROUNDDOWN(DATEDIF(E19,G19,"M")/3,0)</f>
        <v>27</v>
      </c>
      <c r="P19" s="1281"/>
      <c r="Q19" s="1283"/>
      <c r="R19" s="1283"/>
      <c r="S19" s="1283"/>
      <c r="T19" s="1278"/>
      <c r="U19" s="1278"/>
      <c r="V19" s="1278"/>
      <c r="W19" s="1277"/>
      <c r="X19" s="1277"/>
      <c r="Y19" s="1277"/>
      <c r="Z19" s="1284"/>
      <c r="AA19" s="1284"/>
      <c r="AB19" s="1284"/>
      <c r="AC19" s="1284"/>
      <c r="AD19" s="1284"/>
      <c r="AE19" s="1284"/>
      <c r="AF19" s="1283"/>
      <c r="AG19" s="3020"/>
      <c r="AH19" s="2338"/>
      <c r="AI19" s="3021"/>
      <c r="AJ19" s="3021"/>
      <c r="AK19" s="2253"/>
    </row>
    <row r="20" spans="1:37" s="2200" customFormat="1" ht="27.75" thickBot="1">
      <c r="A20" s="2254" t="s">
        <v>810</v>
      </c>
      <c r="B20" s="2255" t="s">
        <v>2716</v>
      </c>
      <c r="C20" s="865">
        <f ca="1">ROUND(POWER(1+G20,J20-I20)*(POWER(1+G20,I20)-1)/(POWER(1+G20,J20)-1),4)</f>
        <v>0.87739999999999996</v>
      </c>
      <c r="D20" s="2256" t="s">
        <v>2717</v>
      </c>
      <c r="E20" s="1504">
        <f ca="1">存贷款利率!D4/100</f>
        <v>4.3499999999999997E-2</v>
      </c>
      <c r="F20" s="2256" t="s">
        <v>2709</v>
      </c>
      <c r="G20" s="870">
        <f ca="1">SUMIF(M26:P26,E2,M28:P28)</f>
        <v>5.1999999999999998E-2</v>
      </c>
      <c r="H20" s="2256" t="s">
        <v>2718</v>
      </c>
      <c r="I20" s="871">
        <f>项目基本情况!F15</f>
        <v>32.54</v>
      </c>
      <c r="J20" s="872">
        <f>IF(E2="住宅",70,IF(E2="商业",40,50))</f>
        <v>50</v>
      </c>
      <c r="K20" s="1284"/>
      <c r="L20" s="2257" t="s">
        <v>2719</v>
      </c>
      <c r="M20" s="1496">
        <f>ROUND(SUMPRODUCT((地价!A4:A32=YEAR(G19)&amp;"-"&amp;ROUNDUP(MONTH(G19)/3,0))*(地价!B2:F2=E2)*(地价!B4:F32)),0)</f>
        <v>346</v>
      </c>
      <c r="N20" s="2258" t="s">
        <v>2720</v>
      </c>
      <c r="O20" s="2259" t="s">
        <v>2721</v>
      </c>
      <c r="P20" s="2260" t="s">
        <v>2722</v>
      </c>
      <c r="Q20" s="3017"/>
      <c r="R20" s="1283"/>
      <c r="S20" s="1283"/>
      <c r="T20" s="1278"/>
      <c r="U20" s="1278"/>
      <c r="V20" s="1278"/>
      <c r="W20" s="1277"/>
      <c r="X20" s="1277"/>
      <c r="Y20" s="1277"/>
      <c r="Z20" s="1284"/>
      <c r="AA20" s="1284"/>
      <c r="AB20" s="1284"/>
      <c r="AC20" s="1284"/>
      <c r="AD20" s="1284"/>
      <c r="AE20" s="1284"/>
      <c r="AF20" s="1284"/>
      <c r="AG20" s="3017"/>
      <c r="AH20" s="3017"/>
      <c r="AI20" s="3017"/>
      <c r="AJ20" s="3017"/>
    </row>
    <row r="21" spans="1:37" s="2200" customFormat="1" ht="15">
      <c r="A21" s="2261" t="s">
        <v>811</v>
      </c>
      <c r="B21" s="2262" t="s">
        <v>3072</v>
      </c>
      <c r="C21" s="873">
        <f>IF(B21="容积率修正",IF(G3&lt;=10,D22,J22),C23)</f>
        <v>0.89049999999999996</v>
      </c>
      <c r="D21" s="2263"/>
      <c r="E21" s="2263"/>
      <c r="F21" s="2263"/>
      <c r="G21" s="2263"/>
      <c r="H21" s="2263"/>
      <c r="I21" s="2263"/>
      <c r="J21" s="2264"/>
      <c r="K21" s="1284"/>
      <c r="L21" s="3017"/>
      <c r="M21" s="3017"/>
      <c r="N21" s="2265" t="s">
        <v>2723</v>
      </c>
      <c r="O21" s="1332"/>
      <c r="P21" s="1333">
        <f>SUMPRODUCT((地价!A3:A32=YEAR(G19)&amp;"-"&amp;ROUNDUP(MONTH(G19)/3,0))*(地价!AD2:AH2=N21)*(地价!AD3:AH32))</f>
        <v>1.14E-2</v>
      </c>
      <c r="Q21" s="3017"/>
      <c r="R21" s="1283"/>
      <c r="S21" s="1283"/>
      <c r="T21" s="1278"/>
      <c r="U21" s="1278"/>
      <c r="V21" s="1278"/>
      <c r="W21" s="1277"/>
      <c r="X21" s="1277"/>
      <c r="Y21" s="1277"/>
      <c r="Z21" s="1284"/>
      <c r="AA21" s="1284"/>
      <c r="AB21" s="1284"/>
      <c r="AC21" s="1284"/>
      <c r="AD21" s="1284"/>
      <c r="AE21" s="1284"/>
      <c r="AF21" s="1284"/>
      <c r="AG21" s="3017"/>
      <c r="AH21" s="3017"/>
      <c r="AI21" s="3017"/>
      <c r="AJ21" s="3017"/>
    </row>
    <row r="22" spans="1:37" s="2200" customFormat="1" ht="14.25">
      <c r="A22" s="2139" t="s">
        <v>2724</v>
      </c>
      <c r="B22" s="2266" t="s">
        <v>2725</v>
      </c>
      <c r="C22" s="1535" t="s">
        <v>2726</v>
      </c>
      <c r="D22" s="1535">
        <f>IF(E22=G22,F22,IF(G3&lt;=10,ROUND(F22+(H22-F22)*(G3-E22)/(G22-E22),4),"——"))</f>
        <v>0.89049999999999996</v>
      </c>
      <c r="E22" s="852">
        <f>ROUNDDOWN(G3,1)</f>
        <v>5.9</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0.89259999999999995</v>
      </c>
      <c r="G22" s="852">
        <f>ROUNDUP(G3,1)</f>
        <v>6</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0.89029999999999998</v>
      </c>
      <c r="I22" s="1535" t="s">
        <v>155</v>
      </c>
      <c r="J22" s="874" t="str">
        <f>IF(G3&gt;10,D113,"——")</f>
        <v>——</v>
      </c>
      <c r="K22" s="1284"/>
      <c r="L22" s="3017"/>
      <c r="M22" s="3017"/>
      <c r="N22" s="2265" t="s">
        <v>2727</v>
      </c>
      <c r="O22" s="1332"/>
      <c r="P22" s="1333">
        <f>SUMPRODUCT((地价!A3:A32=YEAR(G19)&amp;"-"&amp;ROUNDUP(MONTH(G19)/3,0))*(地价!AD2:AH2=N22)*(地价!AD3:AH32))</f>
        <v>1.14E-2</v>
      </c>
      <c r="Q22" s="3017"/>
      <c r="R22" s="1283"/>
      <c r="S22" s="1283"/>
      <c r="T22" s="1278"/>
      <c r="U22" s="1278"/>
      <c r="V22" s="1278"/>
      <c r="W22" s="1277"/>
      <c r="X22" s="1277"/>
      <c r="Y22" s="1277"/>
      <c r="Z22" s="1284"/>
      <c r="AA22" s="1284"/>
      <c r="AB22" s="1284"/>
      <c r="AC22" s="1284"/>
      <c r="AD22" s="1284"/>
      <c r="AE22" s="1284"/>
      <c r="AF22" s="1284"/>
      <c r="AG22" s="3017"/>
      <c r="AH22" s="3017"/>
      <c r="AI22" s="3017"/>
      <c r="AJ22" s="3017"/>
    </row>
    <row r="23" spans="1:37" ht="27.75" thickBot="1">
      <c r="A23" s="2139" t="s">
        <v>2728</v>
      </c>
      <c r="B23" s="2267" t="s">
        <v>2729</v>
      </c>
      <c r="C23" s="947">
        <f>ROUND(IF(G3&gt;1,IF(I3&lt;7,SUMPRODUCT((B93:B98=I3)*(C92:N92=G2)*(C93:N98)),SUMIF(C92:N92,G2,C100:N100)),IF(I3&lt;7,SUMPRODUCT((B102:B107=I3)*(C92:N92=G2)*(C102:N107)),SUMIF(C92:N92,G2,C109:N109))),4)</f>
        <v>0</v>
      </c>
      <c r="D23" s="2235"/>
      <c r="E23" s="2235"/>
      <c r="F23" s="2268"/>
      <c r="G23" s="2269"/>
      <c r="H23" s="2270"/>
      <c r="I23" s="2271"/>
      <c r="J23" s="2272"/>
      <c r="K23" s="1277"/>
      <c r="L23" s="2181"/>
      <c r="M23" s="2181"/>
      <c r="N23" s="2265" t="s">
        <v>2730</v>
      </c>
      <c r="O23" s="1332"/>
      <c r="P23" s="1333">
        <f>SUMPRODUCT((地价!A3:A32=YEAR(G19)&amp;"-"&amp;ROUNDUP(MONTH(G19)/3,0))*(地价!AD2:AH2=N23)*(地价!AD3:AH32))</f>
        <v>1.9199999999999998E-2</v>
      </c>
      <c r="Q23" s="2181"/>
      <c r="R23" s="1283"/>
      <c r="S23" s="1283"/>
      <c r="T23" s="1278"/>
      <c r="U23" s="1278"/>
      <c r="V23" s="1278"/>
      <c r="W23" s="1277"/>
      <c r="X23" s="1277"/>
      <c r="Y23" s="1277"/>
      <c r="Z23" s="1284"/>
      <c r="AA23" s="1284"/>
      <c r="AB23" s="1284"/>
      <c r="AC23" s="1284"/>
      <c r="AD23" s="1284"/>
      <c r="AE23" s="1278"/>
      <c r="AF23" s="1278"/>
      <c r="AG23" s="2338"/>
      <c r="AH23" s="2338"/>
      <c r="AI23" s="2338"/>
      <c r="AJ23" s="2338"/>
      <c r="AK23" s="2248"/>
    </row>
    <row r="24" spans="1:37" s="2200" customFormat="1" ht="15.75" thickBot="1">
      <c r="A24" s="2254" t="s">
        <v>812</v>
      </c>
      <c r="B24" s="2245" t="s">
        <v>2731</v>
      </c>
      <c r="C24" s="860">
        <f>SUMIF(A45:A88,E2,B45:B88)</f>
        <v>1.0972</v>
      </c>
      <c r="D24" s="2246"/>
      <c r="E24" s="2273"/>
      <c r="F24" s="2273"/>
      <c r="G24" s="2273"/>
      <c r="H24" s="2273"/>
      <c r="I24" s="2273"/>
      <c r="J24" s="2274"/>
      <c r="K24" s="1284"/>
      <c r="L24" s="3017"/>
      <c r="M24" s="3017"/>
      <c r="N24" s="2275" t="s">
        <v>2732</v>
      </c>
      <c r="O24" s="1334"/>
      <c r="P24" s="1335">
        <f>SUMPRODUCT((地价!A3:A32=YEAR(G19)&amp;"-"&amp;ROUNDUP(MONTH(G19)/3,0))*(地价!AD2:AH2=N24)*(地价!AD3:AH32))</f>
        <v>1.23E-2</v>
      </c>
      <c r="Q24" s="3017"/>
      <c r="R24" s="1283"/>
      <c r="S24" s="1283"/>
      <c r="T24" s="1278"/>
      <c r="U24" s="1278"/>
      <c r="V24" s="1278"/>
      <c r="W24" s="1277"/>
      <c r="X24" s="1277"/>
      <c r="Y24" s="1277"/>
      <c r="Z24" s="1284"/>
      <c r="AA24" s="1284"/>
      <c r="AB24" s="1284"/>
      <c r="AC24" s="1284"/>
      <c r="AD24" s="1284"/>
      <c r="AE24" s="1284"/>
      <c r="AF24" s="1284"/>
      <c r="AG24" s="3017"/>
      <c r="AH24" s="3017"/>
      <c r="AI24" s="3017"/>
      <c r="AJ24" s="3017"/>
    </row>
    <row r="25" spans="1:37" ht="15.75" thickBot="1">
      <c r="A25" s="2254" t="s">
        <v>813</v>
      </c>
      <c r="B25" s="2276" t="s">
        <v>2733</v>
      </c>
      <c r="C25" s="866"/>
      <c r="D25" s="2210"/>
      <c r="E25" s="2210"/>
      <c r="F25" s="2277"/>
      <c r="G25" s="2210"/>
      <c r="H25" s="2210"/>
      <c r="I25" s="2210"/>
      <c r="J25" s="2211"/>
      <c r="K25" s="1277"/>
      <c r="L25" s="2181"/>
      <c r="M25" s="2181"/>
      <c r="N25" s="3012" t="s">
        <v>2734</v>
      </c>
      <c r="O25" s="3013"/>
      <c r="P25" s="3014">
        <f>SUMPRODUCT((地价!A3:A32=YEAR(G19)&amp;"-"&amp;ROUNDUP(MONTH(G19)/3,0))*(地价!AD2:AH2=N25)*(地价!AD3:AH32))</f>
        <v>1.7399999999999999E-2</v>
      </c>
      <c r="Q25" s="2181"/>
      <c r="R25" s="1283"/>
      <c r="S25" s="1283"/>
      <c r="T25" s="1278"/>
      <c r="U25" s="1278"/>
      <c r="V25" s="1278"/>
      <c r="W25" s="1277"/>
      <c r="X25" s="1277"/>
      <c r="Y25" s="1277"/>
      <c r="Z25" s="1284"/>
      <c r="AA25" s="1284"/>
      <c r="AB25" s="1284"/>
      <c r="AC25" s="1284"/>
      <c r="AD25" s="1284"/>
      <c r="AE25" s="1278"/>
      <c r="AF25" s="1278"/>
      <c r="AG25" s="2338"/>
      <c r="AH25" s="2338"/>
      <c r="AI25" s="2338"/>
      <c r="AJ25" s="2338"/>
    </row>
    <row r="26" spans="1:37" ht="15">
      <c r="A26" s="2278"/>
      <c r="B26" s="2266" t="s">
        <v>2735</v>
      </c>
      <c r="C26" s="2540">
        <f ca="1">IF(B21="容积率修正",E29+SUM(E33:E39),SUM(V2:V16)+SUM(E33:E39))</f>
        <v>422612</v>
      </c>
      <c r="D26" s="2279"/>
      <c r="E26" s="2235"/>
      <c r="F26" s="2280"/>
      <c r="G26" s="2235"/>
      <c r="H26" s="2235"/>
      <c r="I26" s="2235"/>
      <c r="J26" s="2281"/>
      <c r="K26" s="1277"/>
      <c r="L26" s="3015" t="s">
        <v>2634</v>
      </c>
      <c r="M26" s="2208" t="s">
        <v>2699</v>
      </c>
      <c r="N26" s="2208" t="s">
        <v>2700</v>
      </c>
      <c r="O26" s="2208" t="s">
        <v>2701</v>
      </c>
      <c r="P26" s="3016" t="s">
        <v>2702</v>
      </c>
      <c r="Q26" s="2181"/>
      <c r="R26" s="1283"/>
      <c r="S26" s="1283"/>
      <c r="T26" s="1278"/>
      <c r="U26" s="1278"/>
      <c r="V26" s="1278"/>
      <c r="W26" s="1277"/>
      <c r="X26" s="1277"/>
      <c r="Y26" s="1277"/>
      <c r="Z26" s="1284"/>
      <c r="AA26" s="1284"/>
      <c r="AB26" s="1284"/>
      <c r="AC26" s="1284"/>
      <c r="AD26" s="1284"/>
      <c r="AE26" s="1278"/>
      <c r="AF26" s="1278"/>
      <c r="AG26" s="2338"/>
      <c r="AH26" s="2338"/>
      <c r="AI26" s="2338"/>
      <c r="AJ26" s="2338"/>
    </row>
    <row r="27" spans="1:37" ht="15.75" thickBot="1">
      <c r="A27" s="2278"/>
      <c r="B27" s="2282" t="s">
        <v>2736</v>
      </c>
      <c r="C27" s="867">
        <f ca="1">E30+SUM(I33:I39)</f>
        <v>10070</v>
      </c>
      <c r="D27" s="2283"/>
      <c r="E27" s="2284"/>
      <c r="F27" s="2285"/>
      <c r="G27" s="2284"/>
      <c r="H27" s="2284"/>
      <c r="I27" s="2284"/>
      <c r="J27" s="2286"/>
      <c r="K27" s="1277"/>
      <c r="L27" s="2241" t="s">
        <v>2706</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8"/>
      <c r="AH27" s="2338"/>
      <c r="AI27" s="2338"/>
      <c r="AJ27" s="2338"/>
    </row>
    <row r="28" spans="1:37" ht="15.75" thickBot="1">
      <c r="A28" s="2287"/>
      <c r="B28" s="2288" t="s">
        <v>2737</v>
      </c>
      <c r="C28" s="2289" t="s">
        <v>2738</v>
      </c>
      <c r="D28" s="2289" t="s">
        <v>2739</v>
      </c>
      <c r="E28" s="2290" t="s">
        <v>2740</v>
      </c>
      <c r="F28" s="2291"/>
      <c r="G28" s="2223"/>
      <c r="H28" s="2223"/>
      <c r="I28" s="2223"/>
      <c r="J28" s="2224"/>
      <c r="K28" s="1277"/>
      <c r="L28" s="2242" t="s">
        <v>2709</v>
      </c>
      <c r="M28" s="181">
        <f ca="1">ROUND($E$20*(1+M27),3)</f>
        <v>5.3999999999999999E-2</v>
      </c>
      <c r="N28" s="181">
        <f ca="1">ROUND($E$20*(1+N27),3)</f>
        <v>5.1999999999999998E-2</v>
      </c>
      <c r="O28" s="181">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8"/>
      <c r="AH28" s="2338"/>
      <c r="AI28" s="2338"/>
      <c r="AJ28" s="2338"/>
    </row>
    <row r="29" spans="1:37" ht="22.5" customHeight="1">
      <c r="A29" s="2292"/>
      <c r="B29" s="2293" t="s">
        <v>2741</v>
      </c>
      <c r="C29" s="178">
        <f ca="1">ROUND(C5*C18*C19*C20*C21*C24,0)</f>
        <v>34261</v>
      </c>
      <c r="D29" s="2294">
        <f>'数据-汇总表'!F19+'数据-汇总表'!F20</f>
        <v>111596.87</v>
      </c>
      <c r="E29" s="876">
        <f ca="1">ROUND(C29*D29/10000,0)</f>
        <v>382342</v>
      </c>
      <c r="F29" s="2295" t="s">
        <v>2742</v>
      </c>
      <c r="G29" s="2296"/>
      <c r="H29" s="2296"/>
      <c r="I29" s="2296"/>
      <c r="J29" s="2297"/>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1"/>
      <c r="AH29" s="2181"/>
      <c r="AI29" s="2181"/>
      <c r="AJ29" s="2181"/>
    </row>
    <row r="30" spans="1:37" ht="25.5" thickBot="1">
      <c r="A30" s="2298"/>
      <c r="B30" s="2299" t="s">
        <v>2743</v>
      </c>
      <c r="C30" s="191">
        <f ca="1">ROUND(IF(E2="工业",C29*M39,C29*M38),0)</f>
        <v>8565</v>
      </c>
      <c r="D30" s="2300"/>
      <c r="E30" s="876">
        <f ca="1">ROUND(C30*D30/10000,0)</f>
        <v>0</v>
      </c>
      <c r="F30" s="2301" t="s">
        <v>2744</v>
      </c>
      <c r="G30" s="2302"/>
      <c r="H30" s="2302"/>
      <c r="I30" s="2302"/>
      <c r="J30" s="2303"/>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1"/>
      <c r="AH30" s="2181"/>
      <c r="AI30" s="2181"/>
      <c r="AJ30" s="2181"/>
    </row>
    <row r="31" spans="1:37" ht="14.25">
      <c r="A31" s="2304"/>
      <c r="B31" s="2305" t="s">
        <v>2745</v>
      </c>
      <c r="C31" s="2306" t="s">
        <v>2746</v>
      </c>
      <c r="D31" s="2223"/>
      <c r="E31" s="2306"/>
      <c r="F31" s="2306"/>
      <c r="G31" s="2221" t="s">
        <v>2747</v>
      </c>
      <c r="H31" s="2223"/>
      <c r="I31" s="2307"/>
      <c r="J31" s="2224"/>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1"/>
      <c r="AH31" s="2181"/>
      <c r="AI31" s="2181"/>
      <c r="AJ31" s="2181"/>
    </row>
    <row r="32" spans="1:37" ht="24">
      <c r="A32" s="2292"/>
      <c r="B32" s="2308"/>
      <c r="C32" s="456" t="s">
        <v>2738</v>
      </c>
      <c r="D32" s="453" t="s">
        <v>2739</v>
      </c>
      <c r="E32" s="453" t="s">
        <v>2740</v>
      </c>
      <c r="F32" s="346" t="s">
        <v>2748</v>
      </c>
      <c r="G32" s="2309" t="s">
        <v>2738</v>
      </c>
      <c r="H32" s="2309" t="s">
        <v>2739</v>
      </c>
      <c r="I32" s="2309" t="s">
        <v>2740</v>
      </c>
      <c r="J32" s="247"/>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1"/>
      <c r="AH32" s="2181"/>
      <c r="AI32" s="2181"/>
      <c r="AJ32" s="2181"/>
    </row>
    <row r="33" spans="1:37" ht="36" customHeight="1">
      <c r="A33" s="3331"/>
      <c r="B33" s="2310" t="s">
        <v>2749</v>
      </c>
      <c r="C33" s="178">
        <f ca="1">ROUND(D5*C19*C20*C24*F33,0)</f>
        <v>30779</v>
      </c>
      <c r="D33" s="2294">
        <v>0</v>
      </c>
      <c r="E33" s="174">
        <f ca="1">ROUND(C33*D33/10000,0)</f>
        <v>0</v>
      </c>
      <c r="F33" s="174">
        <f>SUMIF(修正!A45:A56,G2,修正!B45:B56)</f>
        <v>0.8</v>
      </c>
      <c r="G33" s="174">
        <f t="shared" ref="G33" ca="1" si="6">ROUND(IF(E2="工业",C33*$M$39,C33*$M$38),0)</f>
        <v>7695</v>
      </c>
      <c r="H33" s="174">
        <f>D33</f>
        <v>0</v>
      </c>
      <c r="I33" s="174">
        <f ca="1">ROUND(G33*H33/10000,0)</f>
        <v>0</v>
      </c>
      <c r="J33" s="3336" t="s">
        <v>3056</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8"/>
      <c r="AH33" s="2338"/>
      <c r="AI33" s="2338"/>
      <c r="AJ33" s="2338"/>
    </row>
    <row r="34" spans="1:37" ht="14.25">
      <c r="A34" s="3332"/>
      <c r="B34" s="2227" t="s">
        <v>2750</v>
      </c>
      <c r="C34" s="178">
        <f ca="1">ROUND(D5*C19*C20*C24*F34,0)</f>
        <v>19237</v>
      </c>
      <c r="D34" s="2294"/>
      <c r="E34" s="174">
        <f t="shared" ref="E34:E39" ca="1" si="7">ROUND(C34*D34/10000,0)</f>
        <v>0</v>
      </c>
      <c r="F34" s="174">
        <f>SUMIF(修正!A45:A56,G2,修正!C45:C56)</f>
        <v>0.5</v>
      </c>
      <c r="G34" s="174">
        <f ca="1">ROUND(IF(E2="工业",C34*$M$39,C34*$M$38),0)</f>
        <v>4809</v>
      </c>
      <c r="H34" s="174">
        <f t="shared" ref="H34:H39" si="8">D34</f>
        <v>0</v>
      </c>
      <c r="I34" s="174">
        <f t="shared" ref="I34:I39" ca="1" si="9">ROUND(G34*H34/10000,0)</f>
        <v>0</v>
      </c>
      <c r="J34" s="3332"/>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8"/>
      <c r="AH34" s="2338"/>
      <c r="AI34" s="2338"/>
      <c r="AJ34" s="2338"/>
    </row>
    <row r="35" spans="1:37">
      <c r="A35" s="3332"/>
      <c r="B35" s="2227" t="s">
        <v>2751</v>
      </c>
      <c r="C35" s="178">
        <f ca="1">ROUND(D5*C19*C20*C24*F35,0)</f>
        <v>13850</v>
      </c>
      <c r="D35" s="2294"/>
      <c r="E35" s="174">
        <f t="shared" ca="1" si="7"/>
        <v>0</v>
      </c>
      <c r="F35" s="174">
        <f>SUMIF(修正!A45:A56,G2,修正!D45:D56)</f>
        <v>0.36</v>
      </c>
      <c r="G35" s="174">
        <f ca="1">ROUND(IF(E2="工业",C35*$M$39,C35*$M$38),0)</f>
        <v>3463</v>
      </c>
      <c r="H35" s="174">
        <f t="shared" si="8"/>
        <v>0</v>
      </c>
      <c r="I35" s="174">
        <f t="shared" ca="1" si="9"/>
        <v>0</v>
      </c>
      <c r="J35" s="3332"/>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8"/>
      <c r="AH35" s="2338"/>
      <c r="AI35" s="2338"/>
      <c r="AJ35" s="2338"/>
    </row>
    <row r="36" spans="1:37" ht="13.5" thickBot="1">
      <c r="A36" s="3333"/>
      <c r="B36" s="2227" t="s">
        <v>2752</v>
      </c>
      <c r="C36" s="178">
        <f ca="1">ROUND(D5*C19*C20*C24*F36,0)</f>
        <v>11542</v>
      </c>
      <c r="D36" s="2294"/>
      <c r="E36" s="174">
        <f t="shared" ca="1" si="7"/>
        <v>0</v>
      </c>
      <c r="F36" s="174">
        <f>SUMIF(修正!A45:A56,G2,修正!E45:E56)</f>
        <v>0.3</v>
      </c>
      <c r="G36" s="174">
        <f ca="1">ROUND(IF(E2="工业",C36*$M$39,C36*$M$38),0)</f>
        <v>2886</v>
      </c>
      <c r="H36" s="174">
        <f t="shared" si="8"/>
        <v>0</v>
      </c>
      <c r="I36" s="174">
        <f t="shared" ca="1" si="9"/>
        <v>0</v>
      </c>
      <c r="J36" s="3333"/>
      <c r="K36" s="1277"/>
      <c r="L36" s="2181"/>
      <c r="M36" s="2181"/>
      <c r="N36" s="1277"/>
      <c r="O36" s="1277"/>
      <c r="P36" s="1277"/>
      <c r="Q36" s="1277"/>
      <c r="R36" s="1277"/>
      <c r="S36" s="1277"/>
      <c r="T36" s="1277"/>
      <c r="U36" s="1277"/>
      <c r="V36" s="1277"/>
      <c r="W36" s="1277"/>
      <c r="X36" s="1277"/>
      <c r="Y36" s="1277"/>
      <c r="Z36" s="1278"/>
      <c r="AA36" s="1278"/>
      <c r="AB36" s="1278"/>
      <c r="AC36" s="1278"/>
      <c r="AD36" s="1278"/>
      <c r="AE36" s="1278"/>
      <c r="AF36" s="1278"/>
      <c r="AG36" s="2338"/>
      <c r="AH36" s="2338"/>
      <c r="AI36" s="2338"/>
      <c r="AJ36" s="2338"/>
    </row>
    <row r="37" spans="1:37">
      <c r="A37" s="2312"/>
      <c r="B37" s="2227" t="s">
        <v>2753</v>
      </c>
      <c r="C37" s="174">
        <f ca="1">ROUND(D5*C19*C20*C24*F37,0)</f>
        <v>11542</v>
      </c>
      <c r="D37" s="2294"/>
      <c r="E37" s="174">
        <f t="shared" ca="1" si="7"/>
        <v>0</v>
      </c>
      <c r="F37" s="178">
        <f>SUMIF(修正!A45:A56,G2,修正!F45:F56)</f>
        <v>0.3</v>
      </c>
      <c r="G37" s="174">
        <f ca="1">ROUND(IF(E2="工业",C37*$M$39,C37*$M$38),0)</f>
        <v>2886</v>
      </c>
      <c r="H37" s="174">
        <f t="shared" si="8"/>
        <v>0</v>
      </c>
      <c r="I37" s="174">
        <f t="shared" ca="1" si="9"/>
        <v>0</v>
      </c>
      <c r="J37" s="2311"/>
      <c r="K37" s="1277"/>
      <c r="L37" s="2313" t="s">
        <v>2754</v>
      </c>
      <c r="M37" s="2314"/>
      <c r="N37" s="1277"/>
      <c r="O37" s="1277"/>
      <c r="P37" s="1277"/>
      <c r="Q37" s="1277"/>
      <c r="R37" s="1277"/>
      <c r="S37" s="1277"/>
      <c r="T37" s="1277"/>
      <c r="U37" s="1277"/>
      <c r="V37" s="1277"/>
      <c r="W37" s="1277"/>
      <c r="X37" s="1277"/>
      <c r="Y37" s="1277"/>
      <c r="Z37" s="1278"/>
      <c r="AA37" s="1278"/>
      <c r="AB37" s="1278"/>
      <c r="AC37" s="1278"/>
      <c r="AD37" s="1278"/>
      <c r="AE37" s="1278"/>
      <c r="AF37" s="1278"/>
      <c r="AG37" s="2338"/>
      <c r="AH37" s="2338"/>
      <c r="AI37" s="2338"/>
      <c r="AJ37" s="2338"/>
    </row>
    <row r="38" spans="1:37">
      <c r="A38" s="2312"/>
      <c r="B38" s="2227" t="s">
        <v>2755</v>
      </c>
      <c r="C38" s="174">
        <f ca="1">ROUND(D5*C19*C41*C24*F38,0)</f>
        <v>11542</v>
      </c>
      <c r="D38" s="2294"/>
      <c r="E38" s="174">
        <f t="shared" ca="1" si="7"/>
        <v>0</v>
      </c>
      <c r="F38" s="178">
        <f>SUMIF(修正!A45:A56,G2,修正!G45:G56)</f>
        <v>0.3</v>
      </c>
      <c r="G38" s="174">
        <f ca="1">ROUND(IF(E2="工业",C38*$M$39,C38*$M$38),0)</f>
        <v>2886</v>
      </c>
      <c r="H38" s="174">
        <f t="shared" si="8"/>
        <v>0</v>
      </c>
      <c r="I38" s="174">
        <f t="shared" ca="1" si="9"/>
        <v>0</v>
      </c>
      <c r="J38" s="2311"/>
      <c r="K38" s="1277"/>
      <c r="L38" s="1604" t="s">
        <v>2756</v>
      </c>
      <c r="M38" s="2315">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8"/>
      <c r="B39" s="2316" t="s">
        <v>2757</v>
      </c>
      <c r="C39" s="191">
        <f ca="1">ROUND(D5*C19*C41*C24*F39,0)</f>
        <v>9618</v>
      </c>
      <c r="D39" s="2300">
        <f>'数据-汇总表'!G21</f>
        <v>41869.699999999997</v>
      </c>
      <c r="E39" s="191">
        <f t="shared" ca="1" si="7"/>
        <v>40270</v>
      </c>
      <c r="F39" s="868">
        <f>SUMIF(修正!A45:A56,G2,修正!H45:H56)</f>
        <v>0.25</v>
      </c>
      <c r="G39" s="191">
        <f ca="1">ROUND(IF(E2="工业",C39*$M$39,C39*$M$38),0)</f>
        <v>2405</v>
      </c>
      <c r="H39" s="191">
        <f t="shared" si="8"/>
        <v>41869.699999999997</v>
      </c>
      <c r="I39" s="191">
        <f t="shared" ca="1" si="9"/>
        <v>10070</v>
      </c>
      <c r="J39" s="2317"/>
      <c r="K39" s="1277"/>
      <c r="L39" s="2318" t="s">
        <v>2702</v>
      </c>
      <c r="M39" s="2319">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8" t="s">
        <v>2862</v>
      </c>
      <c r="C41" s="346">
        <f ca="1">ROUND(POWER(1+E41,H41-G41)*(POWER(1+E41,G41)-1)/(POWER(1+E41,H41)-1),4)</f>
        <v>0.87739999999999996</v>
      </c>
      <c r="D41" s="174" t="s">
        <v>2709</v>
      </c>
      <c r="E41" s="2367">
        <f ca="1">G20</f>
        <v>5.1999999999999998E-2</v>
      </c>
      <c r="F41" s="174" t="s">
        <v>2718</v>
      </c>
      <c r="G41" s="187">
        <f>项目基本情况!G15</f>
        <v>32.54</v>
      </c>
      <c r="H41" s="174">
        <v>50</v>
      </c>
      <c r="Z41" s="1278"/>
      <c r="AA41" s="1278"/>
      <c r="AB41" s="1278"/>
      <c r="AC41" s="1278"/>
      <c r="AD41" s="1278"/>
      <c r="AE41" s="1278"/>
      <c r="AF41" s="1278"/>
      <c r="AG41" s="1278"/>
      <c r="AH41" s="1278"/>
      <c r="AI41" s="1278"/>
      <c r="AJ41" s="1278"/>
    </row>
    <row r="42" spans="1:37" s="1277" customFormat="1">
      <c r="A42" s="1278"/>
      <c r="B42" s="2320"/>
      <c r="Z42" s="1278"/>
      <c r="AA42" s="1278"/>
      <c r="AB42" s="1278"/>
      <c r="AC42" s="1278"/>
      <c r="AD42" s="1278"/>
      <c r="AE42" s="1278"/>
      <c r="AF42" s="1278"/>
      <c r="AG42" s="1278"/>
      <c r="AH42" s="1278"/>
      <c r="AI42" s="1278"/>
      <c r="AJ42" s="1278"/>
    </row>
    <row r="43" spans="1:37" s="1277" customFormat="1">
      <c r="A43" s="1278"/>
      <c r="B43" s="2320"/>
      <c r="Z43" s="1278"/>
      <c r="AA43" s="1278"/>
      <c r="AB43" s="1278"/>
      <c r="AC43" s="1278"/>
      <c r="AD43" s="1278"/>
      <c r="AE43" s="1278"/>
      <c r="AF43" s="1278"/>
      <c r="AG43" s="1278"/>
      <c r="AH43" s="1278"/>
      <c r="AI43" s="1278"/>
      <c r="AJ43" s="1278"/>
    </row>
    <row r="44" spans="1:37" s="1277" customFormat="1">
      <c r="A44" s="1278"/>
      <c r="B44" s="2320"/>
      <c r="Z44" s="1278"/>
      <c r="AA44" s="1278"/>
      <c r="AB44" s="1278"/>
      <c r="AC44" s="1278"/>
      <c r="AD44" s="1278"/>
      <c r="AE44" s="1278"/>
      <c r="AF44" s="1278"/>
      <c r="AG44" s="1278"/>
      <c r="AH44" s="1278"/>
      <c r="AI44" s="1278"/>
      <c r="AJ44" s="1278"/>
    </row>
    <row r="45" spans="1:37" s="1277" customFormat="1" ht="15.75" thickBot="1">
      <c r="A45" s="2321" t="s">
        <v>2758</v>
      </c>
      <c r="B45" s="2322"/>
      <c r="C45" s="7"/>
      <c r="D45" s="7"/>
      <c r="E45" s="7"/>
      <c r="F45" s="6"/>
      <c r="G45" s="6"/>
      <c r="H45" s="6"/>
      <c r="I45" s="2005"/>
      <c r="J45" s="2005"/>
      <c r="K45" s="2005"/>
      <c r="L45" s="2005"/>
      <c r="M45" s="2005"/>
      <c r="Z45" s="1278"/>
      <c r="AA45" s="1278"/>
      <c r="AB45" s="1278"/>
      <c r="AC45" s="1278"/>
      <c r="AD45" s="1278"/>
      <c r="AE45" s="1278"/>
      <c r="AF45" s="1278"/>
      <c r="AG45" s="1278"/>
      <c r="AH45" s="1278"/>
      <c r="AI45" s="1278"/>
      <c r="AJ45" s="1278"/>
    </row>
    <row r="46" spans="1:37" s="1277" customFormat="1" ht="15">
      <c r="A46" s="2323" t="s">
        <v>2759</v>
      </c>
      <c r="B46" s="2324">
        <f>1+E48</f>
        <v>1</v>
      </c>
      <c r="C46" s="2325"/>
      <c r="D46" s="750"/>
      <c r="E46" s="751"/>
      <c r="F46" s="2326"/>
      <c r="G46" s="6"/>
      <c r="H46" s="7"/>
      <c r="I46" s="2005"/>
      <c r="J46" s="2005"/>
      <c r="K46" s="2005"/>
      <c r="L46" s="2005"/>
      <c r="M46" s="2005"/>
      <c r="Z46" s="1278"/>
      <c r="AA46" s="1278"/>
      <c r="AB46" s="1278"/>
      <c r="AC46" s="1278"/>
      <c r="AD46" s="1278"/>
      <c r="AE46" s="1278"/>
      <c r="AF46" s="1278"/>
      <c r="AG46" s="1278"/>
      <c r="AH46" s="1278"/>
      <c r="AI46" s="1278"/>
      <c r="AJ46" s="1278"/>
    </row>
    <row r="47" spans="1:37" s="1277" customFormat="1" ht="24.75">
      <c r="A47" s="2327" t="s">
        <v>2760</v>
      </c>
      <c r="B47" s="1534" t="s">
        <v>2761</v>
      </c>
      <c r="C47" s="1534" t="s">
        <v>2762</v>
      </c>
      <c r="D47" s="1534" t="s">
        <v>2763</v>
      </c>
      <c r="E47" s="755" t="s">
        <v>2764</v>
      </c>
      <c r="F47" s="2328" t="s">
        <v>2765</v>
      </c>
      <c r="G47" s="1534" t="s">
        <v>754</v>
      </c>
      <c r="H47" s="2329" t="s">
        <v>2766</v>
      </c>
      <c r="I47" s="1534" t="s">
        <v>2767</v>
      </c>
      <c r="J47" s="558" t="s">
        <v>2417</v>
      </c>
      <c r="K47" s="558" t="s">
        <v>2418</v>
      </c>
      <c r="L47" s="558" t="s">
        <v>2419</v>
      </c>
      <c r="M47" s="558" t="s">
        <v>2420</v>
      </c>
      <c r="N47" s="558" t="s">
        <v>2421</v>
      </c>
      <c r="AA47" s="1278"/>
      <c r="AB47" s="1278"/>
      <c r="AC47" s="1278"/>
      <c r="AD47" s="1278"/>
      <c r="AE47" s="1278"/>
      <c r="AF47" s="1278"/>
      <c r="AG47" s="1278"/>
      <c r="AH47" s="1278"/>
      <c r="AI47" s="1278"/>
      <c r="AJ47" s="1278"/>
      <c r="AK47" s="1278"/>
    </row>
    <row r="48" spans="1:37" s="1277" customFormat="1" ht="38.25">
      <c r="A48" s="2327" t="s">
        <v>2768</v>
      </c>
      <c r="B48" s="2330" t="str">
        <f>估价对象房地状况!C4</f>
        <v>估价对象位于XX商圈，周边商业氛围成熟，人流量大，商业繁华度好</v>
      </c>
      <c r="C48" s="2232"/>
      <c r="D48" s="1193">
        <f t="shared" ref="D48:D56" si="10">SUMIF($J$47:$N$47,C48,J48:N48)</f>
        <v>0</v>
      </c>
      <c r="E48" s="757">
        <f>ROUND(SUM(D48:D56),4)</f>
        <v>0</v>
      </c>
      <c r="F48" s="1998"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7" t="s">
        <v>2769</v>
      </c>
      <c r="B49" s="2331" t="str">
        <f>估价对象房地状况!C18</f>
        <v>估价对象周边道路状况、公共交通通达情况、停车便捷程度，综合评价交通便捷度较好</v>
      </c>
      <c r="C49" s="2232"/>
      <c r="D49" s="1193">
        <f t="shared" si="10"/>
        <v>0</v>
      </c>
      <c r="E49" s="758"/>
      <c r="F49" s="1998"/>
      <c r="G49" s="1191"/>
      <c r="H49" s="1195" t="str">
        <f t="shared" si="11"/>
        <v>——</v>
      </c>
      <c r="I49" s="756">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7" t="s">
        <v>2770</v>
      </c>
      <c r="B50" s="2331">
        <f>估价对象房地状况!C19</f>
        <v>0</v>
      </c>
      <c r="C50" s="2232"/>
      <c r="D50" s="1193">
        <f t="shared" si="10"/>
        <v>0</v>
      </c>
      <c r="E50" s="758"/>
      <c r="F50" s="1998"/>
      <c r="G50" s="1191"/>
      <c r="H50" s="1195" t="str">
        <f t="shared" si="11"/>
        <v>——</v>
      </c>
      <c r="I50" s="756">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7" t="s">
        <v>2771</v>
      </c>
      <c r="B51" s="2332" t="s">
        <v>2772</v>
      </c>
      <c r="C51" s="2232"/>
      <c r="D51" s="1193">
        <f t="shared" si="10"/>
        <v>0</v>
      </c>
      <c r="E51" s="758"/>
      <c r="F51" s="1998"/>
      <c r="G51" s="1191"/>
      <c r="H51" s="1195" t="str">
        <f t="shared" si="11"/>
        <v>——</v>
      </c>
      <c r="I51" s="756">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7" t="s">
        <v>2773</v>
      </c>
      <c r="B52" s="2331">
        <f>估价对象房地状况!C24</f>
        <v>0</v>
      </c>
      <c r="C52" s="2232"/>
      <c r="D52" s="1193">
        <f t="shared" si="10"/>
        <v>0</v>
      </c>
      <c r="E52" s="758"/>
      <c r="F52" s="1998"/>
      <c r="G52" s="1191"/>
      <c r="H52" s="1195" t="str">
        <f t="shared" si="11"/>
        <v>——</v>
      </c>
      <c r="I52" s="756">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7" t="s">
        <v>2774</v>
      </c>
      <c r="B53" s="2333" t="s">
        <v>2775</v>
      </c>
      <c r="C53" s="2232"/>
      <c r="D53" s="1193">
        <f t="shared" si="10"/>
        <v>0</v>
      </c>
      <c r="E53" s="758"/>
      <c r="F53" s="1998"/>
      <c r="G53" s="1191"/>
      <c r="H53" s="1195" t="str">
        <f t="shared" si="11"/>
        <v>——</v>
      </c>
      <c r="I53" s="756">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4" t="s">
        <v>2776</v>
      </c>
      <c r="B54" s="1493" t="str">
        <f>估价对象房地状况!C21</f>
        <v>估价对象所在区域公共配套设施齐备情况</v>
      </c>
      <c r="C54" s="2232"/>
      <c r="D54" s="1193">
        <f t="shared" si="10"/>
        <v>0</v>
      </c>
      <c r="E54" s="758"/>
      <c r="F54" s="1998"/>
      <c r="G54" s="1191"/>
      <c r="H54" s="1195" t="str">
        <f t="shared" si="11"/>
        <v>——</v>
      </c>
      <c r="I54" s="756">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4" t="s">
        <v>2777</v>
      </c>
      <c r="B55" s="2331" t="str">
        <f>估价对象房地状况!C22</f>
        <v>估价对象所在区域基础设施水平</v>
      </c>
      <c r="C55" s="2232"/>
      <c r="D55" s="1193">
        <f t="shared" si="10"/>
        <v>0</v>
      </c>
      <c r="E55" s="758"/>
      <c r="F55" s="1998"/>
      <c r="G55" s="1191"/>
      <c r="H55" s="1195" t="str">
        <f t="shared" si="11"/>
        <v>——</v>
      </c>
      <c r="I55" s="756">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5" t="s">
        <v>2778</v>
      </c>
      <c r="B56" s="2336" t="str">
        <f>估价对象房地状况!C20</f>
        <v>区域自然环境：；人文环境；综合评价环境状况一般</v>
      </c>
      <c r="C56" s="2232"/>
      <c r="D56" s="1193">
        <f t="shared" si="10"/>
        <v>0</v>
      </c>
      <c r="E56" s="761"/>
      <c r="F56" s="1998"/>
      <c r="G56" s="1191"/>
      <c r="H56" s="1195" t="str">
        <f t="shared" si="11"/>
        <v>——</v>
      </c>
      <c r="I56" s="760">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3" t="s">
        <v>2779</v>
      </c>
      <c r="B57" s="2324">
        <f>1+E59</f>
        <v>1.0972</v>
      </c>
      <c r="C57" s="750"/>
      <c r="D57" s="750"/>
      <c r="E57" s="751"/>
      <c r="F57" s="2326"/>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7" t="s">
        <v>2760</v>
      </c>
      <c r="B58" s="1534"/>
      <c r="C58" s="1534" t="s">
        <v>2762</v>
      </c>
      <c r="D58" s="1534" t="s">
        <v>2763</v>
      </c>
      <c r="E58" s="755" t="s">
        <v>2764</v>
      </c>
      <c r="F58" s="2328" t="s">
        <v>2780</v>
      </c>
      <c r="G58" s="1534" t="s">
        <v>754</v>
      </c>
      <c r="H58" s="2329" t="s">
        <v>2766</v>
      </c>
      <c r="I58" s="1534" t="s">
        <v>2767</v>
      </c>
      <c r="J58" s="558" t="s">
        <v>2417</v>
      </c>
      <c r="K58" s="558" t="s">
        <v>2418</v>
      </c>
      <c r="L58" s="558" t="s">
        <v>2419</v>
      </c>
      <c r="M58" s="558" t="s">
        <v>2420</v>
      </c>
      <c r="N58" s="558" t="s">
        <v>2421</v>
      </c>
      <c r="AA58" s="1278"/>
      <c r="AB58" s="1278"/>
      <c r="AC58" s="1278"/>
      <c r="AD58" s="1278"/>
      <c r="AE58" s="1278"/>
      <c r="AF58" s="1278"/>
      <c r="AG58" s="1278"/>
      <c r="AH58" s="1278"/>
      <c r="AI58" s="1278"/>
      <c r="AJ58" s="1278"/>
      <c r="AK58" s="1278"/>
    </row>
    <row r="59" spans="1:37" s="1277" customFormat="1" ht="38.25">
      <c r="A59" s="2327" t="s">
        <v>2781</v>
      </c>
      <c r="B59" s="2330" t="str">
        <f>估价对象房地状况!C17</f>
        <v>估价对象位于XX商圈，周边办公楼项目较多，入驻率高，办公集聚程度较好</v>
      </c>
      <c r="C59" s="2232" t="s">
        <v>3074</v>
      </c>
      <c r="D59" s="1193">
        <f t="shared" ref="D59:D67" si="15">SUMIF($J$58:$N$58,C59,J59:N59)</f>
        <v>2.3400000000000001E-2</v>
      </c>
      <c r="E59" s="757">
        <f>ROUND(SUM(D59:D67),4)</f>
        <v>9.7199999999999995E-2</v>
      </c>
      <c r="F59" s="1998">
        <f>IF(E2="办公",SUMIF(L1:L12,G2,N1:N12),"——")</f>
        <v>9.8000000000000004E-2</v>
      </c>
      <c r="G59" s="1191">
        <f>H59</f>
        <v>1.17E-2</v>
      </c>
      <c r="H59" s="1195">
        <f t="shared" ref="H59:H67" si="16">IFERROR(ROUNDDOWN($F$59*I59/2,4),"——")</f>
        <v>1.17E-2</v>
      </c>
      <c r="I59" s="756">
        <v>0.24</v>
      </c>
      <c r="J59" s="1192">
        <f t="shared" ref="J59:J67" si="17">K59+$G59</f>
        <v>2.3400000000000001E-2</v>
      </c>
      <c r="K59" s="1192">
        <f t="shared" ref="K59:K67" si="18">$L59+$G59</f>
        <v>1.17E-2</v>
      </c>
      <c r="L59" s="1192">
        <v>0</v>
      </c>
      <c r="M59" s="1192">
        <f t="shared" ref="M59:N67" si="19">L59-$G59</f>
        <v>-1.17E-2</v>
      </c>
      <c r="N59" s="1192">
        <f t="shared" si="19"/>
        <v>-2.3400000000000001E-2</v>
      </c>
      <c r="AA59" s="1278"/>
      <c r="AB59" s="1278"/>
      <c r="AC59" s="1278"/>
      <c r="AD59" s="1278"/>
      <c r="AE59" s="1278"/>
      <c r="AF59" s="1278"/>
      <c r="AG59" s="1278"/>
      <c r="AH59" s="1278"/>
      <c r="AI59" s="1278"/>
      <c r="AJ59" s="1278"/>
      <c r="AK59" s="1278"/>
    </row>
    <row r="60" spans="1:37" s="1277" customFormat="1" ht="51">
      <c r="A60" s="2327" t="s">
        <v>2769</v>
      </c>
      <c r="B60" s="2331" t="str">
        <f>估价对象房地状况!C18</f>
        <v>估价对象周边道路状况、公共交通通达情况、停车便捷程度，综合评价交通便捷度较好</v>
      </c>
      <c r="C60" s="2232" t="s">
        <v>3074</v>
      </c>
      <c r="D60" s="1193">
        <f t="shared" si="15"/>
        <v>2.9399999999999999E-2</v>
      </c>
      <c r="E60" s="758"/>
      <c r="F60" s="1998"/>
      <c r="G60" s="1191">
        <f t="shared" ref="G60:G67" si="20">H60</f>
        <v>1.47E-2</v>
      </c>
      <c r="H60" s="1195">
        <f t="shared" si="16"/>
        <v>1.47E-2</v>
      </c>
      <c r="I60" s="756">
        <v>0.3</v>
      </c>
      <c r="J60" s="1192">
        <f t="shared" si="17"/>
        <v>2.9399999999999999E-2</v>
      </c>
      <c r="K60" s="1192">
        <f t="shared" si="18"/>
        <v>1.47E-2</v>
      </c>
      <c r="L60" s="1192">
        <v>0</v>
      </c>
      <c r="M60" s="1192">
        <f t="shared" si="19"/>
        <v>-1.47E-2</v>
      </c>
      <c r="N60" s="1192">
        <f t="shared" si="19"/>
        <v>-2.9399999999999999E-2</v>
      </c>
      <c r="AA60" s="1278"/>
      <c r="AB60" s="1278"/>
      <c r="AC60" s="1278"/>
      <c r="AD60" s="1278"/>
      <c r="AE60" s="1278"/>
      <c r="AF60" s="1278"/>
      <c r="AG60" s="1278"/>
      <c r="AH60" s="1278"/>
      <c r="AI60" s="1278"/>
      <c r="AJ60" s="1278"/>
      <c r="AK60" s="1278"/>
    </row>
    <row r="61" spans="1:37" s="1277" customFormat="1" ht="24">
      <c r="A61" s="2327" t="s">
        <v>2770</v>
      </c>
      <c r="B61" s="2331">
        <f>估价对象房地状况!C19</f>
        <v>0</v>
      </c>
      <c r="C61" s="2232" t="s">
        <v>3074</v>
      </c>
      <c r="D61" s="1193">
        <f t="shared" si="15"/>
        <v>7.7999999999999996E-3</v>
      </c>
      <c r="E61" s="758"/>
      <c r="F61" s="1998"/>
      <c r="G61" s="1191">
        <f t="shared" si="20"/>
        <v>3.8999999999999998E-3</v>
      </c>
      <c r="H61" s="1195">
        <f t="shared" si="16"/>
        <v>3.8999999999999998E-3</v>
      </c>
      <c r="I61" s="756">
        <v>0.08</v>
      </c>
      <c r="J61" s="1192">
        <f t="shared" si="17"/>
        <v>7.7999999999999996E-3</v>
      </c>
      <c r="K61" s="1192">
        <f t="shared" si="18"/>
        <v>3.8999999999999998E-3</v>
      </c>
      <c r="L61" s="1192">
        <v>0</v>
      </c>
      <c r="M61" s="1192">
        <f t="shared" si="19"/>
        <v>-3.8999999999999998E-3</v>
      </c>
      <c r="N61" s="1192">
        <f t="shared" si="19"/>
        <v>-7.7999999999999996E-3</v>
      </c>
      <c r="AA61" s="1278"/>
      <c r="AB61" s="1278"/>
      <c r="AC61" s="1278"/>
      <c r="AD61" s="1278"/>
      <c r="AE61" s="1278"/>
      <c r="AF61" s="1278"/>
      <c r="AG61" s="1278"/>
      <c r="AH61" s="1278"/>
      <c r="AI61" s="1278"/>
      <c r="AJ61" s="1278"/>
      <c r="AK61" s="1278"/>
    </row>
    <row r="62" spans="1:37" s="1277" customFormat="1" ht="36.75">
      <c r="A62" s="2327" t="s">
        <v>2771</v>
      </c>
      <c r="B62" s="2332" t="s">
        <v>2772</v>
      </c>
      <c r="C62" s="2232" t="s">
        <v>3074</v>
      </c>
      <c r="D62" s="1193">
        <f t="shared" si="15"/>
        <v>3.8E-3</v>
      </c>
      <c r="E62" s="758"/>
      <c r="F62" s="1998"/>
      <c r="G62" s="1191">
        <f t="shared" si="20"/>
        <v>1.9E-3</v>
      </c>
      <c r="H62" s="1195">
        <f t="shared" si="16"/>
        <v>1.9E-3</v>
      </c>
      <c r="I62" s="756">
        <v>0.04</v>
      </c>
      <c r="J62" s="1192">
        <f t="shared" si="17"/>
        <v>3.8E-3</v>
      </c>
      <c r="K62" s="1192">
        <f t="shared" si="18"/>
        <v>1.9E-3</v>
      </c>
      <c r="L62" s="1192">
        <v>0</v>
      </c>
      <c r="M62" s="1192">
        <f t="shared" si="19"/>
        <v>-1.9E-3</v>
      </c>
      <c r="N62" s="1192">
        <f t="shared" si="19"/>
        <v>-3.8E-3</v>
      </c>
      <c r="AA62" s="1278"/>
      <c r="AB62" s="1278"/>
      <c r="AC62" s="1278"/>
      <c r="AD62" s="1278"/>
      <c r="AE62" s="1278"/>
      <c r="AF62" s="1278"/>
      <c r="AG62" s="1278"/>
      <c r="AH62" s="1278"/>
      <c r="AI62" s="1278"/>
      <c r="AJ62" s="1278"/>
      <c r="AK62" s="1278"/>
    </row>
    <row r="63" spans="1:37" s="1277" customFormat="1" ht="24">
      <c r="A63" s="2327" t="s">
        <v>2773</v>
      </c>
      <c r="B63" s="2331">
        <f>估价对象房地状况!C24</f>
        <v>0</v>
      </c>
      <c r="C63" s="2232" t="s">
        <v>3074</v>
      </c>
      <c r="D63" s="1193">
        <f t="shared" si="15"/>
        <v>4.7999999999999996E-3</v>
      </c>
      <c r="E63" s="758"/>
      <c r="F63" s="1998"/>
      <c r="G63" s="1191">
        <f t="shared" si="20"/>
        <v>2.3999999999999998E-3</v>
      </c>
      <c r="H63" s="1195">
        <f t="shared" si="16"/>
        <v>2.3999999999999998E-3</v>
      </c>
      <c r="I63" s="756">
        <v>0.05</v>
      </c>
      <c r="J63" s="1192">
        <f t="shared" si="17"/>
        <v>4.7999999999999996E-3</v>
      </c>
      <c r="K63" s="1192">
        <f t="shared" si="18"/>
        <v>2.3999999999999998E-3</v>
      </c>
      <c r="L63" s="1192">
        <v>0</v>
      </c>
      <c r="M63" s="1192">
        <f t="shared" si="19"/>
        <v>-2.3999999999999998E-3</v>
      </c>
      <c r="N63" s="1192">
        <f t="shared" si="19"/>
        <v>-4.7999999999999996E-3</v>
      </c>
      <c r="AA63" s="1278"/>
      <c r="AB63" s="1278"/>
      <c r="AC63" s="1278"/>
      <c r="AD63" s="1278"/>
      <c r="AE63" s="1278"/>
      <c r="AF63" s="1278"/>
      <c r="AG63" s="1278"/>
      <c r="AH63" s="1278"/>
      <c r="AI63" s="1278"/>
      <c r="AJ63" s="1278"/>
      <c r="AK63" s="1278"/>
    </row>
    <row r="64" spans="1:37" s="1277" customFormat="1" ht="24">
      <c r="A64" s="2327" t="s">
        <v>2774</v>
      </c>
      <c r="B64" s="2333" t="s">
        <v>2775</v>
      </c>
      <c r="C64" s="2232" t="s">
        <v>3074</v>
      </c>
      <c r="D64" s="1193">
        <f t="shared" si="15"/>
        <v>4.7999999999999996E-3</v>
      </c>
      <c r="E64" s="758"/>
      <c r="F64" s="1998"/>
      <c r="G64" s="1191">
        <f t="shared" si="20"/>
        <v>2.3999999999999998E-3</v>
      </c>
      <c r="H64" s="1195">
        <f t="shared" si="16"/>
        <v>2.3999999999999998E-3</v>
      </c>
      <c r="I64" s="756">
        <v>0.05</v>
      </c>
      <c r="J64" s="1192">
        <f t="shared" si="17"/>
        <v>4.7999999999999996E-3</v>
      </c>
      <c r="K64" s="1192">
        <f t="shared" si="18"/>
        <v>2.3999999999999998E-3</v>
      </c>
      <c r="L64" s="1192">
        <v>0</v>
      </c>
      <c r="M64" s="1192">
        <f t="shared" si="19"/>
        <v>-2.3999999999999998E-3</v>
      </c>
      <c r="N64" s="1192">
        <f t="shared" si="19"/>
        <v>-4.7999999999999996E-3</v>
      </c>
      <c r="AA64" s="1278"/>
      <c r="AB64" s="1278"/>
      <c r="AC64" s="1278"/>
      <c r="AD64" s="1278"/>
      <c r="AE64" s="1278"/>
      <c r="AF64" s="1278"/>
      <c r="AG64" s="1278"/>
      <c r="AH64" s="1278"/>
      <c r="AI64" s="1278"/>
      <c r="AJ64" s="1278"/>
      <c r="AK64" s="1278"/>
    </row>
    <row r="65" spans="1:37" s="1277" customFormat="1" ht="25.5">
      <c r="A65" s="2327" t="s">
        <v>2776</v>
      </c>
      <c r="B65" s="1493" t="str">
        <f>估价对象房地状况!C21</f>
        <v>估价对象所在区域公共配套设施齐备情况</v>
      </c>
      <c r="C65" s="2232" t="s">
        <v>3074</v>
      </c>
      <c r="D65" s="1193">
        <f t="shared" si="15"/>
        <v>5.7999999999999996E-3</v>
      </c>
      <c r="E65" s="758"/>
      <c r="F65" s="1998"/>
      <c r="G65" s="1191">
        <f t="shared" si="20"/>
        <v>2.8999999999999998E-3</v>
      </c>
      <c r="H65" s="1195">
        <f t="shared" si="16"/>
        <v>2.8999999999999998E-3</v>
      </c>
      <c r="I65" s="756">
        <v>0.06</v>
      </c>
      <c r="J65" s="1192">
        <f t="shared" si="17"/>
        <v>5.7999999999999996E-3</v>
      </c>
      <c r="K65" s="1192">
        <f t="shared" si="18"/>
        <v>2.8999999999999998E-3</v>
      </c>
      <c r="L65" s="1192">
        <v>0</v>
      </c>
      <c r="M65" s="1192">
        <f t="shared" si="19"/>
        <v>-2.8999999999999998E-3</v>
      </c>
      <c r="N65" s="1192">
        <f t="shared" si="19"/>
        <v>-5.7999999999999996E-3</v>
      </c>
      <c r="AA65" s="1278"/>
      <c r="AB65" s="1278"/>
      <c r="AC65" s="1278"/>
      <c r="AD65" s="1278"/>
      <c r="AE65" s="1278"/>
      <c r="AF65" s="1278"/>
      <c r="AG65" s="1278"/>
      <c r="AH65" s="1278"/>
      <c r="AI65" s="1278"/>
      <c r="AJ65" s="1278"/>
      <c r="AK65" s="1278"/>
    </row>
    <row r="66" spans="1:37" s="1277" customFormat="1" ht="25.5">
      <c r="A66" s="2327" t="s">
        <v>2777</v>
      </c>
      <c r="B66" s="1493" t="str">
        <f>估价对象房地状况!C22</f>
        <v>估价对象所在区域基础设施水平</v>
      </c>
      <c r="C66" s="2232" t="s">
        <v>3074</v>
      </c>
      <c r="D66" s="1193">
        <f t="shared" si="15"/>
        <v>1.1599999999999999E-2</v>
      </c>
      <c r="E66" s="758"/>
      <c r="F66" s="1998"/>
      <c r="G66" s="1191">
        <f t="shared" si="20"/>
        <v>5.7999999999999996E-3</v>
      </c>
      <c r="H66" s="1195">
        <f t="shared" si="16"/>
        <v>5.7999999999999996E-3</v>
      </c>
      <c r="I66" s="756">
        <v>0.12</v>
      </c>
      <c r="J66" s="1192">
        <f t="shared" si="17"/>
        <v>1.1599999999999999E-2</v>
      </c>
      <c r="K66" s="1192">
        <f t="shared" si="18"/>
        <v>5.7999999999999996E-3</v>
      </c>
      <c r="L66" s="1192">
        <v>0</v>
      </c>
      <c r="M66" s="1192">
        <f t="shared" si="19"/>
        <v>-5.7999999999999996E-3</v>
      </c>
      <c r="N66" s="1192">
        <f t="shared" si="19"/>
        <v>-1.1599999999999999E-2</v>
      </c>
      <c r="AA66" s="1278"/>
      <c r="AB66" s="1278"/>
      <c r="AC66" s="1278"/>
      <c r="AD66" s="1278"/>
      <c r="AE66" s="1278"/>
      <c r="AF66" s="1278"/>
      <c r="AG66" s="1278"/>
      <c r="AH66" s="1278"/>
      <c r="AI66" s="1278"/>
      <c r="AJ66" s="1278"/>
      <c r="AK66" s="1278"/>
    </row>
    <row r="67" spans="1:37" s="1277" customFormat="1" ht="39" thickBot="1">
      <c r="A67" s="2335" t="s">
        <v>2778</v>
      </c>
      <c r="B67" s="2337" t="str">
        <f>估价对象房地状况!C20</f>
        <v>区域自然环境：；人文环境；综合评价环境状况一般</v>
      </c>
      <c r="C67" s="2232" t="s">
        <v>3074</v>
      </c>
      <c r="D67" s="1193">
        <f t="shared" si="15"/>
        <v>5.7999999999999996E-3</v>
      </c>
      <c r="E67" s="761"/>
      <c r="F67" s="1998"/>
      <c r="G67" s="1191">
        <f t="shared" si="20"/>
        <v>2.8999999999999998E-3</v>
      </c>
      <c r="H67" s="1195">
        <f t="shared" si="16"/>
        <v>2.8999999999999998E-3</v>
      </c>
      <c r="I67" s="760">
        <v>0.06</v>
      </c>
      <c r="J67" s="1192">
        <f t="shared" si="17"/>
        <v>5.7999999999999996E-3</v>
      </c>
      <c r="K67" s="1192">
        <f t="shared" si="18"/>
        <v>2.8999999999999998E-3</v>
      </c>
      <c r="L67" s="1192">
        <v>0</v>
      </c>
      <c r="M67" s="1192">
        <f t="shared" si="19"/>
        <v>-2.8999999999999998E-3</v>
      </c>
      <c r="N67" s="1192">
        <f t="shared" si="19"/>
        <v>-5.7999999999999996E-3</v>
      </c>
      <c r="AA67" s="1278"/>
      <c r="AB67" s="1278"/>
      <c r="AC67" s="1278"/>
      <c r="AD67" s="1278"/>
      <c r="AE67" s="1278"/>
      <c r="AF67" s="1278"/>
      <c r="AG67" s="1278"/>
      <c r="AH67" s="1278"/>
      <c r="AI67" s="1278"/>
      <c r="AJ67" s="1278"/>
      <c r="AK67" s="1278"/>
    </row>
    <row r="68" spans="1:37" s="1277" customFormat="1" ht="15">
      <c r="A68" s="2323" t="s">
        <v>2782</v>
      </c>
      <c r="B68" s="2324">
        <f>1+E70</f>
        <v>1</v>
      </c>
      <c r="C68" s="750"/>
      <c r="D68" s="750"/>
      <c r="E68" s="751"/>
      <c r="F68" s="2326"/>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7" t="s">
        <v>2760</v>
      </c>
      <c r="B69" s="1534"/>
      <c r="C69" s="1534" t="s">
        <v>2762</v>
      </c>
      <c r="D69" s="1534" t="s">
        <v>2763</v>
      </c>
      <c r="E69" s="755" t="s">
        <v>2764</v>
      </c>
      <c r="F69" s="2328" t="s">
        <v>2780</v>
      </c>
      <c r="G69" s="1534" t="s">
        <v>754</v>
      </c>
      <c r="H69" s="2329" t="s">
        <v>2766</v>
      </c>
      <c r="I69" s="1534" t="s">
        <v>2767</v>
      </c>
      <c r="J69" s="558" t="s">
        <v>2417</v>
      </c>
      <c r="K69" s="558" t="s">
        <v>2418</v>
      </c>
      <c r="L69" s="558" t="s">
        <v>2419</v>
      </c>
      <c r="M69" s="558" t="s">
        <v>2420</v>
      </c>
      <c r="N69" s="558" t="s">
        <v>2421</v>
      </c>
      <c r="AA69" s="1278"/>
      <c r="AB69" s="1278"/>
      <c r="AC69" s="1278"/>
      <c r="AD69" s="1278"/>
      <c r="AE69" s="1278"/>
      <c r="AF69" s="1278"/>
      <c r="AG69" s="1278"/>
      <c r="AH69" s="1278"/>
      <c r="AI69" s="1278"/>
      <c r="AJ69" s="1278"/>
      <c r="AK69" s="1278"/>
    </row>
    <row r="70" spans="1:37" s="1277" customFormat="1" ht="51">
      <c r="A70" s="2327" t="s">
        <v>2783</v>
      </c>
      <c r="B70" s="2330" t="str">
        <f>估价对象房地状况!C15</f>
        <v>估价对象周边居住用地比例、居住小区规模和社区发展完善程度，综合评价居住社区成熟度一般</v>
      </c>
      <c r="C70" s="2232"/>
      <c r="D70" s="1193">
        <f t="shared" ref="D70:D78" si="21">SUMIF($J$69:$N$69,C70,J70:N70)</f>
        <v>0</v>
      </c>
      <c r="E70" s="757">
        <f>ROUND(SUM(D70:D78),4)</f>
        <v>0</v>
      </c>
      <c r="F70" s="1998" t="str">
        <f>IF(E2="住宅",SUMIF(L1:L12,G2,N1:N12),"——")</f>
        <v>——</v>
      </c>
      <c r="G70" s="1191" t="str">
        <f>H70</f>
        <v>——</v>
      </c>
      <c r="H70" s="1195" t="str">
        <f t="shared" ref="H70:H78" si="22">IFERROR(ROUNDDOWN($F$70*I70/2,4),"——")</f>
        <v>——</v>
      </c>
      <c r="I70" s="756">
        <v>0.14000000000000001</v>
      </c>
      <c r="J70" s="1192" t="e">
        <f t="shared" ref="J70:J78" si="23">K70+$G70</f>
        <v>#VALUE!</v>
      </c>
      <c r="K70" s="1192" t="e">
        <f t="shared" ref="K70:K78" si="24">$L70+$G70</f>
        <v>#VALUE!</v>
      </c>
      <c r="L70" s="1192">
        <v>0</v>
      </c>
      <c r="M70" s="1192" t="e">
        <f t="shared" ref="M70:N78" si="25">L70-$G70</f>
        <v>#VALUE!</v>
      </c>
      <c r="N70" s="1192" t="e">
        <f t="shared" si="25"/>
        <v>#VALUE!</v>
      </c>
      <c r="AA70" s="1278"/>
      <c r="AB70" s="1278"/>
      <c r="AC70" s="1278"/>
      <c r="AD70" s="1278"/>
      <c r="AE70" s="1278"/>
      <c r="AF70" s="1278"/>
      <c r="AG70" s="1278"/>
      <c r="AH70" s="1278"/>
      <c r="AI70" s="1278"/>
      <c r="AJ70" s="1278"/>
      <c r="AK70" s="1278"/>
    </row>
    <row r="71" spans="1:37" s="1277" customFormat="1" ht="51">
      <c r="A71" s="2327" t="s">
        <v>2769</v>
      </c>
      <c r="B71" s="2331" t="str">
        <f>估价对象房地状况!C18</f>
        <v>估价对象周边道路状况、公共交通通达情况、停车便捷程度，综合评价交通便捷度较好</v>
      </c>
      <c r="C71" s="2232"/>
      <c r="D71" s="1193">
        <f t="shared" si="21"/>
        <v>0</v>
      </c>
      <c r="E71" s="762"/>
      <c r="F71" s="1998"/>
      <c r="G71" s="1191" t="str">
        <f t="shared" ref="G71:G77" si="26">H71</f>
        <v>——</v>
      </c>
      <c r="H71" s="1195" t="str">
        <f t="shared" si="22"/>
        <v>——</v>
      </c>
      <c r="I71" s="756">
        <v>0.3</v>
      </c>
      <c r="J71" s="1192" t="e">
        <f t="shared" si="23"/>
        <v>#VALUE!</v>
      </c>
      <c r="K71" s="1192" t="e">
        <f t="shared" si="24"/>
        <v>#VALUE!</v>
      </c>
      <c r="L71" s="1192">
        <v>0</v>
      </c>
      <c r="M71" s="1192" t="e">
        <f t="shared" si="25"/>
        <v>#VALUE!</v>
      </c>
      <c r="N71" s="1192" t="e">
        <f t="shared" si="25"/>
        <v>#VALUE!</v>
      </c>
      <c r="AA71" s="1278"/>
      <c r="AB71" s="1278"/>
      <c r="AC71" s="1278"/>
      <c r="AD71" s="1278"/>
      <c r="AE71" s="1278"/>
      <c r="AF71" s="1278"/>
      <c r="AG71" s="1278"/>
      <c r="AH71" s="1278"/>
      <c r="AI71" s="1278"/>
      <c r="AJ71" s="1278"/>
      <c r="AK71" s="1278"/>
    </row>
    <row r="72" spans="1:37" s="1277" customFormat="1" ht="24">
      <c r="A72" s="2327" t="s">
        <v>2770</v>
      </c>
      <c r="B72" s="2331">
        <f>估价对象房地状况!C19</f>
        <v>0</v>
      </c>
      <c r="C72" s="2232"/>
      <c r="D72" s="1193">
        <f t="shared" si="21"/>
        <v>0</v>
      </c>
      <c r="E72" s="762"/>
      <c r="F72" s="1998"/>
      <c r="G72" s="1191" t="str">
        <f t="shared" si="26"/>
        <v>——</v>
      </c>
      <c r="H72" s="1195" t="str">
        <f t="shared" si="22"/>
        <v>——</v>
      </c>
      <c r="I72" s="756">
        <v>0.08</v>
      </c>
      <c r="J72" s="1192" t="e">
        <f t="shared" si="23"/>
        <v>#VALUE!</v>
      </c>
      <c r="K72" s="1192" t="e">
        <f t="shared" si="24"/>
        <v>#VALUE!</v>
      </c>
      <c r="L72" s="1192">
        <v>0</v>
      </c>
      <c r="M72" s="1192" t="e">
        <f t="shared" si="25"/>
        <v>#VALUE!</v>
      </c>
      <c r="N72" s="1192" t="e">
        <f t="shared" si="25"/>
        <v>#VALUE!</v>
      </c>
      <c r="AA72" s="1278"/>
      <c r="AB72" s="1278"/>
      <c r="AC72" s="1278"/>
      <c r="AD72" s="1278"/>
      <c r="AE72" s="1278"/>
      <c r="AF72" s="1278"/>
      <c r="AG72" s="1278"/>
      <c r="AH72" s="1278"/>
      <c r="AI72" s="1278"/>
      <c r="AJ72" s="1278"/>
      <c r="AK72" s="1278"/>
    </row>
    <row r="73" spans="1:37" s="1277" customFormat="1" ht="14.25">
      <c r="A73" s="2327" t="s">
        <v>2784</v>
      </c>
      <c r="B73" s="2331">
        <f>估价对象房地状况!C24</f>
        <v>0</v>
      </c>
      <c r="C73" s="2232"/>
      <c r="D73" s="1193">
        <f t="shared" si="21"/>
        <v>0</v>
      </c>
      <c r="E73" s="762"/>
      <c r="F73" s="1998"/>
      <c r="G73" s="1191" t="str">
        <f t="shared" si="26"/>
        <v>——</v>
      </c>
      <c r="H73" s="1195" t="str">
        <f t="shared" si="22"/>
        <v>——</v>
      </c>
      <c r="I73" s="756">
        <v>0.04</v>
      </c>
      <c r="J73" s="1192" t="e">
        <f t="shared" si="23"/>
        <v>#VALUE!</v>
      </c>
      <c r="K73" s="1192" t="e">
        <f t="shared" si="24"/>
        <v>#VALUE!</v>
      </c>
      <c r="L73" s="1192">
        <v>0</v>
      </c>
      <c r="M73" s="1192" t="e">
        <f t="shared" si="25"/>
        <v>#VALUE!</v>
      </c>
      <c r="N73" s="1192" t="e">
        <f t="shared" si="25"/>
        <v>#VALUE!</v>
      </c>
      <c r="AA73" s="1278"/>
      <c r="AB73" s="1278"/>
      <c r="AC73" s="1278"/>
      <c r="AD73" s="1278"/>
      <c r="AE73" s="1278"/>
      <c r="AF73" s="1278"/>
      <c r="AG73" s="1278"/>
      <c r="AH73" s="1278"/>
      <c r="AI73" s="1278"/>
      <c r="AJ73" s="1278"/>
      <c r="AK73" s="1278"/>
    </row>
    <row r="74" spans="1:37" s="1277" customFormat="1" ht="25.5">
      <c r="A74" s="2327" t="s">
        <v>2776</v>
      </c>
      <c r="B74" s="1493" t="str">
        <f>估价对象房地状况!C21</f>
        <v>估价对象所在区域公共配套设施齐备情况</v>
      </c>
      <c r="C74" s="2232"/>
      <c r="D74" s="1193">
        <f t="shared" si="21"/>
        <v>0</v>
      </c>
      <c r="E74" s="762"/>
      <c r="F74" s="1998"/>
      <c r="G74" s="1191" t="str">
        <f t="shared" si="26"/>
        <v>——</v>
      </c>
      <c r="H74" s="1195" t="str">
        <f t="shared" si="22"/>
        <v>——</v>
      </c>
      <c r="I74" s="756">
        <v>0.08</v>
      </c>
      <c r="J74" s="1192" t="e">
        <f t="shared" si="23"/>
        <v>#VALUE!</v>
      </c>
      <c r="K74" s="1192" t="e">
        <f t="shared" si="24"/>
        <v>#VALUE!</v>
      </c>
      <c r="L74" s="1192">
        <v>0</v>
      </c>
      <c r="M74" s="1192" t="e">
        <f t="shared" si="25"/>
        <v>#VALUE!</v>
      </c>
      <c r="N74" s="1192" t="e">
        <f t="shared" si="25"/>
        <v>#VALUE!</v>
      </c>
      <c r="AA74" s="1278"/>
      <c r="AB74" s="1278"/>
      <c r="AC74" s="1278"/>
      <c r="AD74" s="1278"/>
      <c r="AE74" s="1278"/>
      <c r="AF74" s="1278"/>
      <c r="AG74" s="1278"/>
      <c r="AH74" s="1278"/>
      <c r="AI74" s="1278"/>
      <c r="AJ74" s="1278"/>
      <c r="AK74" s="1278"/>
    </row>
    <row r="75" spans="1:37" s="1277" customFormat="1" ht="25.5">
      <c r="A75" s="2327" t="s">
        <v>2777</v>
      </c>
      <c r="B75" s="1493" t="str">
        <f>估价对象房地状况!C22</f>
        <v>估价对象所在区域基础设施水平</v>
      </c>
      <c r="C75" s="2232"/>
      <c r="D75" s="1193">
        <f t="shared" si="21"/>
        <v>0</v>
      </c>
      <c r="E75" s="762"/>
      <c r="F75" s="1998"/>
      <c r="G75" s="1191" t="str">
        <f t="shared" si="26"/>
        <v>——</v>
      </c>
      <c r="H75" s="1195" t="str">
        <f t="shared" si="22"/>
        <v>——</v>
      </c>
      <c r="I75" s="756">
        <v>0.12</v>
      </c>
      <c r="J75" s="1192" t="e">
        <f t="shared" si="23"/>
        <v>#VALUE!</v>
      </c>
      <c r="K75" s="1192" t="e">
        <f t="shared" si="24"/>
        <v>#VALUE!</v>
      </c>
      <c r="L75" s="1192">
        <v>0</v>
      </c>
      <c r="M75" s="1192" t="e">
        <f t="shared" si="25"/>
        <v>#VALUE!</v>
      </c>
      <c r="N75" s="1192" t="e">
        <f t="shared" si="25"/>
        <v>#VALUE!</v>
      </c>
      <c r="AA75" s="1278"/>
      <c r="AB75" s="1278"/>
      <c r="AC75" s="1278"/>
      <c r="AD75" s="1278"/>
      <c r="AE75" s="1278"/>
      <c r="AF75" s="1278"/>
      <c r="AG75" s="1278"/>
      <c r="AH75" s="1278"/>
      <c r="AI75" s="1278"/>
      <c r="AJ75" s="1278"/>
      <c r="AK75" s="1278"/>
    </row>
    <row r="76" spans="1:37" s="2181" customFormat="1" ht="24">
      <c r="A76" s="2327" t="s">
        <v>2774</v>
      </c>
      <c r="B76" s="2333" t="s">
        <v>2775</v>
      </c>
      <c r="C76" s="2232"/>
      <c r="D76" s="1193">
        <f t="shared" si="21"/>
        <v>0</v>
      </c>
      <c r="E76" s="762"/>
      <c r="F76" s="1998"/>
      <c r="G76" s="1191" t="str">
        <f t="shared" si="26"/>
        <v>——</v>
      </c>
      <c r="H76" s="1195" t="str">
        <f t="shared" si="22"/>
        <v>——</v>
      </c>
      <c r="I76" s="756">
        <v>0.05</v>
      </c>
      <c r="J76" s="1192" t="e">
        <f t="shared" si="23"/>
        <v>#VALUE!</v>
      </c>
      <c r="K76" s="1192" t="e">
        <f t="shared" si="24"/>
        <v>#VALUE!</v>
      </c>
      <c r="L76" s="1192">
        <v>0</v>
      </c>
      <c r="M76" s="1192" t="e">
        <f t="shared" si="25"/>
        <v>#VALUE!</v>
      </c>
      <c r="N76" s="1192" t="e">
        <f t="shared" si="25"/>
        <v>#VALUE!</v>
      </c>
      <c r="AA76" s="2338"/>
      <c r="AB76" s="1278"/>
      <c r="AC76" s="1278"/>
      <c r="AD76" s="1278"/>
      <c r="AE76" s="1278"/>
      <c r="AF76" s="1278"/>
      <c r="AG76" s="1278"/>
      <c r="AH76" s="2338"/>
      <c r="AI76" s="2338"/>
      <c r="AJ76" s="2338"/>
      <c r="AK76" s="2338"/>
    </row>
    <row r="77" spans="1:37" ht="38.25">
      <c r="A77" s="2327" t="s">
        <v>2778</v>
      </c>
      <c r="B77" s="2330" t="str">
        <f>估价对象房地状况!C20</f>
        <v>区域自然环境：；人文环境；综合评价环境状况一般</v>
      </c>
      <c r="C77" s="2232"/>
      <c r="D77" s="1193">
        <f t="shared" si="21"/>
        <v>0</v>
      </c>
      <c r="E77" s="762"/>
      <c r="F77" s="1998"/>
      <c r="G77" s="1191" t="str">
        <f t="shared" si="26"/>
        <v>——</v>
      </c>
      <c r="H77" s="1195" t="str">
        <f t="shared" si="22"/>
        <v>——</v>
      </c>
      <c r="I77" s="756">
        <v>0.15</v>
      </c>
      <c r="J77" s="1192" t="e">
        <f t="shared" si="23"/>
        <v>#VALUE!</v>
      </c>
      <c r="K77" s="1192" t="e">
        <f t="shared" si="24"/>
        <v>#VALUE!</v>
      </c>
      <c r="L77" s="1192">
        <v>0</v>
      </c>
      <c r="M77" s="1192" t="e">
        <f t="shared" si="25"/>
        <v>#VALUE!</v>
      </c>
      <c r="N77" s="1192" t="e">
        <f t="shared" si="25"/>
        <v>#VALUE!</v>
      </c>
      <c r="Z77" s="2182"/>
      <c r="AA77" s="2248"/>
      <c r="AG77" s="1279"/>
      <c r="AK77" s="2248"/>
    </row>
    <row r="78" spans="1:37" ht="24.75" thickBot="1">
      <c r="A78" s="2335" t="s">
        <v>2785</v>
      </c>
      <c r="B78" s="2339"/>
      <c r="C78" s="2232"/>
      <c r="D78" s="1193">
        <f t="shared" si="21"/>
        <v>0</v>
      </c>
      <c r="E78" s="763"/>
      <c r="F78" s="1998"/>
      <c r="G78" s="1191" t="str">
        <f>H78</f>
        <v>——</v>
      </c>
      <c r="H78" s="1195" t="str">
        <f t="shared" si="22"/>
        <v>——</v>
      </c>
      <c r="I78" s="760">
        <v>0.04</v>
      </c>
      <c r="J78" s="1192" t="e">
        <f t="shared" si="23"/>
        <v>#VALUE!</v>
      </c>
      <c r="K78" s="1192" t="e">
        <f t="shared" si="24"/>
        <v>#VALUE!</v>
      </c>
      <c r="L78" s="1192">
        <v>0</v>
      </c>
      <c r="M78" s="1192" t="e">
        <f t="shared" si="25"/>
        <v>#VALUE!</v>
      </c>
      <c r="N78" s="1192" t="e">
        <f t="shared" si="25"/>
        <v>#VALUE!</v>
      </c>
      <c r="Z78" s="2182"/>
      <c r="AA78" s="2248"/>
      <c r="AG78" s="1279"/>
      <c r="AK78" s="2248"/>
    </row>
    <row r="79" spans="1:37" ht="15">
      <c r="A79" s="2323" t="s">
        <v>2786</v>
      </c>
      <c r="B79" s="2324">
        <f>1+E81</f>
        <v>1</v>
      </c>
      <c r="C79" s="750"/>
      <c r="D79" s="750"/>
      <c r="E79" s="751"/>
      <c r="F79" s="2326"/>
      <c r="G79" s="6"/>
      <c r="H79" s="6"/>
      <c r="I79" s="6"/>
      <c r="J79" s="7"/>
      <c r="K79" s="7"/>
      <c r="L79" s="7"/>
      <c r="M79" s="7"/>
      <c r="N79" s="7"/>
      <c r="Z79" s="2182"/>
      <c r="AA79" s="2248"/>
      <c r="AG79" s="1279"/>
      <c r="AK79" s="2248"/>
    </row>
    <row r="80" spans="1:37" ht="24.75">
      <c r="A80" s="2327" t="s">
        <v>2760</v>
      </c>
      <c r="B80" s="1534"/>
      <c r="C80" s="1534" t="s">
        <v>2762</v>
      </c>
      <c r="D80" s="1534" t="s">
        <v>2763</v>
      </c>
      <c r="E80" s="755" t="s">
        <v>2764</v>
      </c>
      <c r="F80" s="2328" t="s">
        <v>2780</v>
      </c>
      <c r="G80" s="1534" t="s">
        <v>754</v>
      </c>
      <c r="H80" s="2329" t="s">
        <v>2766</v>
      </c>
      <c r="I80" s="1534" t="s">
        <v>2767</v>
      </c>
      <c r="J80" s="558" t="s">
        <v>2417</v>
      </c>
      <c r="K80" s="558" t="s">
        <v>2418</v>
      </c>
      <c r="L80" s="558" t="s">
        <v>2419</v>
      </c>
      <c r="M80" s="558" t="s">
        <v>2420</v>
      </c>
      <c r="N80" s="558" t="s">
        <v>2421</v>
      </c>
      <c r="Z80" s="2182"/>
      <c r="AA80" s="2248"/>
      <c r="AG80" s="1279"/>
      <c r="AK80" s="2248"/>
    </row>
    <row r="81" spans="1:37" ht="38.25">
      <c r="A81" s="2327" t="s">
        <v>2787</v>
      </c>
      <c r="B81" s="2331" t="str">
        <f>估价对象房地状况!G15</f>
        <v>估价对象位于XX开发区，园区建设成熟度XX，产业集聚程度XX</v>
      </c>
      <c r="C81" s="2232"/>
      <c r="D81" s="1193">
        <f t="shared" ref="D81:D88" si="27">SUMIF($J$80:$N$80,C81,J81:N81)</f>
        <v>0</v>
      </c>
      <c r="E81" s="757">
        <f>ROUND(SUM(D81:D88),4)</f>
        <v>0</v>
      </c>
      <c r="F81" s="1998" t="str">
        <f>IF(E2="工业",SUMIF(L1:L12,G2,N1:N12),"——")</f>
        <v>——</v>
      </c>
      <c r="G81" s="1191"/>
      <c r="H81" s="1195" t="str">
        <f t="shared" ref="H81:H88" si="28">IFERROR(ROUNDDOWN($F$81*I81/2,4),"——")</f>
        <v>——</v>
      </c>
      <c r="I81" s="756">
        <v>0.26</v>
      </c>
      <c r="J81" s="1192">
        <f t="shared" ref="J81:J88" si="29">K81+$G81</f>
        <v>0</v>
      </c>
      <c r="K81" s="1192">
        <f t="shared" ref="K81:K88" si="30">$L81+$G81</f>
        <v>0</v>
      </c>
      <c r="L81" s="1192">
        <v>0</v>
      </c>
      <c r="M81" s="1192">
        <f t="shared" ref="M81:N88" si="31">L81-$G81</f>
        <v>0</v>
      </c>
      <c r="N81" s="1192">
        <f t="shared" si="31"/>
        <v>0</v>
      </c>
      <c r="Z81" s="2182"/>
      <c r="AA81" s="2248"/>
      <c r="AG81" s="1279"/>
      <c r="AK81" s="2248"/>
    </row>
    <row r="82" spans="1:37" ht="51">
      <c r="A82" s="2327" t="s">
        <v>2769</v>
      </c>
      <c r="B82" s="2331" t="str">
        <f>估价对象房地状况!G16</f>
        <v>估价对象周边道路状况、公共交通通达情况、停车便捷程度，综合评价交通便捷度较好</v>
      </c>
      <c r="C82" s="2232"/>
      <c r="D82" s="1193">
        <f t="shared" si="27"/>
        <v>0</v>
      </c>
      <c r="E82" s="762"/>
      <c r="F82" s="1998"/>
      <c r="G82" s="1191"/>
      <c r="H82" s="1195" t="str">
        <f t="shared" si="28"/>
        <v>——</v>
      </c>
      <c r="I82" s="756">
        <v>0.33</v>
      </c>
      <c r="J82" s="1192">
        <f t="shared" si="29"/>
        <v>0</v>
      </c>
      <c r="K82" s="1192">
        <f t="shared" si="30"/>
        <v>0</v>
      </c>
      <c r="L82" s="1192">
        <v>0</v>
      </c>
      <c r="M82" s="1192">
        <f t="shared" si="31"/>
        <v>0</v>
      </c>
      <c r="N82" s="1192">
        <f t="shared" si="31"/>
        <v>0</v>
      </c>
      <c r="Z82" s="2182"/>
      <c r="AA82" s="2248"/>
      <c r="AG82" s="1279"/>
      <c r="AK82" s="2248"/>
    </row>
    <row r="83" spans="1:37" ht="24">
      <c r="A83" s="2327" t="s">
        <v>2770</v>
      </c>
      <c r="B83" s="2331">
        <f>估价对象房地状况!G17</f>
        <v>0</v>
      </c>
      <c r="C83" s="2232"/>
      <c r="D83" s="1193">
        <f t="shared" si="27"/>
        <v>0</v>
      </c>
      <c r="E83" s="762"/>
      <c r="F83" s="1998"/>
      <c r="G83" s="1191"/>
      <c r="H83" s="1195" t="str">
        <f t="shared" si="28"/>
        <v>——</v>
      </c>
      <c r="I83" s="756">
        <v>0.05</v>
      </c>
      <c r="J83" s="1192">
        <f t="shared" si="29"/>
        <v>0</v>
      </c>
      <c r="K83" s="1192">
        <f t="shared" si="30"/>
        <v>0</v>
      </c>
      <c r="L83" s="1192">
        <v>0</v>
      </c>
      <c r="M83" s="1192">
        <f t="shared" si="31"/>
        <v>0</v>
      </c>
      <c r="N83" s="1192">
        <f t="shared" si="31"/>
        <v>0</v>
      </c>
      <c r="Z83" s="2182"/>
      <c r="AA83" s="2248"/>
      <c r="AG83" s="1279"/>
      <c r="AK83" s="2248"/>
    </row>
    <row r="84" spans="1:37" ht="14.25">
      <c r="A84" s="2327" t="s">
        <v>2784</v>
      </c>
      <c r="B84" s="2331">
        <f>估价对象房地状况!G22</f>
        <v>0</v>
      </c>
      <c r="C84" s="2232"/>
      <c r="D84" s="1193">
        <f t="shared" si="27"/>
        <v>0</v>
      </c>
      <c r="E84" s="762"/>
      <c r="F84" s="1998"/>
      <c r="G84" s="1191"/>
      <c r="H84" s="1195" t="str">
        <f t="shared" si="28"/>
        <v>——</v>
      </c>
      <c r="I84" s="756">
        <v>0.04</v>
      </c>
      <c r="J84" s="1192">
        <f t="shared" si="29"/>
        <v>0</v>
      </c>
      <c r="K84" s="1192">
        <f t="shared" si="30"/>
        <v>0</v>
      </c>
      <c r="L84" s="1192">
        <v>0</v>
      </c>
      <c r="M84" s="1192">
        <f t="shared" si="31"/>
        <v>0</v>
      </c>
      <c r="N84" s="1192">
        <f t="shared" si="31"/>
        <v>0</v>
      </c>
      <c r="Z84" s="2182"/>
      <c r="AA84" s="2248"/>
      <c r="AG84" s="1279"/>
      <c r="AK84" s="2248"/>
    </row>
    <row r="85" spans="1:37" ht="25.5">
      <c r="A85" s="2327" t="s">
        <v>2776</v>
      </c>
      <c r="B85" s="1493" t="str">
        <f>估价对象房地状况!G19</f>
        <v>估价对象所在区域公共配套设施齐备情况</v>
      </c>
      <c r="C85" s="2232"/>
      <c r="D85" s="1193">
        <f t="shared" si="27"/>
        <v>0</v>
      </c>
      <c r="E85" s="762"/>
      <c r="F85" s="1998"/>
      <c r="G85" s="1191"/>
      <c r="H85" s="1195" t="str">
        <f t="shared" si="28"/>
        <v>——</v>
      </c>
      <c r="I85" s="756">
        <v>0.06</v>
      </c>
      <c r="J85" s="1192">
        <f t="shared" si="29"/>
        <v>0</v>
      </c>
      <c r="K85" s="1192">
        <f t="shared" si="30"/>
        <v>0</v>
      </c>
      <c r="L85" s="1192">
        <v>0</v>
      </c>
      <c r="M85" s="1192">
        <f t="shared" si="31"/>
        <v>0</v>
      </c>
      <c r="N85" s="1192">
        <f t="shared" si="31"/>
        <v>0</v>
      </c>
      <c r="Z85" s="2182"/>
      <c r="AA85" s="2248"/>
      <c r="AG85" s="1279"/>
      <c r="AK85" s="2248"/>
    </row>
    <row r="86" spans="1:37" ht="25.5">
      <c r="A86" s="2327" t="s">
        <v>2777</v>
      </c>
      <c r="B86" s="1493" t="str">
        <f>估价对象房地状况!G20</f>
        <v>估价对象所在区域基础设施水平</v>
      </c>
      <c r="C86" s="2232"/>
      <c r="D86" s="1193">
        <f t="shared" si="27"/>
        <v>0</v>
      </c>
      <c r="E86" s="762"/>
      <c r="F86" s="1998"/>
      <c r="G86" s="1191"/>
      <c r="H86" s="1195" t="str">
        <f t="shared" si="28"/>
        <v>——</v>
      </c>
      <c r="I86" s="756">
        <v>0.15</v>
      </c>
      <c r="J86" s="1192">
        <f t="shared" si="29"/>
        <v>0</v>
      </c>
      <c r="K86" s="1192">
        <f t="shared" si="30"/>
        <v>0</v>
      </c>
      <c r="L86" s="1192">
        <v>0</v>
      </c>
      <c r="M86" s="1192">
        <f t="shared" si="31"/>
        <v>0</v>
      </c>
      <c r="N86" s="1192">
        <f t="shared" si="31"/>
        <v>0</v>
      </c>
      <c r="Z86" s="2182"/>
      <c r="AA86" s="2248"/>
      <c r="AG86" s="1279"/>
      <c r="AK86" s="2248"/>
    </row>
    <row r="87" spans="1:37" ht="24">
      <c r="A87" s="2327" t="s">
        <v>2774</v>
      </c>
      <c r="B87" s="2333" t="s">
        <v>2788</v>
      </c>
      <c r="C87" s="2232"/>
      <c r="D87" s="1193">
        <f t="shared" si="27"/>
        <v>0</v>
      </c>
      <c r="E87" s="762"/>
      <c r="F87" s="1998"/>
      <c r="G87" s="1191"/>
      <c r="H87" s="1195" t="str">
        <f t="shared" si="28"/>
        <v>——</v>
      </c>
      <c r="I87" s="756">
        <v>0.05</v>
      </c>
      <c r="J87" s="1192">
        <f t="shared" si="29"/>
        <v>0</v>
      </c>
      <c r="K87" s="1192">
        <f t="shared" si="30"/>
        <v>0</v>
      </c>
      <c r="L87" s="1192">
        <v>0</v>
      </c>
      <c r="M87" s="1192">
        <f t="shared" si="31"/>
        <v>0</v>
      </c>
      <c r="N87" s="1192">
        <f t="shared" si="31"/>
        <v>0</v>
      </c>
      <c r="Z87" s="2182"/>
      <c r="AA87" s="2248"/>
      <c r="AG87" s="1279"/>
      <c r="AK87" s="2248"/>
    </row>
    <row r="88" spans="1:37" ht="39" thickBot="1">
      <c r="A88" s="2335" t="s">
        <v>2789</v>
      </c>
      <c r="B88" s="2340" t="str">
        <f>估价对象房地状况!G18</f>
        <v>该园区内是否有污染型企业，绿化情况，卫生条件，整体环境状况判断</v>
      </c>
      <c r="C88" s="2232"/>
      <c r="D88" s="1193">
        <f t="shared" si="27"/>
        <v>0</v>
      </c>
      <c r="E88" s="763"/>
      <c r="F88" s="1998"/>
      <c r="G88" s="1191"/>
      <c r="H88" s="1195" t="str">
        <f t="shared" si="28"/>
        <v>——</v>
      </c>
      <c r="I88" s="760">
        <v>0.06</v>
      </c>
      <c r="J88" s="1192">
        <f t="shared" si="29"/>
        <v>0</v>
      </c>
      <c r="K88" s="1192">
        <f t="shared" si="30"/>
        <v>0</v>
      </c>
      <c r="L88" s="1192">
        <v>0</v>
      </c>
      <c r="M88" s="1192">
        <f t="shared" si="31"/>
        <v>0</v>
      </c>
      <c r="N88" s="1192">
        <f t="shared" si="31"/>
        <v>0</v>
      </c>
      <c r="Z88" s="2182"/>
      <c r="AA88" s="2248"/>
      <c r="AG88" s="1279"/>
      <c r="AK88" s="2248"/>
    </row>
    <row r="90" spans="1:37">
      <c r="A90" s="3323" t="s">
        <v>2790</v>
      </c>
      <c r="B90" s="3323"/>
      <c r="C90" s="3323"/>
      <c r="D90" s="3323"/>
      <c r="E90" s="3323"/>
      <c r="F90" s="3323"/>
      <c r="G90" s="3323"/>
      <c r="H90" s="3323"/>
      <c r="I90" s="3323"/>
      <c r="J90" s="3323"/>
      <c r="K90" s="2341"/>
      <c r="L90" s="2341"/>
      <c r="M90" s="2341"/>
      <c r="N90" s="2341"/>
    </row>
    <row r="91" spans="1:37">
      <c r="A91" s="3325" t="s">
        <v>2791</v>
      </c>
      <c r="B91" s="3325" t="s">
        <v>2792</v>
      </c>
      <c r="C91" s="2295" t="s">
        <v>2793</v>
      </c>
      <c r="D91" s="2296"/>
      <c r="E91" s="2296"/>
      <c r="F91" s="2296"/>
      <c r="G91" s="2296"/>
      <c r="H91" s="2296"/>
      <c r="I91" s="2296"/>
      <c r="J91" s="2342"/>
      <c r="K91" s="2343"/>
      <c r="L91" s="2343"/>
      <c r="M91" s="2343"/>
      <c r="N91" s="2343"/>
    </row>
    <row r="92" spans="1:37">
      <c r="A92" s="3325"/>
      <c r="B92" s="3325"/>
      <c r="C92" s="876" t="s">
        <v>2661</v>
      </c>
      <c r="D92" s="876" t="s">
        <v>2662</v>
      </c>
      <c r="E92" s="876" t="s">
        <v>2663</v>
      </c>
      <c r="F92" s="876" t="s">
        <v>2664</v>
      </c>
      <c r="G92" s="876" t="s">
        <v>2665</v>
      </c>
      <c r="H92" s="876" t="s">
        <v>2666</v>
      </c>
      <c r="I92" s="876" t="s">
        <v>2667</v>
      </c>
      <c r="J92" s="876" t="s">
        <v>2668</v>
      </c>
      <c r="K92" s="876" t="s">
        <v>2669</v>
      </c>
      <c r="L92" s="876" t="s">
        <v>2670</v>
      </c>
      <c r="M92" s="876" t="s">
        <v>2671</v>
      </c>
      <c r="N92" s="876" t="s">
        <v>2672</v>
      </c>
    </row>
    <row r="93" spans="1:37">
      <c r="A93" s="3326" t="s">
        <v>2794</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27"/>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27"/>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27"/>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27"/>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27"/>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27"/>
      <c r="B99" s="2344" t="s">
        <v>2677</v>
      </c>
      <c r="C99" s="2346">
        <f>$I$3</f>
        <v>0</v>
      </c>
      <c r="D99" s="2346">
        <f t="shared" ref="D99:M99" si="32">$I$3</f>
        <v>0</v>
      </c>
      <c r="E99" s="2346">
        <f t="shared" si="32"/>
        <v>0</v>
      </c>
      <c r="F99" s="2346">
        <f t="shared" si="32"/>
        <v>0</v>
      </c>
      <c r="G99" s="2346">
        <f t="shared" si="32"/>
        <v>0</v>
      </c>
      <c r="H99" s="2346">
        <f t="shared" si="32"/>
        <v>0</v>
      </c>
      <c r="I99" s="2346">
        <f t="shared" si="32"/>
        <v>0</v>
      </c>
      <c r="J99" s="2346">
        <f t="shared" si="32"/>
        <v>0</v>
      </c>
      <c r="K99" s="2346">
        <f t="shared" si="32"/>
        <v>0</v>
      </c>
      <c r="L99" s="2346">
        <f t="shared" si="32"/>
        <v>0</v>
      </c>
      <c r="M99" s="2346">
        <f t="shared" si="32"/>
        <v>0</v>
      </c>
      <c r="N99" s="2346">
        <f>$I$3</f>
        <v>0</v>
      </c>
    </row>
    <row r="100" spans="1:14">
      <c r="A100" s="3328"/>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26" t="s">
        <v>2795</v>
      </c>
      <c r="B101" s="2348" t="s">
        <v>2796</v>
      </c>
      <c r="C101" s="2349">
        <f>$G$3</f>
        <v>5.99</v>
      </c>
      <c r="D101" s="2349">
        <f t="shared" ref="D101:N101" si="33">$G$3</f>
        <v>5.99</v>
      </c>
      <c r="E101" s="2349">
        <f t="shared" si="33"/>
        <v>5.99</v>
      </c>
      <c r="F101" s="2349">
        <f t="shared" si="33"/>
        <v>5.99</v>
      </c>
      <c r="G101" s="2349">
        <f t="shared" si="33"/>
        <v>5.99</v>
      </c>
      <c r="H101" s="2349">
        <f t="shared" si="33"/>
        <v>5.99</v>
      </c>
      <c r="I101" s="2349">
        <f t="shared" si="33"/>
        <v>5.99</v>
      </c>
      <c r="J101" s="2349">
        <f t="shared" si="33"/>
        <v>5.99</v>
      </c>
      <c r="K101" s="2349">
        <f t="shared" si="33"/>
        <v>5.99</v>
      </c>
      <c r="L101" s="2349">
        <f t="shared" si="33"/>
        <v>5.99</v>
      </c>
      <c r="M101" s="2349">
        <f t="shared" si="33"/>
        <v>5.99</v>
      </c>
      <c r="N101" s="2349">
        <f t="shared" si="33"/>
        <v>5.99</v>
      </c>
    </row>
    <row r="102" spans="1:14">
      <c r="A102" s="3327"/>
      <c r="B102" s="2344">
        <v>1</v>
      </c>
      <c r="C102" s="2345">
        <f>1.9362/C101</f>
        <v>0.32323873121869778</v>
      </c>
      <c r="D102" s="2345">
        <f>1.9362/D101</f>
        <v>0.32323873121869778</v>
      </c>
      <c r="E102" s="2345">
        <f>1.8629/E101</f>
        <v>0.31100166944908181</v>
      </c>
      <c r="F102" s="2345">
        <f>1.8629/F101</f>
        <v>0.31100166944908181</v>
      </c>
      <c r="G102" s="2345">
        <f>1.8629/G101</f>
        <v>0.31100166944908181</v>
      </c>
      <c r="H102" s="2345">
        <f>1.8629/H101</f>
        <v>0.31100166944908181</v>
      </c>
      <c r="I102" s="2345">
        <f>1.8629/I101</f>
        <v>0.31100166944908181</v>
      </c>
      <c r="J102" s="2345">
        <f>1.942/J101</f>
        <v>0.32420701168614358</v>
      </c>
      <c r="K102" s="2345">
        <f>1.942/K101</f>
        <v>0.32420701168614358</v>
      </c>
      <c r="L102" s="2345">
        <f>1.942/L101</f>
        <v>0.32420701168614358</v>
      </c>
      <c r="M102" s="2345">
        <f>1.942/M101</f>
        <v>0.32420701168614358</v>
      </c>
      <c r="N102" s="2345">
        <f>1.942/N101</f>
        <v>0.32420701168614358</v>
      </c>
    </row>
    <row r="103" spans="1:14">
      <c r="A103" s="3327"/>
      <c r="B103" s="2344">
        <v>2</v>
      </c>
      <c r="C103" s="2345">
        <f>1.4198/C101</f>
        <v>0.23702838063439063</v>
      </c>
      <c r="D103" s="2345">
        <f>1.4198/D101</f>
        <v>0.23702838063439063</v>
      </c>
      <c r="E103" s="2345">
        <f>1.3372/E101</f>
        <v>0.22323873121869781</v>
      </c>
      <c r="F103" s="2345">
        <f>1.3372/F101</f>
        <v>0.22323873121869781</v>
      </c>
      <c r="G103" s="2345">
        <f>1.3372/G101</f>
        <v>0.22323873121869781</v>
      </c>
      <c r="H103" s="2345">
        <f>1.3372/H101</f>
        <v>0.22323873121869781</v>
      </c>
      <c r="I103" s="2345">
        <f>1.3372/I101</f>
        <v>0.22323873121869781</v>
      </c>
      <c r="J103" s="2345">
        <f>1.2799/J101</f>
        <v>0.21367278797996661</v>
      </c>
      <c r="K103" s="2345">
        <f>1.2799/K101</f>
        <v>0.21367278797996661</v>
      </c>
      <c r="L103" s="2345">
        <f>1.2799/L101</f>
        <v>0.21367278797996661</v>
      </c>
      <c r="M103" s="2345">
        <f>1.2799/M101</f>
        <v>0.21367278797996661</v>
      </c>
      <c r="N103" s="2345">
        <f>1.2799/N101</f>
        <v>0.21367278797996661</v>
      </c>
    </row>
    <row r="104" spans="1:14">
      <c r="A104" s="3327"/>
      <c r="B104" s="2344">
        <v>3</v>
      </c>
      <c r="C104" s="2345">
        <f>1.1594/C101</f>
        <v>0.19355592654424039</v>
      </c>
      <c r="D104" s="2345">
        <f>1.1594/D101</f>
        <v>0.19355592654424039</v>
      </c>
      <c r="E104" s="2345">
        <f>1.0788/E101</f>
        <v>0.18010016694490816</v>
      </c>
      <c r="F104" s="2345">
        <f>1.0788/F101</f>
        <v>0.18010016694490816</v>
      </c>
      <c r="G104" s="2345">
        <f>1.0788/G101</f>
        <v>0.18010016694490816</v>
      </c>
      <c r="H104" s="2345">
        <f>1.0788/H101</f>
        <v>0.18010016694490816</v>
      </c>
      <c r="I104" s="2345">
        <f>1.0788/I101</f>
        <v>0.18010016694490816</v>
      </c>
      <c r="J104" s="2345">
        <f>1.0072/J101</f>
        <v>0.16814691151919867</v>
      </c>
      <c r="K104" s="2345">
        <f>1.0072/K101</f>
        <v>0.16814691151919867</v>
      </c>
      <c r="L104" s="2345">
        <f>1.0072/L101</f>
        <v>0.16814691151919867</v>
      </c>
      <c r="M104" s="2345">
        <f>1.0072/M101</f>
        <v>0.16814691151919867</v>
      </c>
      <c r="N104" s="2345">
        <f>1.0072/N101</f>
        <v>0.16814691151919867</v>
      </c>
    </row>
    <row r="105" spans="1:14">
      <c r="A105" s="3327"/>
      <c r="B105" s="2344">
        <v>4</v>
      </c>
      <c r="C105" s="2345">
        <f>0.9622/C101</f>
        <v>0.16063439065108515</v>
      </c>
      <c r="D105" s="2345">
        <f>0.9622/D101</f>
        <v>0.16063439065108515</v>
      </c>
      <c r="E105" s="2345">
        <f>0.8656/E101</f>
        <v>0.1445075125208681</v>
      </c>
      <c r="F105" s="2345">
        <f>0.8656/F101</f>
        <v>0.1445075125208681</v>
      </c>
      <c r="G105" s="2345">
        <f>0.8656/G101</f>
        <v>0.1445075125208681</v>
      </c>
      <c r="H105" s="2345">
        <f>0.8656/H101</f>
        <v>0.1445075125208681</v>
      </c>
      <c r="I105" s="2345">
        <f>0.8656/I101</f>
        <v>0.1445075125208681</v>
      </c>
      <c r="J105" s="2345">
        <f>0.7525/J101</f>
        <v>0.12562604340567612</v>
      </c>
      <c r="K105" s="2345">
        <f>0.7525/K101</f>
        <v>0.12562604340567612</v>
      </c>
      <c r="L105" s="2345">
        <f>0.7525/L101</f>
        <v>0.12562604340567612</v>
      </c>
      <c r="M105" s="2345">
        <f>0.7525/M101</f>
        <v>0.12562604340567612</v>
      </c>
      <c r="N105" s="2345">
        <f>0.7525/N101</f>
        <v>0.12562604340567612</v>
      </c>
    </row>
    <row r="106" spans="1:14">
      <c r="A106" s="3327"/>
      <c r="B106" s="2344">
        <v>5</v>
      </c>
      <c r="C106" s="2345">
        <f>0.8417/C101</f>
        <v>0.14051752921535893</v>
      </c>
      <c r="D106" s="2345">
        <f>0.8417/D101</f>
        <v>0.14051752921535893</v>
      </c>
      <c r="E106" s="2345">
        <f>0.7371/E101</f>
        <v>0.12305509181969949</v>
      </c>
      <c r="F106" s="2345">
        <f>0.7371/F101</f>
        <v>0.12305509181969949</v>
      </c>
      <c r="G106" s="2345">
        <f>0.7371/G101</f>
        <v>0.12305509181969949</v>
      </c>
      <c r="H106" s="2345">
        <f>0.7371/H101</f>
        <v>0.12305509181969949</v>
      </c>
      <c r="I106" s="2345">
        <f>0.7371/I101</f>
        <v>0.12305509181969949</v>
      </c>
      <c r="J106" s="2345">
        <f>0.5659/J101</f>
        <v>9.4474123539232041E-2</v>
      </c>
      <c r="K106" s="2345">
        <f>0.5659/K101</f>
        <v>9.4474123539232041E-2</v>
      </c>
      <c r="L106" s="2345">
        <f>0.5659/L101</f>
        <v>9.4474123539232041E-2</v>
      </c>
      <c r="M106" s="2345">
        <f>0.5659/M101</f>
        <v>9.4474123539232041E-2</v>
      </c>
      <c r="N106" s="2345">
        <f>0.5659/N101</f>
        <v>9.4474123539232041E-2</v>
      </c>
    </row>
    <row r="107" spans="1:14">
      <c r="A107" s="3327"/>
      <c r="B107" s="2344">
        <v>6</v>
      </c>
      <c r="C107" s="2345">
        <f>0.7608/C101</f>
        <v>0.12701168614357261</v>
      </c>
      <c r="D107" s="2345">
        <f>0.7608/D101</f>
        <v>0.12701168614357261</v>
      </c>
      <c r="E107" s="2345">
        <f>0.6482/E101</f>
        <v>0.10821368948247079</v>
      </c>
      <c r="F107" s="2345">
        <f>0.6482/F101</f>
        <v>0.10821368948247079</v>
      </c>
      <c r="G107" s="2345">
        <f>0.6482/G101</f>
        <v>0.10821368948247079</v>
      </c>
      <c r="H107" s="2345">
        <f>0.6482/H101</f>
        <v>0.10821368948247079</v>
      </c>
      <c r="I107" s="2345">
        <f>0.6482/I101</f>
        <v>0.10821368948247079</v>
      </c>
      <c r="J107" s="2345">
        <f>0.4525/J101</f>
        <v>7.554257095158598E-2</v>
      </c>
      <c r="K107" s="2345">
        <f>0.4525/K101</f>
        <v>7.554257095158598E-2</v>
      </c>
      <c r="L107" s="2345">
        <f>0.4525/L101</f>
        <v>7.554257095158598E-2</v>
      </c>
      <c r="M107" s="2345">
        <f>0.4525/M101</f>
        <v>7.554257095158598E-2</v>
      </c>
      <c r="N107" s="2345">
        <f>0.4525/N101</f>
        <v>7.554257095158598E-2</v>
      </c>
    </row>
    <row r="108" spans="1:14">
      <c r="A108" s="3327"/>
      <c r="B108" s="3329" t="s">
        <v>2797</v>
      </c>
      <c r="C108" s="2346">
        <f>C99</f>
        <v>0</v>
      </c>
      <c r="D108" s="2346">
        <f t="shared" ref="D108:N108" si="34">D99</f>
        <v>0</v>
      </c>
      <c r="E108" s="2346">
        <f t="shared" si="34"/>
        <v>0</v>
      </c>
      <c r="F108" s="2346">
        <f t="shared" si="34"/>
        <v>0</v>
      </c>
      <c r="G108" s="2346">
        <f t="shared" si="34"/>
        <v>0</v>
      </c>
      <c r="H108" s="2346">
        <f t="shared" si="34"/>
        <v>0</v>
      </c>
      <c r="I108" s="2346">
        <f t="shared" si="34"/>
        <v>0</v>
      </c>
      <c r="J108" s="2346">
        <f t="shared" si="34"/>
        <v>0</v>
      </c>
      <c r="K108" s="2346">
        <f t="shared" si="34"/>
        <v>0</v>
      </c>
      <c r="L108" s="2346">
        <f t="shared" si="34"/>
        <v>0</v>
      </c>
      <c r="M108" s="2346">
        <f t="shared" si="34"/>
        <v>0</v>
      </c>
      <c r="N108" s="2346">
        <f t="shared" si="34"/>
        <v>0</v>
      </c>
    </row>
    <row r="109" spans="1:14">
      <c r="A109" s="3328"/>
      <c r="B109" s="3330"/>
      <c r="C109" s="2347">
        <f>(-0.163*(C108^2)-0.59*C108+7617)*(10^(-4))/C101</f>
        <v>0.12716193656093489</v>
      </c>
      <c r="D109" s="2347">
        <f>(-0.163*(D108^2)-0.59*D108+7617)*(10^(-4))/D101</f>
        <v>0.12716193656093489</v>
      </c>
      <c r="E109" s="2347">
        <f>(-0.161*(E108^2)-7.509*E108+6533)*(10^(-4))/E101</f>
        <v>0.10906510851419031</v>
      </c>
      <c r="F109" s="2347">
        <f>(-0.161*(F108^2)-7.509*F108+6533)*(10^(-4))/F101</f>
        <v>0.10906510851419031</v>
      </c>
      <c r="G109" s="2347">
        <f>(-0.161*(G108^2)-7.509*G108+6533)*(10^(-4))/G101</f>
        <v>0.10906510851419031</v>
      </c>
      <c r="H109" s="2347">
        <f>(-0.161*(H108^2)-7.509*H108+6533)*(10^(-4))/H101</f>
        <v>0.10906510851419031</v>
      </c>
      <c r="I109" s="2347">
        <f>(-0.161*(I108^2)-7.509*I108+6533)*(10^(-4))/I101</f>
        <v>0.10906510851419031</v>
      </c>
      <c r="J109" s="2347">
        <f>(-0.214*(J108^2)-21.991*J108+4665)*(10^(-4))/J101</f>
        <v>7.787979966611018E-2</v>
      </c>
      <c r="K109" s="2347">
        <f>(-0.214*(K108^2)-21.991*K108+4665)*(10^(-4))/K101</f>
        <v>7.787979966611018E-2</v>
      </c>
      <c r="L109" s="2347">
        <f>(-0.214*(L108^2)-21.991*L108+4665)*(10^(-4))/L101</f>
        <v>7.787979966611018E-2</v>
      </c>
      <c r="M109" s="2347">
        <f>(-0.214*(M108^2)-21.991*M108+4665)*(10^(-4))/M101</f>
        <v>7.787979966611018E-2</v>
      </c>
      <c r="N109" s="2347">
        <f>(-0.214*(N108^2)-21.991*N108+4665)*(10^(-4))/N101</f>
        <v>7.787979966611018E-2</v>
      </c>
    </row>
    <row r="110" spans="1:14">
      <c r="A110" s="3324" t="s">
        <v>2798</v>
      </c>
      <c r="B110" s="3324"/>
      <c r="C110" s="3324"/>
      <c r="D110" s="3324"/>
      <c r="E110" s="3324"/>
      <c r="F110" s="3324"/>
      <c r="G110" s="3324"/>
      <c r="H110" s="3324"/>
      <c r="I110" s="3324"/>
      <c r="J110" s="3324"/>
      <c r="K110" s="2350"/>
      <c r="L110" s="2350"/>
      <c r="M110" s="2350"/>
      <c r="N110" s="2350"/>
    </row>
    <row r="112" spans="1:14" ht="13.5" thickBot="1"/>
    <row r="113" spans="1:13" ht="25.5" thickBot="1">
      <c r="A113" s="839" t="s">
        <v>2799</v>
      </c>
      <c r="B113" s="1194">
        <f>G3</f>
        <v>5.99</v>
      </c>
      <c r="C113" s="840" t="s">
        <v>2800</v>
      </c>
      <c r="D113" s="841">
        <f>SUMPRODUCT((A115:A118=F113)*(B114:M114=H113)*B115:M118)</f>
        <v>0.87709999999999999</v>
      </c>
      <c r="E113" s="2186" t="s">
        <v>2634</v>
      </c>
      <c r="F113" s="2352" t="str">
        <f>E2</f>
        <v>办公</v>
      </c>
      <c r="G113" s="2186" t="s">
        <v>2635</v>
      </c>
      <c r="H113" s="2352" t="str">
        <f>G2</f>
        <v>一级</v>
      </c>
      <c r="I113" s="2186"/>
      <c r="J113" s="2353"/>
      <c r="K113" s="2353"/>
      <c r="L113" s="2353"/>
      <c r="M113" s="2353"/>
    </row>
    <row r="114" spans="1:13">
      <c r="A114" s="844"/>
      <c r="B114" s="2354" t="s">
        <v>2801</v>
      </c>
      <c r="C114" s="2354" t="s">
        <v>2802</v>
      </c>
      <c r="D114" s="2354" t="s">
        <v>2803</v>
      </c>
      <c r="E114" s="2355" t="s">
        <v>2804</v>
      </c>
      <c r="F114" s="2355" t="s">
        <v>2805</v>
      </c>
      <c r="G114" s="2355" t="s">
        <v>2806</v>
      </c>
      <c r="H114" s="2356" t="s">
        <v>2807</v>
      </c>
      <c r="I114" s="2356" t="s">
        <v>2808</v>
      </c>
      <c r="J114" s="2357" t="s">
        <v>2809</v>
      </c>
      <c r="K114" s="2357" t="s">
        <v>2810</v>
      </c>
      <c r="L114" s="2357" t="s">
        <v>2811</v>
      </c>
      <c r="M114" s="2358" t="s">
        <v>2812</v>
      </c>
    </row>
    <row r="115" spans="1:13">
      <c r="A115" s="845" t="s">
        <v>2699</v>
      </c>
      <c r="B115" s="846">
        <f>ROUND(0.9335-0.0094*B113,4)</f>
        <v>0.87719999999999998</v>
      </c>
      <c r="C115" s="846">
        <f>B115</f>
        <v>0.87719999999999998</v>
      </c>
      <c r="D115" s="846">
        <f>ROUND(0.8331-0.0109*B113,4)</f>
        <v>0.76780000000000004</v>
      </c>
      <c r="E115" s="846">
        <f>D115</f>
        <v>0.76780000000000004</v>
      </c>
      <c r="F115" s="846">
        <f>E115</f>
        <v>0.76780000000000004</v>
      </c>
      <c r="G115" s="846">
        <f>F115</f>
        <v>0.76780000000000004</v>
      </c>
      <c r="H115" s="846">
        <f>G115</f>
        <v>0.76780000000000004</v>
      </c>
      <c r="I115" s="846">
        <f>ROUND(0.689-0.0155*B113,4)</f>
        <v>0.59619999999999995</v>
      </c>
      <c r="J115" s="846">
        <f t="shared" ref="J115:M118" si="35">I115</f>
        <v>0.59619999999999995</v>
      </c>
      <c r="K115" s="846">
        <f t="shared" si="35"/>
        <v>0.59619999999999995</v>
      </c>
      <c r="L115" s="846">
        <f t="shared" si="35"/>
        <v>0.59619999999999995</v>
      </c>
      <c r="M115" s="847">
        <f t="shared" si="35"/>
        <v>0.59619999999999995</v>
      </c>
    </row>
    <row r="116" spans="1:13">
      <c r="A116" s="845" t="s">
        <v>2700</v>
      </c>
      <c r="B116" s="846">
        <f>ROUND(0.949-0.012*B113,4)</f>
        <v>0.87709999999999999</v>
      </c>
      <c r="C116" s="846">
        <f>B116</f>
        <v>0.87709999999999999</v>
      </c>
      <c r="D116" s="846">
        <f>ROUND(0.8567-0.013*B113,4)</f>
        <v>0.77880000000000005</v>
      </c>
      <c r="E116" s="846">
        <f t="shared" ref="E116:H117" si="36">D116</f>
        <v>0.77880000000000005</v>
      </c>
      <c r="F116" s="846">
        <f t="shared" si="36"/>
        <v>0.77880000000000005</v>
      </c>
      <c r="G116" s="846">
        <f t="shared" si="36"/>
        <v>0.77880000000000005</v>
      </c>
      <c r="H116" s="846">
        <f t="shared" si="36"/>
        <v>0.77880000000000005</v>
      </c>
      <c r="I116" s="846">
        <f>ROUND(0.7694-0.014*B113,4)</f>
        <v>0.6855</v>
      </c>
      <c r="J116" s="846">
        <f t="shared" si="35"/>
        <v>0.6855</v>
      </c>
      <c r="K116" s="846">
        <f t="shared" si="35"/>
        <v>0.6855</v>
      </c>
      <c r="L116" s="846">
        <f t="shared" si="35"/>
        <v>0.6855</v>
      </c>
      <c r="M116" s="847">
        <f t="shared" si="35"/>
        <v>0.6855</v>
      </c>
    </row>
    <row r="117" spans="1:13">
      <c r="A117" s="845" t="s">
        <v>2701</v>
      </c>
      <c r="B117" s="846">
        <f>ROUND(0.8808-0.006*B113,4)</f>
        <v>0.84489999999999998</v>
      </c>
      <c r="C117" s="846">
        <f>B117</f>
        <v>0.84489999999999998</v>
      </c>
      <c r="D117" s="846">
        <f>ROUND(0.8748-0.008*B113,4)</f>
        <v>0.82689999999999997</v>
      </c>
      <c r="E117" s="846">
        <f t="shared" si="36"/>
        <v>0.82689999999999997</v>
      </c>
      <c r="F117" s="846">
        <f t="shared" si="36"/>
        <v>0.82689999999999997</v>
      </c>
      <c r="G117" s="846">
        <f t="shared" si="36"/>
        <v>0.82689999999999997</v>
      </c>
      <c r="H117" s="846">
        <f t="shared" si="36"/>
        <v>0.82689999999999997</v>
      </c>
      <c r="I117" s="846">
        <f>ROUND(0.7412-0.0095*B113,4)</f>
        <v>0.68430000000000002</v>
      </c>
      <c r="J117" s="846">
        <f t="shared" si="35"/>
        <v>0.68430000000000002</v>
      </c>
      <c r="K117" s="846">
        <f t="shared" si="35"/>
        <v>0.68430000000000002</v>
      </c>
      <c r="L117" s="846">
        <f t="shared" si="35"/>
        <v>0.68430000000000002</v>
      </c>
      <c r="M117" s="847">
        <f t="shared" si="35"/>
        <v>0.68430000000000002</v>
      </c>
    </row>
    <row r="118" spans="1:13" ht="13.5" thickBot="1">
      <c r="A118" s="668" t="s">
        <v>2702</v>
      </c>
      <c r="B118" s="848">
        <f>ROUND(0.7275-0.01*B113,4)</f>
        <v>0.66759999999999997</v>
      </c>
      <c r="C118" s="848">
        <f>B118</f>
        <v>0.66759999999999997</v>
      </c>
      <c r="D118" s="848">
        <f>ROUND(0.7043-0.012*B113,4)</f>
        <v>0.63239999999999996</v>
      </c>
      <c r="E118" s="848">
        <f>D118</f>
        <v>0.63239999999999996</v>
      </c>
      <c r="F118" s="848">
        <f>E118</f>
        <v>0.63239999999999996</v>
      </c>
      <c r="G118" s="848">
        <f>ROUND(0.6299-0.0122*B113,4)</f>
        <v>0.55679999999999996</v>
      </c>
      <c r="H118" s="848">
        <f>G118</f>
        <v>0.55679999999999996</v>
      </c>
      <c r="I118" s="848">
        <f>ROUND(0.5667-0.0136*B113,4)</f>
        <v>0.48520000000000002</v>
      </c>
      <c r="J118" s="848">
        <f t="shared" si="35"/>
        <v>0.48520000000000002</v>
      </c>
      <c r="K118" s="848">
        <f t="shared" si="35"/>
        <v>0.48520000000000002</v>
      </c>
      <c r="L118" s="848">
        <f t="shared" si="35"/>
        <v>0.48520000000000002</v>
      </c>
      <c r="M118" s="849">
        <f t="shared" si="35"/>
        <v>0.48520000000000002</v>
      </c>
    </row>
  </sheetData>
  <sheetProtection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90" zoomScaleNormal="80" zoomScaleSheetLayoutView="90" workbookViewId="0">
      <selection activeCell="E33" sqref="E33"/>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79" customWidth="1"/>
    <col min="33" max="36" width="9.375" style="2248" customWidth="1"/>
    <col min="37" max="38" width="9.375" style="2182" customWidth="1"/>
    <col min="39" max="16384" width="12" style="2182"/>
  </cols>
  <sheetData>
    <row r="1" spans="1:36" ht="28.5">
      <c r="A1" s="200" t="s">
        <v>2624</v>
      </c>
      <c r="B1" s="201"/>
      <c r="C1" s="205" t="s">
        <v>2625</v>
      </c>
      <c r="D1" s="346">
        <f>SUM(D29:D30,D33:D39)</f>
        <v>7032.3</v>
      </c>
      <c r="E1" s="2179"/>
      <c r="F1" s="2179"/>
      <c r="G1" s="2179"/>
      <c r="H1" s="2179"/>
      <c r="I1" s="2179"/>
      <c r="J1" s="2179"/>
      <c r="K1" s="1277"/>
      <c r="L1" s="2180" t="s">
        <v>2626</v>
      </c>
      <c r="M1" s="991">
        <f>SUMPRODUCT((区片价!B5:B9=I2)*(区片价!C3:F3=E2)*(区片价!C5:F9))</f>
        <v>30890</v>
      </c>
      <c r="N1" s="994">
        <f>SUMPRODUCT((因素修正幅度!B5:B9=I2)*(因素修正幅度!C3:F3=E2)*(因素修正幅度!C5:F9))</f>
        <v>9.9000000000000005E-2</v>
      </c>
      <c r="O1" s="2181"/>
      <c r="P1" s="2181"/>
      <c r="Q1" s="1277"/>
      <c r="R1" s="1371" t="s">
        <v>2627</v>
      </c>
      <c r="S1" s="1371" t="s">
        <v>2628</v>
      </c>
      <c r="T1" s="1371" t="s">
        <v>2629</v>
      </c>
      <c r="U1" s="1371" t="s">
        <v>2630</v>
      </c>
      <c r="V1" s="1371" t="s">
        <v>2631</v>
      </c>
      <c r="W1" s="1375"/>
      <c r="X1" s="1375"/>
      <c r="Y1" s="1375"/>
      <c r="Z1" s="1375"/>
      <c r="AA1" s="1375"/>
      <c r="AB1" s="1375"/>
      <c r="AC1" s="1376"/>
      <c r="AD1" s="1377"/>
      <c r="AE1" s="1377"/>
      <c r="AF1" s="1377"/>
      <c r="AG1" s="1377"/>
      <c r="AH1" s="1377"/>
      <c r="AI1" s="1377"/>
      <c r="AJ1" s="1378"/>
    </row>
    <row r="2" spans="1:36" ht="15.75">
      <c r="A2" s="205" t="s">
        <v>2632</v>
      </c>
      <c r="B2" s="208">
        <f ca="1">C26</f>
        <v>23537</v>
      </c>
      <c r="C2" s="2183" t="s">
        <v>2633</v>
      </c>
      <c r="D2" s="2184" t="s">
        <v>2634</v>
      </c>
      <c r="E2" s="2185" t="s">
        <v>1343</v>
      </c>
      <c r="F2" s="2184" t="s">
        <v>2635</v>
      </c>
      <c r="G2" s="2186" t="str">
        <f>IF(E2="商业",项目基本情况!B37,IF(E2="办公",项目基本情况!C37,IF(E2="住宅",项目基本情况!D37,项目基本情况!E37)))</f>
        <v>一级</v>
      </c>
      <c r="H2" s="2184" t="s">
        <v>2636</v>
      </c>
      <c r="I2" s="2186" t="str">
        <f>IF(E2="商业",项目基本情况!B38,IF(E2="办公",项目基本情况!C38,IF(E2="住宅",项目基本情况!D38,项目基本情况!E38)))</f>
        <v>Ⅰ—04</v>
      </c>
      <c r="J2" s="2187"/>
      <c r="K2" s="1277"/>
      <c r="L2" s="2188" t="s">
        <v>2637</v>
      </c>
      <c r="M2" s="992">
        <f>SUMPRODUCT((区片价!B10:B28=I2)*(区片价!C3:F3=E2)*(区片价!C10:F28))</f>
        <v>0</v>
      </c>
      <c r="N2" s="994">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1.9361999999999999</v>
      </c>
      <c r="T2" s="1371">
        <f ca="1">ROUND($C$5*$C$18*$C$19*$C$20*S2*$C$24,0)</f>
        <v>89108</v>
      </c>
      <c r="U2" s="1372"/>
      <c r="V2" s="1371">
        <f ca="1">ROUND(T2*U2/10000,0)</f>
        <v>0</v>
      </c>
      <c r="W2" s="1375"/>
      <c r="X2" s="1375"/>
      <c r="Y2" s="1375"/>
      <c r="Z2" s="1375"/>
      <c r="AA2" s="1375"/>
      <c r="AB2" s="1375"/>
      <c r="AC2" s="1376"/>
      <c r="AD2" s="1377"/>
      <c r="AE2" s="1377"/>
      <c r="AF2" s="1377"/>
      <c r="AG2" s="1377"/>
      <c r="AH2" s="1377"/>
      <c r="AI2" s="1377"/>
      <c r="AJ2" s="1378"/>
    </row>
    <row r="3" spans="1:36" ht="25.5">
      <c r="A3" s="207" t="s">
        <v>2638</v>
      </c>
      <c r="B3" s="208">
        <f ca="1">ROUND(B2*10000/D1,0)</f>
        <v>33470</v>
      </c>
      <c r="C3" s="2183" t="s">
        <v>2639</v>
      </c>
      <c r="D3" s="2184" t="s">
        <v>2640</v>
      </c>
      <c r="E3" s="2189" t="s">
        <v>3079</v>
      </c>
      <c r="F3" s="2190" t="s">
        <v>2641</v>
      </c>
      <c r="G3" s="852">
        <f>IF(F3="宗地容积率",'数据-汇总表'!I4,IF(F3="估价对象容积率",'数据-汇总表'!I6,'数据-汇总表'!I7))</f>
        <v>5.99</v>
      </c>
      <c r="H3" s="173" t="s">
        <v>2642</v>
      </c>
      <c r="I3" s="878"/>
      <c r="J3" s="2187" t="s">
        <v>2643</v>
      </c>
      <c r="K3" s="1277"/>
      <c r="L3" s="2188" t="s">
        <v>2644</v>
      </c>
      <c r="M3" s="992">
        <f>SUMPRODUCT((区片价!B29:B48=I2)*(区片价!C3:F3=E2)*(区片价!C29:F48))</f>
        <v>0</v>
      </c>
      <c r="N3" s="994">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1.4198</v>
      </c>
      <c r="T3" s="1371">
        <f t="shared" ref="T3:T16" ca="1" si="0">ROUND($C$5*$C$18*$C$19*$C$20*S3*$C$24,0)</f>
        <v>65342</v>
      </c>
      <c r="U3" s="1372"/>
      <c r="V3" s="1371">
        <f t="shared" ref="V3:V16" ca="1" si="1">ROUND(T3*U3/10000,0)</f>
        <v>0</v>
      </c>
      <c r="W3" s="1375"/>
      <c r="X3" s="1375"/>
      <c r="Y3" s="1375"/>
      <c r="Z3" s="1375"/>
      <c r="AA3" s="1375"/>
      <c r="AB3" s="1375"/>
      <c r="AC3" s="1376"/>
      <c r="AD3" s="1377"/>
      <c r="AE3" s="1377"/>
      <c r="AF3" s="1377"/>
      <c r="AG3" s="1377"/>
      <c r="AH3" s="1377"/>
      <c r="AI3" s="1377"/>
      <c r="AJ3" s="1378"/>
    </row>
    <row r="4" spans="1:36" ht="15.75">
      <c r="A4" s="3340"/>
      <c r="B4" s="3341"/>
      <c r="C4" s="3341"/>
      <c r="D4" s="3342"/>
      <c r="E4" s="3342"/>
      <c r="F4" s="3342"/>
      <c r="G4" s="3342"/>
      <c r="H4" s="3342"/>
      <c r="I4" s="3342"/>
      <c r="J4" s="3343"/>
      <c r="K4" s="1277"/>
      <c r="L4" s="2188" t="s">
        <v>2645</v>
      </c>
      <c r="M4" s="992">
        <f>SUMPRODUCT((区片价!B49:B75=I2)*(区片价!C3:F3=E2)*(区片价!C49:F75))</f>
        <v>0</v>
      </c>
      <c r="N4" s="994">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1.1594</v>
      </c>
      <c r="T4" s="1371">
        <f t="shared" ca="1" si="0"/>
        <v>53358</v>
      </c>
      <c r="U4" s="1372"/>
      <c r="V4" s="1371">
        <f t="shared" ca="1" si="1"/>
        <v>0</v>
      </c>
      <c r="W4" s="1375"/>
      <c r="X4" s="1375"/>
      <c r="Y4" s="1375"/>
      <c r="Z4" s="1375"/>
      <c r="AA4" s="1375"/>
      <c r="AB4" s="1375"/>
      <c r="AC4" s="1376"/>
      <c r="AD4" s="1377"/>
      <c r="AE4" s="1377"/>
      <c r="AF4" s="1377"/>
      <c r="AG4" s="1377"/>
      <c r="AH4" s="1377"/>
      <c r="AI4" s="1377"/>
      <c r="AJ4" s="1378"/>
    </row>
    <row r="5" spans="1:36" s="2200" customFormat="1" ht="15.75" thickBot="1">
      <c r="A5" s="2191" t="s">
        <v>807</v>
      </c>
      <c r="B5" s="2192" t="s">
        <v>2646</v>
      </c>
      <c r="C5" s="853">
        <f>ROUND(IF(E2="商业",C6*C7+C16,(IF(E2="住宅",C6*C12+C16,C6+C16))),0)</f>
        <v>30890</v>
      </c>
      <c r="D5" s="1522">
        <f>ROUND(C6+C16,0)</f>
        <v>30890</v>
      </c>
      <c r="E5" s="1522"/>
      <c r="F5" s="2193"/>
      <c r="G5" s="2194"/>
      <c r="H5" s="2194"/>
      <c r="I5" s="2194"/>
      <c r="J5" s="2195"/>
      <c r="K5" s="2196"/>
      <c r="L5" s="2188" t="s">
        <v>2647</v>
      </c>
      <c r="M5" s="992">
        <f>SUMPRODUCT((区片价!B76:B109=I2)*(区片价!C3:F3=E2)*(区片价!C76:F109))</f>
        <v>0</v>
      </c>
      <c r="N5" s="994">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0.96220000000000006</v>
      </c>
      <c r="T5" s="1371">
        <f t="shared" ca="1" si="0"/>
        <v>44282</v>
      </c>
      <c r="U5" s="1372"/>
      <c r="V5" s="1371">
        <f t="shared" ca="1" si="1"/>
        <v>0</v>
      </c>
      <c r="W5" s="1375"/>
      <c r="X5" s="1375"/>
      <c r="Y5" s="1375"/>
      <c r="Z5" s="1375"/>
      <c r="AA5" s="1375"/>
      <c r="AB5" s="1375"/>
      <c r="AC5" s="2197"/>
      <c r="AD5" s="2198"/>
      <c r="AE5" s="2198"/>
      <c r="AF5" s="2198"/>
      <c r="AG5" s="2198"/>
      <c r="AH5" s="2198"/>
      <c r="AI5" s="2198"/>
      <c r="AJ5" s="2199"/>
    </row>
    <row r="6" spans="1:36" ht="15.75" thickBot="1">
      <c r="A6" s="2201" t="s">
        <v>2648</v>
      </c>
      <c r="B6" s="2202" t="s">
        <v>2649</v>
      </c>
      <c r="C6" s="854">
        <f>SUMIF(L1:L12,G2,M1:M12)</f>
        <v>30890</v>
      </c>
      <c r="D6" s="2203" t="s">
        <v>2650</v>
      </c>
      <c r="E6" s="2204"/>
      <c r="F6" s="2204"/>
      <c r="G6" s="2205"/>
      <c r="H6" s="2205"/>
      <c r="I6" s="2205"/>
      <c r="J6" s="2206"/>
      <c r="K6" s="1567"/>
      <c r="L6" s="2188" t="s">
        <v>2651</v>
      </c>
      <c r="M6" s="992">
        <f>SUMPRODUCT((区片价!B110:B157=I2)*(区片价!C3:F3=E2)*(区片价!C110:F157))</f>
        <v>0</v>
      </c>
      <c r="N6" s="994">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0.8417</v>
      </c>
      <c r="T6" s="1371">
        <f t="shared" ca="1" si="0"/>
        <v>38737</v>
      </c>
      <c r="U6" s="1372"/>
      <c r="V6" s="1371">
        <f t="shared" ca="1" si="1"/>
        <v>0</v>
      </c>
      <c r="W6" s="1375"/>
      <c r="X6" s="1375"/>
      <c r="Y6" s="1375"/>
      <c r="Z6" s="1375"/>
      <c r="AA6" s="1375"/>
      <c r="AB6" s="1375"/>
      <c r="AC6" s="2197"/>
      <c r="AD6" s="2198"/>
      <c r="AE6" s="2198"/>
      <c r="AF6" s="2198"/>
      <c r="AG6" s="2198"/>
      <c r="AH6" s="2198"/>
      <c r="AI6" s="2198"/>
      <c r="AJ6" s="2199"/>
    </row>
    <row r="7" spans="1:36" ht="24">
      <c r="A7" s="3321" t="str">
        <f>IF(E2="商业",IF(C8="不临58条商业街","",2),"")</f>
        <v/>
      </c>
      <c r="B7" s="3048" t="s">
        <v>2652</v>
      </c>
      <c r="C7" s="855">
        <f>IF(C8="不临58条商业街",1,ROUND(1+(1.6*E8+1.2*E9+0.8*E10+0.4*E11)*C9,4))</f>
        <v>1</v>
      </c>
      <c r="D7" s="2208" t="s">
        <v>2653</v>
      </c>
      <c r="E7" s="879"/>
      <c r="F7" s="2209"/>
      <c r="G7" s="2210"/>
      <c r="H7" s="2210"/>
      <c r="I7" s="2210"/>
      <c r="J7" s="2211"/>
      <c r="K7" s="1567"/>
      <c r="L7" s="2188" t="s">
        <v>2654</v>
      </c>
      <c r="M7" s="992">
        <f>SUMPRODUCT((区片价!B158:B205=I2)*(区片价!C3:F3=E2)*(区片价!C158:F205))</f>
        <v>0</v>
      </c>
      <c r="N7" s="994">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0.76080000000000003</v>
      </c>
      <c r="T7" s="1371">
        <f t="shared" ca="1" si="0"/>
        <v>35013</v>
      </c>
      <c r="U7" s="1372"/>
      <c r="V7" s="1371">
        <f t="shared" ca="1" si="1"/>
        <v>0</v>
      </c>
      <c r="W7" s="3060" t="s">
        <v>2655</v>
      </c>
      <c r="X7" s="1373" t="str">
        <f>G2</f>
        <v>一级</v>
      </c>
      <c r="Y7" s="1373" t="s">
        <v>2656</v>
      </c>
      <c r="Z7" s="1374">
        <f>G3</f>
        <v>5.99</v>
      </c>
      <c r="AA7" s="1375"/>
      <c r="AB7" s="1375"/>
      <c r="AC7" s="1376"/>
      <c r="AD7" s="1377"/>
      <c r="AE7" s="1377"/>
      <c r="AF7" s="1377"/>
      <c r="AG7" s="1377"/>
      <c r="AH7" s="1377"/>
      <c r="AI7" s="1377"/>
      <c r="AJ7" s="1378"/>
    </row>
    <row r="8" spans="1:36" ht="25.5">
      <c r="A8" s="3344"/>
      <c r="B8" s="173" t="s">
        <v>2657</v>
      </c>
      <c r="C8" s="2212" t="s">
        <v>3080</v>
      </c>
      <c r="D8" s="856" t="s">
        <v>139</v>
      </c>
      <c r="E8" s="857" t="e">
        <f>ROUND(C11/E7,4)</f>
        <v>#DIV/0!</v>
      </c>
      <c r="F8" s="2213" t="s">
        <v>2658</v>
      </c>
      <c r="G8" s="2214"/>
      <c r="H8" s="2214"/>
      <c r="I8" s="2214"/>
      <c r="J8" s="2215"/>
      <c r="K8" s="1277"/>
      <c r="L8" s="2188" t="s">
        <v>2659</v>
      </c>
      <c r="M8" s="992">
        <f>SUMPRODUCT((区片价!B206:B244=I2)*(区片价!C3:F3=E2)*(区片价!C206:F244))</f>
        <v>0</v>
      </c>
      <c r="N8" s="994">
        <f>SUMPRODUCT((因素修正幅度!B206:B244=I2)*(因素修正幅度!C3:F3=E2)*(因素修正幅度!C206:F244))</f>
        <v>0</v>
      </c>
      <c r="O8" s="1277"/>
      <c r="P8" s="1277"/>
      <c r="Q8" s="1277"/>
      <c r="R8" s="1371">
        <v>7</v>
      </c>
      <c r="S8" s="1372"/>
      <c r="T8" s="1371">
        <f t="shared" ca="1" si="0"/>
        <v>0</v>
      </c>
      <c r="U8" s="1372"/>
      <c r="V8" s="1371">
        <f t="shared" ca="1" si="1"/>
        <v>0</v>
      </c>
      <c r="W8" s="3337" t="s">
        <v>2660</v>
      </c>
      <c r="X8" s="3338"/>
      <c r="Y8" s="1379" t="s">
        <v>2661</v>
      </c>
      <c r="Z8" s="1379" t="s">
        <v>2662</v>
      </c>
      <c r="AA8" s="1379" t="s">
        <v>2663</v>
      </c>
      <c r="AB8" s="1379" t="s">
        <v>2664</v>
      </c>
      <c r="AC8" s="1379" t="s">
        <v>2665</v>
      </c>
      <c r="AD8" s="1379" t="s">
        <v>2666</v>
      </c>
      <c r="AE8" s="1379" t="s">
        <v>2667</v>
      </c>
      <c r="AF8" s="1379" t="s">
        <v>2668</v>
      </c>
      <c r="AG8" s="1379" t="s">
        <v>2669</v>
      </c>
      <c r="AH8" s="1379" t="s">
        <v>2670</v>
      </c>
      <c r="AI8" s="1379" t="s">
        <v>2671</v>
      </c>
      <c r="AJ8" s="1379" t="s">
        <v>2672</v>
      </c>
    </row>
    <row r="9" spans="1:36" ht="15">
      <c r="A9" s="3344"/>
      <c r="B9" s="173" t="s">
        <v>2673</v>
      </c>
      <c r="C9" s="858">
        <f>SUMIF(修正!C59:C119,C8,修正!E59:E119)</f>
        <v>0</v>
      </c>
      <c r="D9" s="174" t="s">
        <v>140</v>
      </c>
      <c r="E9" s="174" t="e">
        <f>ROUND(C11/E7,4)</f>
        <v>#DIV/0!</v>
      </c>
      <c r="F9" s="2213" t="s">
        <v>2674</v>
      </c>
      <c r="G9" s="2214"/>
      <c r="H9" s="2214"/>
      <c r="I9" s="2214"/>
      <c r="J9" s="2215"/>
      <c r="K9" s="1277"/>
      <c r="L9" s="2188" t="s">
        <v>2675</v>
      </c>
      <c r="M9" s="992">
        <f>SUMPRODUCT((区片价!B245:B289=I2)*(区片价!C3:F3=E2)*(区片价!C245:F289))</f>
        <v>0</v>
      </c>
      <c r="N9" s="994">
        <f>SUMPRODUCT((因素修正幅度!B245:B289=I2)*(因素修正幅度!C3:F3=E2)*(因素修正幅度!C245:F289))</f>
        <v>0</v>
      </c>
      <c r="O9" s="1277"/>
      <c r="P9" s="1277"/>
      <c r="Q9" s="1277"/>
      <c r="R9" s="1371">
        <v>8</v>
      </c>
      <c r="S9" s="1372"/>
      <c r="T9" s="1371">
        <f t="shared" ca="1" si="0"/>
        <v>0</v>
      </c>
      <c r="U9" s="1372"/>
      <c r="V9" s="1371">
        <f t="shared" ca="1" si="1"/>
        <v>0</v>
      </c>
      <c r="W9" s="3339" t="s">
        <v>2676</v>
      </c>
      <c r="X9" s="1380" t="s">
        <v>2677</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44"/>
      <c r="B10" s="173" t="s">
        <v>2678</v>
      </c>
      <c r="C10" s="174">
        <f>SUMIF(修正!C59:C119,C8,修正!F59:F119)</f>
        <v>0</v>
      </c>
      <c r="D10" s="174" t="s">
        <v>141</v>
      </c>
      <c r="E10" s="174" t="e">
        <f>ROUND(C11/E7,4)</f>
        <v>#DIV/0!</v>
      </c>
      <c r="F10" s="2213" t="s">
        <v>2679</v>
      </c>
      <c r="G10" s="2214"/>
      <c r="H10" s="2214"/>
      <c r="I10" s="2214"/>
      <c r="J10" s="2215"/>
      <c r="K10" s="1277"/>
      <c r="L10" s="2188" t="s">
        <v>2680</v>
      </c>
      <c r="M10" s="992">
        <f>SUMPRODUCT((区片价!B290:B316=I2)*(区片价!C3:F3=E2)*(区片价!C290:F316))</f>
        <v>0</v>
      </c>
      <c r="N10" s="994">
        <f>SUMPRODUCT((因素修正幅度!B290:B316=I2)*(因素修正幅度!C3:F3=E2)*(因素修正幅度!C290:F316))</f>
        <v>0</v>
      </c>
      <c r="O10" s="1277"/>
      <c r="P10" s="1277"/>
      <c r="Q10" s="1277"/>
      <c r="R10" s="1371">
        <v>9</v>
      </c>
      <c r="S10" s="1372"/>
      <c r="T10" s="1371">
        <f t="shared" ca="1" si="0"/>
        <v>0</v>
      </c>
      <c r="U10" s="1372"/>
      <c r="V10" s="1371">
        <f t="shared" ca="1" si="1"/>
        <v>0</v>
      </c>
      <c r="W10" s="3339"/>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44"/>
      <c r="B11" s="2216" t="s">
        <v>2681</v>
      </c>
      <c r="C11" s="859">
        <f>C10/4</f>
        <v>0</v>
      </c>
      <c r="D11" s="859" t="s">
        <v>142</v>
      </c>
      <c r="E11" s="859" t="e">
        <f>ROUND(C11/E7,4)</f>
        <v>#DIV/0!</v>
      </c>
      <c r="F11" s="2217" t="s">
        <v>2682</v>
      </c>
      <c r="G11" s="2218"/>
      <c r="H11" s="2218"/>
      <c r="I11" s="2218"/>
      <c r="J11" s="2219"/>
      <c r="K11" s="1277"/>
      <c r="L11" s="2188" t="s">
        <v>2683</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f t="shared" ca="1" si="0"/>
        <v>0</v>
      </c>
      <c r="U11" s="1372"/>
      <c r="V11" s="1371">
        <f t="shared" ca="1" si="1"/>
        <v>0</v>
      </c>
      <c r="W11" s="3339" t="s">
        <v>2684</v>
      </c>
      <c r="X11" s="1383" t="s">
        <v>2656</v>
      </c>
      <c r="Y11" s="1384">
        <f>$G$3</f>
        <v>5.99</v>
      </c>
      <c r="Z11" s="1384">
        <f t="shared" ref="Z11:AJ11" si="3">$G$3</f>
        <v>5.99</v>
      </c>
      <c r="AA11" s="1384">
        <f t="shared" si="3"/>
        <v>5.99</v>
      </c>
      <c r="AB11" s="1384">
        <f t="shared" si="3"/>
        <v>5.99</v>
      </c>
      <c r="AC11" s="1384">
        <f t="shared" si="3"/>
        <v>5.99</v>
      </c>
      <c r="AD11" s="1384">
        <f t="shared" si="3"/>
        <v>5.99</v>
      </c>
      <c r="AE11" s="1384">
        <f t="shared" si="3"/>
        <v>5.99</v>
      </c>
      <c r="AF11" s="1384">
        <f t="shared" si="3"/>
        <v>5.99</v>
      </c>
      <c r="AG11" s="1384">
        <f t="shared" si="3"/>
        <v>5.99</v>
      </c>
      <c r="AH11" s="1384">
        <f t="shared" si="3"/>
        <v>5.99</v>
      </c>
      <c r="AI11" s="1384">
        <f t="shared" si="3"/>
        <v>5.99</v>
      </c>
      <c r="AJ11" s="1384">
        <f t="shared" si="3"/>
        <v>5.99</v>
      </c>
    </row>
    <row r="12" spans="1:36" ht="25.5" thickBot="1">
      <c r="A12" s="3321" t="s">
        <v>2686</v>
      </c>
      <c r="B12" s="2220" t="s">
        <v>2687</v>
      </c>
      <c r="C12" s="855">
        <f>ROUND(C15*D15*E15*F15*G15*H15*I15*J15,4)</f>
        <v>1.452</v>
      </c>
      <c r="D12" s="2221" t="s">
        <v>2688</v>
      </c>
      <c r="E12" s="2222"/>
      <c r="F12" s="2222"/>
      <c r="G12" s="2223"/>
      <c r="H12" s="2223"/>
      <c r="I12" s="2223"/>
      <c r="J12" s="2224"/>
      <c r="K12" s="1277"/>
      <c r="L12" s="2225" t="s">
        <v>2689</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f t="shared" ca="1" si="0"/>
        <v>0</v>
      </c>
      <c r="U12" s="1372"/>
      <c r="V12" s="1371">
        <f t="shared" ca="1" si="1"/>
        <v>0</v>
      </c>
      <c r="W12" s="3339"/>
      <c r="X12" s="1385" t="s">
        <v>2690</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45"/>
      <c r="B13" s="3046" t="s">
        <v>2691</v>
      </c>
      <c r="C13" s="2227" t="s">
        <v>2692</v>
      </c>
      <c r="D13" s="3058" t="s">
        <v>2693</v>
      </c>
      <c r="E13" s="3058" t="s">
        <v>2694</v>
      </c>
      <c r="F13" s="30" t="s">
        <v>2695</v>
      </c>
      <c r="G13" s="2228" t="s">
        <v>2696</v>
      </c>
      <c r="H13" s="2228" t="s">
        <v>2696</v>
      </c>
      <c r="I13" s="2228" t="s">
        <v>2696</v>
      </c>
      <c r="J13" s="2229" t="s">
        <v>2696</v>
      </c>
      <c r="K13" s="1277"/>
      <c r="L13" s="1277"/>
      <c r="M13" s="1277"/>
      <c r="N13" s="1277"/>
      <c r="O13" s="1277"/>
      <c r="P13" s="1277"/>
      <c r="Q13" s="1277"/>
      <c r="R13" s="1371">
        <v>12</v>
      </c>
      <c r="S13" s="1372"/>
      <c r="T13" s="1371">
        <f t="shared" ca="1" si="0"/>
        <v>0</v>
      </c>
      <c r="U13" s="1372"/>
      <c r="V13" s="1371">
        <f t="shared" ca="1" si="1"/>
        <v>0</v>
      </c>
      <c r="W13" s="3339"/>
      <c r="X13" s="1385"/>
      <c r="Y13" s="1382">
        <f>(-0.163*(Y12^2)-0.59*Y12+7617)*(10^(-4))/Y11</f>
        <v>0.12716193656093489</v>
      </c>
      <c r="Z13" s="1382">
        <f t="shared" ref="Z13:AJ13" si="5">(-0.163*(Z12^2)-0.59*Z12+7617)*(10^(-4))/Z11</f>
        <v>0.12716193656093489</v>
      </c>
      <c r="AA13" s="1382">
        <f t="shared" si="5"/>
        <v>0.12716193656093489</v>
      </c>
      <c r="AB13" s="1382">
        <f t="shared" si="5"/>
        <v>0.12716193656093489</v>
      </c>
      <c r="AC13" s="1382">
        <f t="shared" si="5"/>
        <v>0.12716193656093489</v>
      </c>
      <c r="AD13" s="1382">
        <f t="shared" si="5"/>
        <v>0.12716193656093489</v>
      </c>
      <c r="AE13" s="1382">
        <f t="shared" si="5"/>
        <v>0.12716193656093489</v>
      </c>
      <c r="AF13" s="1382">
        <f t="shared" si="5"/>
        <v>0.12716193656093489</v>
      </c>
      <c r="AG13" s="1382">
        <f t="shared" si="5"/>
        <v>0.12716193656093489</v>
      </c>
      <c r="AH13" s="1382">
        <f t="shared" si="5"/>
        <v>0.12716193656093489</v>
      </c>
      <c r="AI13" s="1382">
        <f t="shared" si="5"/>
        <v>0.12716193656093489</v>
      </c>
      <c r="AJ13" s="1382">
        <f t="shared" si="5"/>
        <v>0.12716193656093489</v>
      </c>
    </row>
    <row r="14" spans="1:36" ht="15">
      <c r="A14" s="3345"/>
      <c r="B14" s="3047"/>
      <c r="C14" s="2231" t="s">
        <v>3068</v>
      </c>
      <c r="D14" s="2232" t="s">
        <v>3069</v>
      </c>
      <c r="E14" s="2232" t="s">
        <v>3068</v>
      </c>
      <c r="F14" s="2233" t="s">
        <v>3070</v>
      </c>
      <c r="G14" s="2234" t="s">
        <v>2697</v>
      </c>
      <c r="H14" s="2235"/>
      <c r="I14" s="2236"/>
      <c r="J14" s="2237"/>
      <c r="K14" s="1277"/>
      <c r="L14" s="1277"/>
      <c r="M14" s="1277"/>
      <c r="N14" s="1277"/>
      <c r="O14" s="1277"/>
      <c r="P14" s="1277"/>
      <c r="Q14" s="1277"/>
      <c r="R14" s="1371">
        <v>13</v>
      </c>
      <c r="S14" s="1372"/>
      <c r="T14" s="1371">
        <f t="shared" ca="1" si="0"/>
        <v>0</v>
      </c>
      <c r="U14" s="1372"/>
      <c r="V14" s="1371">
        <f t="shared" ca="1" si="1"/>
        <v>0</v>
      </c>
      <c r="W14" s="1375"/>
      <c r="X14" s="1375"/>
      <c r="Y14" s="1375"/>
      <c r="Z14" s="1375"/>
      <c r="AA14" s="1375"/>
      <c r="AB14" s="1375"/>
      <c r="AC14" s="1376"/>
      <c r="AD14" s="3018"/>
      <c r="AE14" s="3018"/>
      <c r="AF14" s="3018"/>
      <c r="AG14" s="3018"/>
      <c r="AH14" s="3018"/>
      <c r="AI14" s="3018"/>
      <c r="AJ14" s="3019"/>
    </row>
    <row r="15" spans="1:36" ht="15.75" thickBot="1">
      <c r="A15" s="3346"/>
      <c r="B15" s="2238" t="s">
        <v>2698</v>
      </c>
      <c r="C15" s="191">
        <f>IF(C14="有",1.1,1)</f>
        <v>1.1000000000000001</v>
      </c>
      <c r="D15" s="191">
        <f>IF(D14="有",1.1,1)</f>
        <v>1</v>
      </c>
      <c r="E15" s="191">
        <f>IF(E14="有",1.1,1)</f>
        <v>1.1000000000000001</v>
      </c>
      <c r="F15" s="191">
        <f>IF(F14="500米范围内",1.2,IF(F14="500-1000米",1.1,1))</f>
        <v>1.2</v>
      </c>
      <c r="G15" s="880">
        <v>1</v>
      </c>
      <c r="H15" s="880">
        <v>1</v>
      </c>
      <c r="I15" s="880">
        <v>1</v>
      </c>
      <c r="J15" s="881">
        <v>1</v>
      </c>
      <c r="K15" s="1277"/>
      <c r="L15" s="2181"/>
      <c r="M15" s="2181"/>
      <c r="N15" s="2181"/>
      <c r="O15" s="2181"/>
      <c r="P15" s="2181"/>
      <c r="Q15" s="1277"/>
      <c r="R15" s="1371">
        <v>14</v>
      </c>
      <c r="S15" s="1372"/>
      <c r="T15" s="1371">
        <f t="shared" ca="1" si="0"/>
        <v>0</v>
      </c>
      <c r="U15" s="1372"/>
      <c r="V15" s="1371">
        <f t="shared" ca="1" si="1"/>
        <v>0</v>
      </c>
      <c r="W15" s="1375"/>
      <c r="X15" s="1375"/>
      <c r="Y15" s="1375"/>
      <c r="Z15" s="1375"/>
      <c r="AA15" s="1375"/>
      <c r="AB15" s="1375"/>
      <c r="AC15" s="1376"/>
      <c r="AD15" s="3018"/>
      <c r="AE15" s="3018"/>
      <c r="AF15" s="3018"/>
      <c r="AG15" s="3018"/>
      <c r="AH15" s="3018"/>
      <c r="AI15" s="3018"/>
      <c r="AJ15" s="3019"/>
    </row>
    <row r="16" spans="1:36" ht="24.6" customHeight="1">
      <c r="A16" s="3321" t="s">
        <v>2703</v>
      </c>
      <c r="B16" s="3048" t="s">
        <v>2704</v>
      </c>
      <c r="C16" s="2369">
        <f>ROUND(IF(F17="与级别开发程度一致",0,(G17-E17)/C17),0)</f>
        <v>0</v>
      </c>
      <c r="D16" s="3334" t="s">
        <v>2708</v>
      </c>
      <c r="E16" s="3335"/>
      <c r="F16" s="3334" t="s">
        <v>2705</v>
      </c>
      <c r="G16" s="3335"/>
      <c r="H16" s="2239"/>
      <c r="I16" s="2239"/>
      <c r="J16" s="2373"/>
      <c r="K16" s="2239"/>
      <c r="L16" s="2239"/>
      <c r="M16" s="2239"/>
      <c r="N16" s="2239"/>
      <c r="O16" s="2240"/>
      <c r="P16" s="2181"/>
      <c r="Q16" s="1277"/>
      <c r="R16" s="1371">
        <v>15</v>
      </c>
      <c r="S16" s="1372"/>
      <c r="T16" s="1371">
        <f t="shared" ca="1" si="0"/>
        <v>0</v>
      </c>
      <c r="U16" s="1372"/>
      <c r="V16" s="1371">
        <f t="shared" ca="1" si="1"/>
        <v>0</v>
      </c>
      <c r="W16" s="1375"/>
      <c r="X16" s="1375"/>
      <c r="Y16" s="1375"/>
      <c r="Z16" s="1375"/>
      <c r="AA16" s="1375"/>
      <c r="AB16" s="1375"/>
      <c r="AC16" s="1376"/>
      <c r="AD16" s="3018"/>
      <c r="AE16" s="3018"/>
      <c r="AF16" s="3018"/>
      <c r="AG16" s="3018"/>
      <c r="AH16" s="3018"/>
      <c r="AI16" s="3018"/>
      <c r="AJ16" s="3019"/>
    </row>
    <row r="17" spans="1:37" ht="26.25" thickBot="1">
      <c r="A17" s="3322"/>
      <c r="B17" s="2380" t="s">
        <v>2707</v>
      </c>
      <c r="C17" s="2381">
        <f>SUMPRODUCT((修正!A2:A5=E2)*(修正!B1:M1=G2)*(修正!B2:M5))</f>
        <v>3.5</v>
      </c>
      <c r="D17" s="191" t="str">
        <f>IF(OR(G2="八级",G2="九级",G2="十级",G2="十一级",G2="十二级"),"五通一平","七通一平")</f>
        <v>七通一平</v>
      </c>
      <c r="E17" s="2370">
        <f>SUMPRODUCT((修正!B1:M1=G2)*(修正!B15:M15))</f>
        <v>375</v>
      </c>
      <c r="F17" s="2371" t="s">
        <v>3071</v>
      </c>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7"/>
      <c r="R17" s="1277"/>
      <c r="S17" s="1277"/>
      <c r="T17" s="1277"/>
      <c r="U17" s="1277"/>
      <c r="V17" s="1277"/>
      <c r="W17" s="1277"/>
      <c r="X17" s="1277"/>
      <c r="Y17" s="1277"/>
      <c r="Z17" s="1278"/>
      <c r="AA17" s="1278"/>
      <c r="AB17" s="1278"/>
      <c r="AC17" s="1278"/>
      <c r="AD17" s="1278"/>
      <c r="AE17" s="1277"/>
      <c r="AF17" s="1277"/>
      <c r="AG17" s="2181"/>
      <c r="AH17" s="2181"/>
      <c r="AI17" s="2181"/>
      <c r="AJ17" s="2181"/>
    </row>
    <row r="18" spans="1:37" s="2200" customFormat="1" ht="15.75" thickBot="1">
      <c r="A18" s="2374" t="s">
        <v>808</v>
      </c>
      <c r="B18" s="2375" t="s">
        <v>2710</v>
      </c>
      <c r="C18" s="2376">
        <f>SUMIF(修正!C18:C39,E3,修正!E18:E39)</f>
        <v>1.1000000000000001</v>
      </c>
      <c r="D18" s="2377"/>
      <c r="E18" s="2378"/>
      <c r="F18" s="2378"/>
      <c r="G18" s="2378"/>
      <c r="H18" s="2378"/>
      <c r="I18" s="2378"/>
      <c r="J18" s="2379"/>
      <c r="K18" s="1284"/>
      <c r="L18" s="3017"/>
      <c r="M18" s="3017"/>
      <c r="N18" s="3017"/>
      <c r="O18" s="1282"/>
      <c r="P18" s="1282"/>
      <c r="Q18" s="1283"/>
      <c r="R18" s="1283"/>
      <c r="S18" s="1283"/>
      <c r="T18" s="1278"/>
      <c r="U18" s="1278"/>
      <c r="V18" s="1278"/>
      <c r="W18" s="1277"/>
      <c r="X18" s="1277"/>
      <c r="Y18" s="1277"/>
      <c r="Z18" s="1284"/>
      <c r="AA18" s="1284"/>
      <c r="AB18" s="1284"/>
      <c r="AC18" s="1284"/>
      <c r="AD18" s="1284"/>
      <c r="AE18" s="1278"/>
      <c r="AF18" s="1278"/>
      <c r="AG18" s="2338"/>
      <c r="AH18" s="2338"/>
      <c r="AI18" s="2338"/>
      <c r="AJ18" s="3017"/>
    </row>
    <row r="19" spans="1:37" s="2200" customFormat="1" ht="29.25" thickBot="1">
      <c r="A19" s="2244" t="s">
        <v>809</v>
      </c>
      <c r="B19" s="2245" t="s">
        <v>2711</v>
      </c>
      <c r="C19" s="860">
        <f>ROUND(IF(H19="按公示增长率计算",SUMPRODUCT((地价!A3:A32=YEAR(G19)&amp;"-"&amp;ROUNDUP(MONTH(G19)/3,0))*(地价!X2:AB2=E2)*(地价!X3:AB32)),IF(H19="地价指数",M20/M19,(1+I19)^O19)),4)</f>
        <v>1.3420000000000001</v>
      </c>
      <c r="D19" s="2249" t="s">
        <v>2712</v>
      </c>
      <c r="E19" s="861">
        <v>41640</v>
      </c>
      <c r="F19" s="2249" t="s">
        <v>2713</v>
      </c>
      <c r="G19" s="862">
        <f>'数据-取费表'!B2</f>
        <v>44141</v>
      </c>
      <c r="H19" s="2250" t="s">
        <v>3102</v>
      </c>
      <c r="I19" s="863" t="str">
        <f>IF(H19="季度增幅（自定义）",SUMIF(N21:N24,E2,O21:O24),"")</f>
        <v/>
      </c>
      <c r="J19" s="2247"/>
      <c r="K19" s="1284"/>
      <c r="L19" s="2251" t="s">
        <v>2714</v>
      </c>
      <c r="M19" s="1495">
        <f>ROUND(SUMIF(地价!B2:F2,E2,地价!B32:F32),0)</f>
        <v>258</v>
      </c>
      <c r="N19" s="2252" t="s">
        <v>2715</v>
      </c>
      <c r="O19" s="864">
        <f>ROUNDDOWN(DATEDIF(E19,G19,"M")/3,0)</f>
        <v>27</v>
      </c>
      <c r="P19" s="1281"/>
      <c r="Q19" s="1283"/>
      <c r="R19" s="1283"/>
      <c r="S19" s="1283"/>
      <c r="T19" s="1278"/>
      <c r="U19" s="1278"/>
      <c r="V19" s="1278"/>
      <c r="W19" s="1277"/>
      <c r="X19" s="1277"/>
      <c r="Y19" s="1277"/>
      <c r="Z19" s="1284"/>
      <c r="AA19" s="1284"/>
      <c r="AB19" s="1284"/>
      <c r="AC19" s="1284"/>
      <c r="AD19" s="1284"/>
      <c r="AE19" s="1284"/>
      <c r="AF19" s="1283"/>
      <c r="AG19" s="3020"/>
      <c r="AH19" s="2338"/>
      <c r="AI19" s="3021"/>
      <c r="AJ19" s="3021"/>
      <c r="AK19" s="2253"/>
    </row>
    <row r="20" spans="1:37" s="2200" customFormat="1" ht="27.75" thickBot="1">
      <c r="A20" s="2254" t="s">
        <v>810</v>
      </c>
      <c r="B20" s="2255" t="s">
        <v>2716</v>
      </c>
      <c r="C20" s="865">
        <f ca="1">ROUND(POWER(1+G20,J20-I20)*(POWER(1+G20,I20)-1)/(POWER(1+G20,J20)-1),4)</f>
        <v>0.93320000000000003</v>
      </c>
      <c r="D20" s="2256" t="s">
        <v>2717</v>
      </c>
      <c r="E20" s="1504">
        <f ca="1">存贷款利率!D4/100</f>
        <v>4.3499999999999997E-2</v>
      </c>
      <c r="F20" s="2256" t="s">
        <v>2709</v>
      </c>
      <c r="G20" s="870">
        <f ca="1">SUMIF(M26:P26,E2,M28:P28)</f>
        <v>5.3999999999999999E-2</v>
      </c>
      <c r="H20" s="2256" t="s">
        <v>2718</v>
      </c>
      <c r="I20" s="3059">
        <f>项目基本情况!F15</f>
        <v>32.54</v>
      </c>
      <c r="J20" s="872">
        <f>IF(E2="住宅",70,IF(E2="商业",40,50))</f>
        <v>40</v>
      </c>
      <c r="K20" s="1284"/>
      <c r="L20" s="2257" t="s">
        <v>2719</v>
      </c>
      <c r="M20" s="1496">
        <f>ROUND(SUMPRODUCT((地价!A4:A32=YEAR(G19)&amp;"-"&amp;ROUNDUP(MONTH(G19)/3,0))*(地价!B2:F2=E2)*(地价!B4:F32)),0)</f>
        <v>346</v>
      </c>
      <c r="N20" s="2258" t="s">
        <v>2720</v>
      </c>
      <c r="O20" s="2259" t="s">
        <v>2721</v>
      </c>
      <c r="P20" s="2260" t="s">
        <v>2722</v>
      </c>
      <c r="Q20" s="3017"/>
      <c r="R20" s="1283"/>
      <c r="S20" s="1283"/>
      <c r="T20" s="1278"/>
      <c r="U20" s="1278"/>
      <c r="V20" s="1278"/>
      <c r="W20" s="1277"/>
      <c r="X20" s="1277"/>
      <c r="Y20" s="1277"/>
      <c r="Z20" s="1284"/>
      <c r="AA20" s="1284"/>
      <c r="AB20" s="1284"/>
      <c r="AC20" s="1284"/>
      <c r="AD20" s="1284"/>
      <c r="AE20" s="1284"/>
      <c r="AF20" s="1284"/>
      <c r="AG20" s="3017"/>
      <c r="AH20" s="3017"/>
      <c r="AI20" s="3017"/>
      <c r="AJ20" s="3017"/>
    </row>
    <row r="21" spans="1:37" s="2200" customFormat="1" ht="15">
      <c r="A21" s="2261" t="s">
        <v>811</v>
      </c>
      <c r="B21" s="2262" t="s">
        <v>3072</v>
      </c>
      <c r="C21" s="3054">
        <f>IF(B21="容积率修正",IF(G3&lt;=10,D22,J22),C23)</f>
        <v>0.89910000000000001</v>
      </c>
      <c r="D21" s="2263"/>
      <c r="E21" s="2263"/>
      <c r="F21" s="2263"/>
      <c r="G21" s="2263"/>
      <c r="H21" s="2263"/>
      <c r="I21" s="2263"/>
      <c r="J21" s="2264"/>
      <c r="K21" s="1284"/>
      <c r="L21" s="3017"/>
      <c r="M21" s="3017"/>
      <c r="N21" s="2265" t="s">
        <v>2723</v>
      </c>
      <c r="O21" s="1332"/>
      <c r="P21" s="1333">
        <f>SUMPRODUCT((地价!A3:A32=YEAR(G19)&amp;"-"&amp;ROUNDUP(MONTH(G19)/3,0))*(地价!AD2:AH2=N21)*(地价!AD3:AH32))</f>
        <v>1.14E-2</v>
      </c>
      <c r="Q21" s="3017"/>
      <c r="R21" s="1283"/>
      <c r="S21" s="1283"/>
      <c r="T21" s="1278"/>
      <c r="U21" s="1278"/>
      <c r="V21" s="1278"/>
      <c r="W21" s="1277"/>
      <c r="X21" s="1277"/>
      <c r="Y21" s="1277"/>
      <c r="Z21" s="1284"/>
      <c r="AA21" s="1284"/>
      <c r="AB21" s="1284"/>
      <c r="AC21" s="1284"/>
      <c r="AD21" s="1284"/>
      <c r="AE21" s="1284"/>
      <c r="AF21" s="1284"/>
      <c r="AG21" s="3017"/>
      <c r="AH21" s="3017"/>
      <c r="AI21" s="3017"/>
      <c r="AJ21" s="3017"/>
    </row>
    <row r="22" spans="1:37" s="2200" customFormat="1" ht="14.25">
      <c r="A22" s="2139" t="s">
        <v>2724</v>
      </c>
      <c r="B22" s="2266" t="s">
        <v>2725</v>
      </c>
      <c r="C22" s="3053" t="s">
        <v>2726</v>
      </c>
      <c r="D22" s="3053">
        <f>IF(E22=G22,F22,IF(G3&lt;=10,ROUND(F22+(H22-F22)*(G3-E22)/(G22-E22),4),"——"))</f>
        <v>0.89910000000000001</v>
      </c>
      <c r="E22" s="852">
        <f>ROUNDDOWN(G3,1)</f>
        <v>5.9</v>
      </c>
      <c r="F22" s="3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0.90129999999999999</v>
      </c>
      <c r="G22" s="852">
        <f>ROUNDUP(G3,1)</f>
        <v>6</v>
      </c>
      <c r="H22" s="3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0.89890000000000003</v>
      </c>
      <c r="I22" s="3053" t="s">
        <v>155</v>
      </c>
      <c r="J22" s="874" t="str">
        <f>IF(G3&gt;10,D113,"——")</f>
        <v>——</v>
      </c>
      <c r="K22" s="1284"/>
      <c r="L22" s="3017"/>
      <c r="M22" s="3017"/>
      <c r="N22" s="2265" t="s">
        <v>2727</v>
      </c>
      <c r="O22" s="1332"/>
      <c r="P22" s="1333">
        <f>SUMPRODUCT((地价!A3:A32=YEAR(G19)&amp;"-"&amp;ROUNDUP(MONTH(G19)/3,0))*(地价!AD2:AH2=N22)*(地价!AD3:AH32))</f>
        <v>1.14E-2</v>
      </c>
      <c r="Q22" s="3017"/>
      <c r="R22" s="1283"/>
      <c r="S22" s="1283"/>
      <c r="T22" s="1278"/>
      <c r="U22" s="1278"/>
      <c r="V22" s="1278"/>
      <c r="W22" s="1277"/>
      <c r="X22" s="1277"/>
      <c r="Y22" s="1277"/>
      <c r="Z22" s="1284"/>
      <c r="AA22" s="1284"/>
      <c r="AB22" s="1284"/>
      <c r="AC22" s="1284"/>
      <c r="AD22" s="1284"/>
      <c r="AE22" s="1284"/>
      <c r="AF22" s="1284"/>
      <c r="AG22" s="3017"/>
      <c r="AH22" s="3017"/>
      <c r="AI22" s="3017"/>
      <c r="AJ22" s="3017"/>
    </row>
    <row r="23" spans="1:37" ht="27.75" thickBot="1">
      <c r="A23" s="2139" t="s">
        <v>2728</v>
      </c>
      <c r="B23" s="2267" t="s">
        <v>2729</v>
      </c>
      <c r="C23" s="947">
        <f>ROUND(IF(G3&gt;1,IF(I3&lt;7,SUMPRODUCT((B93:B98=I3)*(C92:N92=G2)*(C93:N98)),SUMIF(C92:N92,G2,C100:N100)),IF(I3&lt;7,SUMPRODUCT((B102:B107=I3)*(C92:N92=G2)*(C102:N107)),SUMIF(C92:N92,G2,C109:N109))),4)</f>
        <v>0</v>
      </c>
      <c r="D23" s="2235"/>
      <c r="E23" s="2235"/>
      <c r="F23" s="2268"/>
      <c r="G23" s="2269"/>
      <c r="H23" s="2270"/>
      <c r="I23" s="2271"/>
      <c r="J23" s="2272"/>
      <c r="K23" s="1277"/>
      <c r="L23" s="2181"/>
      <c r="M23" s="2181"/>
      <c r="N23" s="2265" t="s">
        <v>2730</v>
      </c>
      <c r="O23" s="1332"/>
      <c r="P23" s="1333">
        <f>SUMPRODUCT((地价!A3:A32=YEAR(G19)&amp;"-"&amp;ROUNDUP(MONTH(G19)/3,0))*(地价!AD2:AH2=N23)*(地价!AD3:AH32))</f>
        <v>1.9199999999999998E-2</v>
      </c>
      <c r="Q23" s="2181"/>
      <c r="R23" s="1283"/>
      <c r="S23" s="1283"/>
      <c r="T23" s="1278"/>
      <c r="U23" s="1278"/>
      <c r="V23" s="1278"/>
      <c r="W23" s="1277"/>
      <c r="X23" s="1277"/>
      <c r="Y23" s="1277"/>
      <c r="Z23" s="1284"/>
      <c r="AA23" s="1284"/>
      <c r="AB23" s="1284"/>
      <c r="AC23" s="1284"/>
      <c r="AD23" s="1284"/>
      <c r="AE23" s="1278"/>
      <c r="AF23" s="1278"/>
      <c r="AG23" s="2338"/>
      <c r="AH23" s="2338"/>
      <c r="AI23" s="2338"/>
      <c r="AJ23" s="2338"/>
      <c r="AK23" s="2248"/>
    </row>
    <row r="24" spans="1:37" s="2200" customFormat="1" ht="15.75" thickBot="1">
      <c r="A24" s="2254" t="s">
        <v>812</v>
      </c>
      <c r="B24" s="2245" t="s">
        <v>2731</v>
      </c>
      <c r="C24" s="860">
        <f>SUMIF(A45:A88,E2,B45:B88)</f>
        <v>1.0814999999999999</v>
      </c>
      <c r="D24" s="2246"/>
      <c r="E24" s="2273"/>
      <c r="F24" s="2273"/>
      <c r="G24" s="2273"/>
      <c r="H24" s="2273"/>
      <c r="I24" s="2273"/>
      <c r="J24" s="2274"/>
      <c r="K24" s="1284"/>
      <c r="L24" s="3017"/>
      <c r="M24" s="3017"/>
      <c r="N24" s="2275" t="s">
        <v>2732</v>
      </c>
      <c r="O24" s="1334"/>
      <c r="P24" s="1335">
        <f>SUMPRODUCT((地价!A3:A32=YEAR(G19)&amp;"-"&amp;ROUNDUP(MONTH(G19)/3,0))*(地价!AD2:AH2=N24)*(地价!AD3:AH32))</f>
        <v>1.23E-2</v>
      </c>
      <c r="Q24" s="3017"/>
      <c r="R24" s="1283"/>
      <c r="S24" s="1283"/>
      <c r="T24" s="1278"/>
      <c r="U24" s="1278"/>
      <c r="V24" s="1278"/>
      <c r="W24" s="1277"/>
      <c r="X24" s="1277"/>
      <c r="Y24" s="1277"/>
      <c r="Z24" s="1284"/>
      <c r="AA24" s="1284"/>
      <c r="AB24" s="1284"/>
      <c r="AC24" s="1284"/>
      <c r="AD24" s="1284"/>
      <c r="AE24" s="1284"/>
      <c r="AF24" s="1284"/>
      <c r="AG24" s="3017"/>
      <c r="AH24" s="3017"/>
      <c r="AI24" s="3017"/>
      <c r="AJ24" s="3017"/>
    </row>
    <row r="25" spans="1:37" ht="15.75" thickBot="1">
      <c r="A25" s="2254" t="s">
        <v>813</v>
      </c>
      <c r="B25" s="2276" t="s">
        <v>2733</v>
      </c>
      <c r="C25" s="866"/>
      <c r="D25" s="2210"/>
      <c r="E25" s="2210"/>
      <c r="F25" s="2277"/>
      <c r="G25" s="2210"/>
      <c r="H25" s="2210"/>
      <c r="I25" s="2210"/>
      <c r="J25" s="2211"/>
      <c r="K25" s="1277"/>
      <c r="L25" s="2181"/>
      <c r="M25" s="2181"/>
      <c r="N25" s="3012" t="s">
        <v>2734</v>
      </c>
      <c r="O25" s="3013"/>
      <c r="P25" s="3014">
        <f>SUMPRODUCT((地价!A3:A32=YEAR(G19)&amp;"-"&amp;ROUNDUP(MONTH(G19)/3,0))*(地价!AD2:AH2=N25)*(地价!AD3:AH32))</f>
        <v>1.7399999999999999E-2</v>
      </c>
      <c r="Q25" s="2181"/>
      <c r="R25" s="1283"/>
      <c r="S25" s="1283"/>
      <c r="T25" s="1278"/>
      <c r="U25" s="1278"/>
      <c r="V25" s="1278"/>
      <c r="W25" s="1277"/>
      <c r="X25" s="1277"/>
      <c r="Y25" s="1277"/>
      <c r="Z25" s="1284"/>
      <c r="AA25" s="1284"/>
      <c r="AB25" s="1284"/>
      <c r="AC25" s="1284"/>
      <c r="AD25" s="1284"/>
      <c r="AE25" s="1278"/>
      <c r="AF25" s="1278"/>
      <c r="AG25" s="2338"/>
      <c r="AH25" s="2338"/>
      <c r="AI25" s="2338"/>
      <c r="AJ25" s="2338"/>
    </row>
    <row r="26" spans="1:37" ht="15">
      <c r="A26" s="2278"/>
      <c r="B26" s="2266" t="s">
        <v>2735</v>
      </c>
      <c r="C26" s="2540">
        <f ca="1">IF(B21="容积率修正",E29+SUM(E33:E39),SUM(V2:V16)+SUM(E33:E39))</f>
        <v>23537</v>
      </c>
      <c r="D26" s="2279"/>
      <c r="E26" s="2235"/>
      <c r="F26" s="2280"/>
      <c r="G26" s="2235"/>
      <c r="H26" s="2235"/>
      <c r="I26" s="2235"/>
      <c r="J26" s="2281"/>
      <c r="K26" s="1277"/>
      <c r="L26" s="3015" t="s">
        <v>2634</v>
      </c>
      <c r="M26" s="2208" t="s">
        <v>2699</v>
      </c>
      <c r="N26" s="2208" t="s">
        <v>2700</v>
      </c>
      <c r="O26" s="2208" t="s">
        <v>2701</v>
      </c>
      <c r="P26" s="3016" t="s">
        <v>2702</v>
      </c>
      <c r="Q26" s="2181"/>
      <c r="R26" s="1283"/>
      <c r="S26" s="1283"/>
      <c r="T26" s="1278"/>
      <c r="U26" s="1278"/>
      <c r="V26" s="1278"/>
      <c r="W26" s="1277"/>
      <c r="X26" s="1277"/>
      <c r="Y26" s="1277"/>
      <c r="Z26" s="1284"/>
      <c r="AA26" s="1284"/>
      <c r="AB26" s="1284"/>
      <c r="AC26" s="1284"/>
      <c r="AD26" s="1284"/>
      <c r="AE26" s="1278"/>
      <c r="AF26" s="1278"/>
      <c r="AG26" s="2338"/>
      <c r="AH26" s="2338"/>
      <c r="AI26" s="2338"/>
      <c r="AJ26" s="2338"/>
    </row>
    <row r="27" spans="1:37" ht="15.75" thickBot="1">
      <c r="A27" s="2278"/>
      <c r="B27" s="2282" t="s">
        <v>2736</v>
      </c>
      <c r="C27" s="867">
        <f ca="1">E30+SUM(I33:I39)</f>
        <v>5885</v>
      </c>
      <c r="D27" s="2283"/>
      <c r="E27" s="2284"/>
      <c r="F27" s="2285"/>
      <c r="G27" s="2284"/>
      <c r="H27" s="2284"/>
      <c r="I27" s="2284"/>
      <c r="J27" s="2286"/>
      <c r="K27" s="1277"/>
      <c r="L27" s="2241" t="s">
        <v>2706</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8"/>
      <c r="AH27" s="2338"/>
      <c r="AI27" s="2338"/>
      <c r="AJ27" s="2338"/>
    </row>
    <row r="28" spans="1:37" ht="15.75" thickBot="1">
      <c r="A28" s="2287"/>
      <c r="B28" s="2288" t="s">
        <v>2737</v>
      </c>
      <c r="C28" s="2289" t="s">
        <v>2738</v>
      </c>
      <c r="D28" s="2289" t="s">
        <v>2739</v>
      </c>
      <c r="E28" s="2290" t="s">
        <v>2740</v>
      </c>
      <c r="F28" s="2291"/>
      <c r="G28" s="2223"/>
      <c r="H28" s="2223"/>
      <c r="I28" s="2223"/>
      <c r="J28" s="2224"/>
      <c r="K28" s="1277"/>
      <c r="L28" s="2242" t="s">
        <v>2709</v>
      </c>
      <c r="M28" s="181">
        <f ca="1">ROUND($E$20*(1+M27),3)</f>
        <v>5.3999999999999999E-2</v>
      </c>
      <c r="N28" s="181">
        <f ca="1">ROUND($E$20*(1+N27),3)</f>
        <v>5.1999999999999998E-2</v>
      </c>
      <c r="O28" s="181">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8"/>
      <c r="AH28" s="2338"/>
      <c r="AI28" s="2338"/>
      <c r="AJ28" s="2338"/>
    </row>
    <row r="29" spans="1:37" ht="22.5" customHeight="1">
      <c r="A29" s="2292"/>
      <c r="B29" s="2293" t="s">
        <v>2741</v>
      </c>
      <c r="C29" s="178">
        <f ca="1">ROUND(C5*C18*C19*C20*C21*C24,0)</f>
        <v>41378</v>
      </c>
      <c r="D29" s="2294">
        <v>0</v>
      </c>
      <c r="E29" s="3057">
        <f ca="1">ROUND(C29*D29/10000,0)</f>
        <v>0</v>
      </c>
      <c r="F29" s="2295" t="s">
        <v>2742</v>
      </c>
      <c r="G29" s="2296"/>
      <c r="H29" s="2296"/>
      <c r="I29" s="2296"/>
      <c r="J29" s="2297"/>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1"/>
      <c r="AH29" s="2181"/>
      <c r="AI29" s="2181"/>
      <c r="AJ29" s="2181"/>
    </row>
    <row r="30" spans="1:37" ht="25.5" thickBot="1">
      <c r="A30" s="2298"/>
      <c r="B30" s="2299" t="s">
        <v>2743</v>
      </c>
      <c r="C30" s="191">
        <f ca="1">ROUND(IF(E2="工业",C29*M39,C29*M38),0)</f>
        <v>10345</v>
      </c>
      <c r="D30" s="2300"/>
      <c r="E30" s="3057">
        <f ca="1">ROUND(C30*D30/10000,0)</f>
        <v>0</v>
      </c>
      <c r="F30" s="2301" t="s">
        <v>2744</v>
      </c>
      <c r="G30" s="2302"/>
      <c r="H30" s="2302"/>
      <c r="I30" s="2302"/>
      <c r="J30" s="2303"/>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1"/>
      <c r="AH30" s="2181"/>
      <c r="AI30" s="2181"/>
      <c r="AJ30" s="2181"/>
    </row>
    <row r="31" spans="1:37" ht="14.25">
      <c r="A31" s="2304"/>
      <c r="B31" s="2305" t="s">
        <v>2745</v>
      </c>
      <c r="C31" s="2306" t="s">
        <v>2746</v>
      </c>
      <c r="D31" s="2223"/>
      <c r="E31" s="2306"/>
      <c r="F31" s="2306"/>
      <c r="G31" s="2221" t="s">
        <v>2747</v>
      </c>
      <c r="H31" s="2223"/>
      <c r="I31" s="2307"/>
      <c r="J31" s="2224"/>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1"/>
      <c r="AH31" s="2181"/>
      <c r="AI31" s="2181"/>
      <c r="AJ31" s="2181"/>
    </row>
    <row r="32" spans="1:37" ht="24">
      <c r="A32" s="2292"/>
      <c r="B32" s="2308"/>
      <c r="C32" s="456" t="s">
        <v>2738</v>
      </c>
      <c r="D32" s="453" t="s">
        <v>2739</v>
      </c>
      <c r="E32" s="453" t="s">
        <v>2740</v>
      </c>
      <c r="F32" s="346" t="s">
        <v>2748</v>
      </c>
      <c r="G32" s="2309" t="s">
        <v>2738</v>
      </c>
      <c r="H32" s="2309" t="s">
        <v>2739</v>
      </c>
      <c r="I32" s="2309" t="s">
        <v>2740</v>
      </c>
      <c r="J32" s="247"/>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1"/>
      <c r="AH32" s="2181"/>
      <c r="AI32" s="2181"/>
      <c r="AJ32" s="2181"/>
    </row>
    <row r="33" spans="1:37" ht="36" customHeight="1">
      <c r="A33" s="3331"/>
      <c r="B33" s="2310" t="s">
        <v>2749</v>
      </c>
      <c r="C33" s="178">
        <f ca="1">ROUND(D5*C19*C20*C24*F33,0)</f>
        <v>33470</v>
      </c>
      <c r="D33" s="2294">
        <f>'数据-汇总表'!G22</f>
        <v>7032.3</v>
      </c>
      <c r="E33" s="174">
        <f ca="1">ROUND(C33*D33/10000,0)</f>
        <v>23537</v>
      </c>
      <c r="F33" s="174">
        <f>SUMIF(修正!A45:A56,G2,修正!B45:B56)</f>
        <v>0.8</v>
      </c>
      <c r="G33" s="174">
        <f t="shared" ref="G33" ca="1" si="6">ROUND(IF(E2="工业",C33*$M$39,C33*$M$38),0)</f>
        <v>8368</v>
      </c>
      <c r="H33" s="174">
        <f>D33</f>
        <v>7032.3</v>
      </c>
      <c r="I33" s="174">
        <f ca="1">ROUND(G33*H33/10000,0)</f>
        <v>5885</v>
      </c>
      <c r="J33" s="3336" t="s">
        <v>3056</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8"/>
      <c r="AH33" s="2338"/>
      <c r="AI33" s="2338"/>
      <c r="AJ33" s="2338"/>
    </row>
    <row r="34" spans="1:37" ht="14.25">
      <c r="A34" s="3332"/>
      <c r="B34" s="2227" t="s">
        <v>2750</v>
      </c>
      <c r="C34" s="178">
        <f ca="1">ROUND(D5*C19*C20*C24*F34,0)</f>
        <v>20919</v>
      </c>
      <c r="D34" s="2294"/>
      <c r="E34" s="174">
        <f t="shared" ref="E34:E39" ca="1" si="7">ROUND(C34*D34/10000,0)</f>
        <v>0</v>
      </c>
      <c r="F34" s="174">
        <f>SUMIF(修正!A45:A56,G2,修正!C45:C56)</f>
        <v>0.5</v>
      </c>
      <c r="G34" s="174">
        <f ca="1">ROUND(IF(E2="工业",C34*$M$39,C34*$M$38),0)</f>
        <v>5230</v>
      </c>
      <c r="H34" s="174">
        <f t="shared" ref="H34:H39" si="8">D34</f>
        <v>0</v>
      </c>
      <c r="I34" s="174">
        <f t="shared" ref="I34:I39" ca="1" si="9">ROUND(G34*H34/10000,0)</f>
        <v>0</v>
      </c>
      <c r="J34" s="3332"/>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8"/>
      <c r="AH34" s="2338"/>
      <c r="AI34" s="2338"/>
      <c r="AJ34" s="2338"/>
    </row>
    <row r="35" spans="1:37">
      <c r="A35" s="3332"/>
      <c r="B35" s="2227" t="s">
        <v>2751</v>
      </c>
      <c r="C35" s="178">
        <f ca="1">ROUND(D5*C19*C20*C24*F35,0)</f>
        <v>15062</v>
      </c>
      <c r="D35" s="2294"/>
      <c r="E35" s="174">
        <f t="shared" ca="1" si="7"/>
        <v>0</v>
      </c>
      <c r="F35" s="174">
        <f>SUMIF(修正!A45:A56,G2,修正!D45:D56)</f>
        <v>0.36</v>
      </c>
      <c r="G35" s="174">
        <f ca="1">ROUND(IF(E2="工业",C35*$M$39,C35*$M$38),0)</f>
        <v>3766</v>
      </c>
      <c r="H35" s="174">
        <f t="shared" si="8"/>
        <v>0</v>
      </c>
      <c r="I35" s="174">
        <f t="shared" ca="1" si="9"/>
        <v>0</v>
      </c>
      <c r="J35" s="3332"/>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8"/>
      <c r="AH35" s="2338"/>
      <c r="AI35" s="2338"/>
      <c r="AJ35" s="2338"/>
    </row>
    <row r="36" spans="1:37" ht="13.5" thickBot="1">
      <c r="A36" s="3333"/>
      <c r="B36" s="2227" t="s">
        <v>2752</v>
      </c>
      <c r="C36" s="178">
        <f ca="1">ROUND(D5*C19*C20*C24*F36,0)</f>
        <v>12551</v>
      </c>
      <c r="D36" s="2294"/>
      <c r="E36" s="174">
        <f t="shared" ca="1" si="7"/>
        <v>0</v>
      </c>
      <c r="F36" s="174">
        <f>SUMIF(修正!A45:A56,G2,修正!E45:E56)</f>
        <v>0.3</v>
      </c>
      <c r="G36" s="174">
        <f ca="1">ROUND(IF(E2="工业",C36*$M$39,C36*$M$38),0)</f>
        <v>3138</v>
      </c>
      <c r="H36" s="174">
        <f t="shared" si="8"/>
        <v>0</v>
      </c>
      <c r="I36" s="174">
        <f t="shared" ca="1" si="9"/>
        <v>0</v>
      </c>
      <c r="J36" s="3333"/>
      <c r="K36" s="1277"/>
      <c r="L36" s="2181"/>
      <c r="M36" s="2181"/>
      <c r="N36" s="1277"/>
      <c r="O36" s="1277"/>
      <c r="P36" s="1277"/>
      <c r="Q36" s="1277"/>
      <c r="R36" s="1277"/>
      <c r="S36" s="1277"/>
      <c r="T36" s="1277"/>
      <c r="U36" s="1277"/>
      <c r="V36" s="1277"/>
      <c r="W36" s="1277"/>
      <c r="X36" s="1277"/>
      <c r="Y36" s="1277"/>
      <c r="Z36" s="1278"/>
      <c r="AA36" s="1278"/>
      <c r="AB36" s="1278"/>
      <c r="AC36" s="1278"/>
      <c r="AD36" s="1278"/>
      <c r="AE36" s="1278"/>
      <c r="AF36" s="1278"/>
      <c r="AG36" s="2338"/>
      <c r="AH36" s="2338"/>
      <c r="AI36" s="2338"/>
      <c r="AJ36" s="2338"/>
    </row>
    <row r="37" spans="1:37">
      <c r="A37" s="2312"/>
      <c r="B37" s="2227" t="s">
        <v>2753</v>
      </c>
      <c r="C37" s="174">
        <f ca="1">ROUND(D5*C19*C20*C24*F37,0)</f>
        <v>12551</v>
      </c>
      <c r="D37" s="2294"/>
      <c r="E37" s="174">
        <f t="shared" ca="1" si="7"/>
        <v>0</v>
      </c>
      <c r="F37" s="178">
        <f>SUMIF(修正!A45:A56,G2,修正!F45:F56)</f>
        <v>0.3</v>
      </c>
      <c r="G37" s="174">
        <f ca="1">ROUND(IF(E2="工业",C37*$M$39,C37*$M$38),0)</f>
        <v>3138</v>
      </c>
      <c r="H37" s="174">
        <f t="shared" si="8"/>
        <v>0</v>
      </c>
      <c r="I37" s="174">
        <f t="shared" ca="1" si="9"/>
        <v>0</v>
      </c>
      <c r="J37" s="2311"/>
      <c r="K37" s="1277"/>
      <c r="L37" s="2313" t="s">
        <v>2754</v>
      </c>
      <c r="M37" s="2314"/>
      <c r="N37" s="1277"/>
      <c r="O37" s="1277"/>
      <c r="P37" s="1277"/>
      <c r="Q37" s="1277"/>
      <c r="R37" s="1277"/>
      <c r="S37" s="1277"/>
      <c r="T37" s="1277"/>
      <c r="U37" s="1277"/>
      <c r="V37" s="1277"/>
      <c r="W37" s="1277"/>
      <c r="X37" s="1277"/>
      <c r="Y37" s="1277"/>
      <c r="Z37" s="1278"/>
      <c r="AA37" s="1278"/>
      <c r="AB37" s="1278"/>
      <c r="AC37" s="1278"/>
      <c r="AD37" s="1278"/>
      <c r="AE37" s="1278"/>
      <c r="AF37" s="1278"/>
      <c r="AG37" s="2338"/>
      <c r="AH37" s="2338"/>
      <c r="AI37" s="2338"/>
      <c r="AJ37" s="2338"/>
    </row>
    <row r="38" spans="1:37">
      <c r="A38" s="2312"/>
      <c r="B38" s="2227" t="s">
        <v>2755</v>
      </c>
      <c r="C38" s="174">
        <f ca="1">ROUND(D5*C19*C41*C24*F38,0)</f>
        <v>10063</v>
      </c>
      <c r="D38" s="2294"/>
      <c r="E38" s="174">
        <f t="shared" ca="1" si="7"/>
        <v>0</v>
      </c>
      <c r="F38" s="178">
        <f>SUMIF(修正!A45:A56,G2,修正!G45:G56)</f>
        <v>0.3</v>
      </c>
      <c r="G38" s="174">
        <f ca="1">ROUND(IF(E2="工业",C38*$M$39,C38*$M$38),0)</f>
        <v>2516</v>
      </c>
      <c r="H38" s="174">
        <f t="shared" si="8"/>
        <v>0</v>
      </c>
      <c r="I38" s="174">
        <f t="shared" ca="1" si="9"/>
        <v>0</v>
      </c>
      <c r="J38" s="2311"/>
      <c r="K38" s="1277"/>
      <c r="L38" s="1604" t="s">
        <v>2756</v>
      </c>
      <c r="M38" s="2315">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8"/>
      <c r="B39" s="2316" t="s">
        <v>2757</v>
      </c>
      <c r="C39" s="191">
        <f ca="1">ROUND(D5*C19*C41*C24*F39,0)</f>
        <v>8386</v>
      </c>
      <c r="D39" s="2300"/>
      <c r="E39" s="191">
        <f t="shared" ca="1" si="7"/>
        <v>0</v>
      </c>
      <c r="F39" s="868">
        <f>SUMIF(修正!A45:A56,G2,修正!H45:H56)</f>
        <v>0.25</v>
      </c>
      <c r="G39" s="191">
        <f ca="1">ROUND(IF(E2="工业",C39*$M$39,C39*$M$38),0)</f>
        <v>2097</v>
      </c>
      <c r="H39" s="191">
        <f t="shared" si="8"/>
        <v>0</v>
      </c>
      <c r="I39" s="191">
        <f t="shared" ca="1" si="9"/>
        <v>0</v>
      </c>
      <c r="J39" s="2317"/>
      <c r="K39" s="1277"/>
      <c r="L39" s="2318" t="s">
        <v>2702</v>
      </c>
      <c r="M39" s="2319">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8" t="s">
        <v>2862</v>
      </c>
      <c r="C41" s="346">
        <f ca="1">ROUND(POWER(1+E41,H41-G41)*(POWER(1+E41,G41)-1)/(POWER(1+E41,H41)-1),4)</f>
        <v>0.74819999999999998</v>
      </c>
      <c r="D41" s="174" t="s">
        <v>2709</v>
      </c>
      <c r="E41" s="2367">
        <f ca="1">G20</f>
        <v>5.3999999999999999E-2</v>
      </c>
      <c r="F41" s="174" t="s">
        <v>2718</v>
      </c>
      <c r="G41" s="187">
        <f>项目基本情况!E15</f>
        <v>22.53</v>
      </c>
      <c r="H41" s="174">
        <v>50</v>
      </c>
      <c r="Z41" s="1278"/>
      <c r="AA41" s="1278"/>
      <c r="AB41" s="1278"/>
      <c r="AC41" s="1278"/>
      <c r="AD41" s="1278"/>
      <c r="AE41" s="1278"/>
      <c r="AF41" s="1278"/>
      <c r="AG41" s="1278"/>
      <c r="AH41" s="1278"/>
      <c r="AI41" s="1278"/>
      <c r="AJ41" s="1278"/>
    </row>
    <row r="42" spans="1:37" s="1277" customFormat="1">
      <c r="A42" s="1278"/>
      <c r="B42" s="2320"/>
      <c r="Z42" s="1278"/>
      <c r="AA42" s="1278"/>
      <c r="AB42" s="1278"/>
      <c r="AC42" s="1278"/>
      <c r="AD42" s="1278"/>
      <c r="AE42" s="1278"/>
      <c r="AF42" s="1278"/>
      <c r="AG42" s="1278"/>
      <c r="AH42" s="1278"/>
      <c r="AI42" s="1278"/>
      <c r="AJ42" s="1278"/>
    </row>
    <row r="43" spans="1:37" s="1277" customFormat="1">
      <c r="A43" s="1278"/>
      <c r="B43" s="2320"/>
      <c r="Z43" s="1278"/>
      <c r="AA43" s="1278"/>
      <c r="AB43" s="1278"/>
      <c r="AC43" s="1278"/>
      <c r="AD43" s="1278"/>
      <c r="AE43" s="1278"/>
      <c r="AF43" s="1278"/>
      <c r="AG43" s="1278"/>
      <c r="AH43" s="1278"/>
      <c r="AI43" s="1278"/>
      <c r="AJ43" s="1278"/>
    </row>
    <row r="44" spans="1:37" s="1277" customFormat="1">
      <c r="A44" s="1278"/>
      <c r="B44" s="2320"/>
      <c r="Z44" s="1278"/>
      <c r="AA44" s="1278"/>
      <c r="AB44" s="1278"/>
      <c r="AC44" s="1278"/>
      <c r="AD44" s="1278"/>
      <c r="AE44" s="1278"/>
      <c r="AF44" s="1278"/>
      <c r="AG44" s="1278"/>
      <c r="AH44" s="1278"/>
      <c r="AI44" s="1278"/>
      <c r="AJ44" s="1278"/>
    </row>
    <row r="45" spans="1:37" s="1277" customFormat="1" ht="15.75" thickBot="1">
      <c r="A45" s="2321" t="s">
        <v>2758</v>
      </c>
      <c r="B45" s="2322"/>
      <c r="C45" s="7"/>
      <c r="D45" s="7"/>
      <c r="E45" s="7"/>
      <c r="F45" s="6"/>
      <c r="G45" s="6"/>
      <c r="H45" s="6"/>
      <c r="I45" s="2005"/>
      <c r="J45" s="2005"/>
      <c r="K45" s="2005"/>
      <c r="L45" s="2005"/>
      <c r="M45" s="2005"/>
      <c r="Z45" s="1278"/>
      <c r="AA45" s="1278"/>
      <c r="AB45" s="1278"/>
      <c r="AC45" s="1278"/>
      <c r="AD45" s="1278"/>
      <c r="AE45" s="1278"/>
      <c r="AF45" s="1278"/>
      <c r="AG45" s="1278"/>
      <c r="AH45" s="1278"/>
      <c r="AI45" s="1278"/>
      <c r="AJ45" s="1278"/>
    </row>
    <row r="46" spans="1:37" s="1277" customFormat="1" ht="15">
      <c r="A46" s="2323" t="s">
        <v>2759</v>
      </c>
      <c r="B46" s="2324">
        <f>1+E48</f>
        <v>1.0814999999999999</v>
      </c>
      <c r="C46" s="2325"/>
      <c r="D46" s="750"/>
      <c r="E46" s="751"/>
      <c r="F46" s="2326"/>
      <c r="G46" s="6"/>
      <c r="H46" s="7"/>
      <c r="I46" s="2005"/>
      <c r="J46" s="2005"/>
      <c r="K46" s="2005"/>
      <c r="L46" s="2005"/>
      <c r="M46" s="2005"/>
      <c r="Z46" s="1278"/>
      <c r="AA46" s="1278"/>
      <c r="AB46" s="1278"/>
      <c r="AC46" s="1278"/>
      <c r="AD46" s="1278"/>
      <c r="AE46" s="1278"/>
      <c r="AF46" s="1278"/>
      <c r="AG46" s="1278"/>
      <c r="AH46" s="1278"/>
      <c r="AI46" s="1278"/>
      <c r="AJ46" s="1278"/>
    </row>
    <row r="47" spans="1:37" s="1277" customFormat="1" ht="24.75">
      <c r="A47" s="2327" t="s">
        <v>2760</v>
      </c>
      <c r="B47" s="1534" t="s">
        <v>2761</v>
      </c>
      <c r="C47" s="1534" t="s">
        <v>2762</v>
      </c>
      <c r="D47" s="1534" t="s">
        <v>2763</v>
      </c>
      <c r="E47" s="755" t="s">
        <v>2764</v>
      </c>
      <c r="F47" s="2328" t="s">
        <v>2765</v>
      </c>
      <c r="G47" s="1534" t="s">
        <v>754</v>
      </c>
      <c r="H47" s="2329" t="s">
        <v>2766</v>
      </c>
      <c r="I47" s="1534" t="s">
        <v>2767</v>
      </c>
      <c r="J47" s="558" t="s">
        <v>2417</v>
      </c>
      <c r="K47" s="558" t="s">
        <v>2418</v>
      </c>
      <c r="L47" s="558" t="s">
        <v>2419</v>
      </c>
      <c r="M47" s="558" t="s">
        <v>2420</v>
      </c>
      <c r="N47" s="558" t="s">
        <v>2421</v>
      </c>
      <c r="AA47" s="1278"/>
      <c r="AB47" s="1278"/>
      <c r="AC47" s="1278"/>
      <c r="AD47" s="1278"/>
      <c r="AE47" s="1278"/>
      <c r="AF47" s="1278"/>
      <c r="AG47" s="1278"/>
      <c r="AH47" s="1278"/>
      <c r="AI47" s="1278"/>
      <c r="AJ47" s="1278"/>
      <c r="AK47" s="1278"/>
    </row>
    <row r="48" spans="1:37" s="1277" customFormat="1" ht="38.25">
      <c r="A48" s="2327" t="s">
        <v>2768</v>
      </c>
      <c r="B48" s="2330" t="str">
        <f>估价对象房地状况!C4</f>
        <v>估价对象位于XX商圈，周边商业氛围成熟，人流量大，商业繁华度好</v>
      </c>
      <c r="C48" s="2232" t="s">
        <v>3073</v>
      </c>
      <c r="D48" s="1193">
        <f t="shared" ref="D48:D56" si="10">SUMIF($J$47:$N$47,C48,J48:N48)</f>
        <v>1.6299999999999999E-2</v>
      </c>
      <c r="E48" s="757">
        <f>ROUND(SUM(D48:D56),4)</f>
        <v>8.1500000000000003E-2</v>
      </c>
      <c r="F48" s="1998">
        <f>IF(E2="商业",SUMIF(L1:L12,G2,N1:N12),"——")</f>
        <v>9.9000000000000005E-2</v>
      </c>
      <c r="G48" s="1191">
        <f>H48</f>
        <v>1.6299999999999999E-2</v>
      </c>
      <c r="H48" s="1195">
        <f t="shared" ref="H48:H56" si="11">IFERROR(ROUNDDOWN($F$48*I48/2,4),"——")</f>
        <v>1.6299999999999999E-2</v>
      </c>
      <c r="I48" s="756">
        <v>0.33</v>
      </c>
      <c r="J48" s="1192">
        <f t="shared" ref="J48:J56" si="12">K48+$G48</f>
        <v>3.2599999999999997E-2</v>
      </c>
      <c r="K48" s="1192">
        <f t="shared" ref="K48:K56" si="13">$L48+$G48</f>
        <v>1.6299999999999999E-2</v>
      </c>
      <c r="L48" s="1192">
        <v>0</v>
      </c>
      <c r="M48" s="1192">
        <f t="shared" ref="M48:N56" si="14">L48-$G48</f>
        <v>-1.6299999999999999E-2</v>
      </c>
      <c r="N48" s="1192">
        <f t="shared" si="14"/>
        <v>-3.2599999999999997E-2</v>
      </c>
      <c r="AA48" s="1278"/>
      <c r="AB48" s="1278"/>
      <c r="AC48" s="1278"/>
      <c r="AD48" s="1278"/>
      <c r="AE48" s="1278"/>
      <c r="AF48" s="1278"/>
      <c r="AG48" s="1278"/>
      <c r="AH48" s="1278"/>
      <c r="AI48" s="1278"/>
      <c r="AJ48" s="1278"/>
      <c r="AK48" s="1278"/>
    </row>
    <row r="49" spans="1:37" s="1277" customFormat="1" ht="51">
      <c r="A49" s="2327" t="s">
        <v>2769</v>
      </c>
      <c r="B49" s="2331" t="str">
        <f>估价对象房地状况!C18</f>
        <v>估价对象周边道路状况、公共交通通达情况、停车便捷程度，综合评价交通便捷度较好</v>
      </c>
      <c r="C49" s="2232" t="s">
        <v>3074</v>
      </c>
      <c r="D49" s="1193">
        <f t="shared" si="10"/>
        <v>2.46E-2</v>
      </c>
      <c r="E49" s="758"/>
      <c r="F49" s="1998"/>
      <c r="G49" s="1191">
        <f t="shared" ref="G49:G56" si="15">H49</f>
        <v>1.23E-2</v>
      </c>
      <c r="H49" s="1195">
        <f t="shared" si="11"/>
        <v>1.23E-2</v>
      </c>
      <c r="I49" s="756">
        <v>0.25</v>
      </c>
      <c r="J49" s="1192">
        <f t="shared" si="12"/>
        <v>2.46E-2</v>
      </c>
      <c r="K49" s="1192">
        <f t="shared" si="13"/>
        <v>1.23E-2</v>
      </c>
      <c r="L49" s="1192">
        <v>0</v>
      </c>
      <c r="M49" s="1192">
        <f t="shared" si="14"/>
        <v>-1.23E-2</v>
      </c>
      <c r="N49" s="1192">
        <f t="shared" si="14"/>
        <v>-2.46E-2</v>
      </c>
      <c r="AA49" s="1278"/>
      <c r="AB49" s="1278"/>
      <c r="AC49" s="1278"/>
      <c r="AD49" s="1278"/>
      <c r="AE49" s="1278"/>
      <c r="AF49" s="1278"/>
      <c r="AG49" s="1278"/>
      <c r="AH49" s="1278"/>
      <c r="AI49" s="1278"/>
      <c r="AJ49" s="1278"/>
      <c r="AK49" s="1278"/>
    </row>
    <row r="50" spans="1:37" s="1277" customFormat="1" ht="24">
      <c r="A50" s="2327" t="s">
        <v>2770</v>
      </c>
      <c r="B50" s="2331">
        <f>估价对象房地状况!C19</f>
        <v>0</v>
      </c>
      <c r="C50" s="2232" t="s">
        <v>3074</v>
      </c>
      <c r="D50" s="1193">
        <f t="shared" si="10"/>
        <v>4.7999999999999996E-3</v>
      </c>
      <c r="E50" s="758"/>
      <c r="F50" s="1998"/>
      <c r="G50" s="1191">
        <f t="shared" si="15"/>
        <v>2.3999999999999998E-3</v>
      </c>
      <c r="H50" s="1195">
        <f t="shared" si="11"/>
        <v>2.3999999999999998E-3</v>
      </c>
      <c r="I50" s="756">
        <v>0.05</v>
      </c>
      <c r="J50" s="1192">
        <f t="shared" si="12"/>
        <v>4.7999999999999996E-3</v>
      </c>
      <c r="K50" s="1192">
        <f t="shared" si="13"/>
        <v>2.3999999999999998E-3</v>
      </c>
      <c r="L50" s="1192">
        <v>0</v>
      </c>
      <c r="M50" s="1192">
        <f t="shared" si="14"/>
        <v>-2.3999999999999998E-3</v>
      </c>
      <c r="N50" s="1192">
        <f t="shared" si="14"/>
        <v>-4.7999999999999996E-3</v>
      </c>
      <c r="AA50" s="1278"/>
      <c r="AB50" s="1278"/>
      <c r="AC50" s="1278"/>
      <c r="AD50" s="1278"/>
      <c r="AE50" s="1278"/>
      <c r="AF50" s="1278"/>
      <c r="AG50" s="1278"/>
      <c r="AH50" s="1278"/>
      <c r="AI50" s="1278"/>
      <c r="AJ50" s="1278"/>
      <c r="AK50" s="1278"/>
    </row>
    <row r="51" spans="1:37" s="1277" customFormat="1" ht="36.75">
      <c r="A51" s="2327" t="s">
        <v>2771</v>
      </c>
      <c r="B51" s="2332" t="s">
        <v>2772</v>
      </c>
      <c r="C51" s="2232" t="s">
        <v>3074</v>
      </c>
      <c r="D51" s="1193">
        <f t="shared" si="10"/>
        <v>4.7999999999999996E-3</v>
      </c>
      <c r="E51" s="758"/>
      <c r="F51" s="1998"/>
      <c r="G51" s="1191">
        <f t="shared" si="15"/>
        <v>2.3999999999999998E-3</v>
      </c>
      <c r="H51" s="1195">
        <f t="shared" si="11"/>
        <v>2.3999999999999998E-3</v>
      </c>
      <c r="I51" s="756">
        <v>0.05</v>
      </c>
      <c r="J51" s="1192">
        <f t="shared" si="12"/>
        <v>4.7999999999999996E-3</v>
      </c>
      <c r="K51" s="1192">
        <f t="shared" si="13"/>
        <v>2.3999999999999998E-3</v>
      </c>
      <c r="L51" s="1192">
        <v>0</v>
      </c>
      <c r="M51" s="1192">
        <f t="shared" si="14"/>
        <v>-2.3999999999999998E-3</v>
      </c>
      <c r="N51" s="1192">
        <f t="shared" si="14"/>
        <v>-4.7999999999999996E-3</v>
      </c>
      <c r="AA51" s="1278"/>
      <c r="AB51" s="1278"/>
      <c r="AC51" s="1278"/>
      <c r="AD51" s="1278"/>
      <c r="AE51" s="1278"/>
      <c r="AF51" s="1278"/>
      <c r="AG51" s="1278"/>
      <c r="AH51" s="1278"/>
      <c r="AI51" s="1278"/>
      <c r="AJ51" s="1278"/>
      <c r="AK51" s="1278"/>
    </row>
    <row r="52" spans="1:37" s="1277" customFormat="1" ht="24">
      <c r="A52" s="2327" t="s">
        <v>2773</v>
      </c>
      <c r="B52" s="2331">
        <f>估价对象房地状况!C24</f>
        <v>0</v>
      </c>
      <c r="C52" s="2232" t="s">
        <v>3074</v>
      </c>
      <c r="D52" s="1193">
        <f t="shared" si="10"/>
        <v>7.7999999999999996E-3</v>
      </c>
      <c r="E52" s="758"/>
      <c r="F52" s="1998"/>
      <c r="G52" s="1191">
        <f t="shared" si="15"/>
        <v>3.8999999999999998E-3</v>
      </c>
      <c r="H52" s="1195">
        <f t="shared" si="11"/>
        <v>3.8999999999999998E-3</v>
      </c>
      <c r="I52" s="756">
        <v>0.08</v>
      </c>
      <c r="J52" s="1192">
        <f t="shared" si="12"/>
        <v>7.7999999999999996E-3</v>
      </c>
      <c r="K52" s="1192">
        <f t="shared" si="13"/>
        <v>3.8999999999999998E-3</v>
      </c>
      <c r="L52" s="1192">
        <v>0</v>
      </c>
      <c r="M52" s="1192">
        <f t="shared" si="14"/>
        <v>-3.8999999999999998E-3</v>
      </c>
      <c r="N52" s="1192">
        <f t="shared" si="14"/>
        <v>-7.7999999999999996E-3</v>
      </c>
      <c r="AA52" s="1278"/>
      <c r="AB52" s="1278"/>
      <c r="AC52" s="1278"/>
      <c r="AD52" s="1278"/>
      <c r="AE52" s="1278"/>
      <c r="AF52" s="1278"/>
      <c r="AG52" s="1278"/>
      <c r="AH52" s="1278"/>
      <c r="AI52" s="1278"/>
      <c r="AJ52" s="1278"/>
      <c r="AK52" s="1278"/>
    </row>
    <row r="53" spans="1:37" s="1277" customFormat="1" ht="24">
      <c r="A53" s="2327" t="s">
        <v>2774</v>
      </c>
      <c r="B53" s="2333" t="s">
        <v>2775</v>
      </c>
      <c r="C53" s="2232" t="s">
        <v>3074</v>
      </c>
      <c r="D53" s="1193">
        <f t="shared" si="10"/>
        <v>2.8E-3</v>
      </c>
      <c r="E53" s="758"/>
      <c r="F53" s="1998"/>
      <c r="G53" s="1191">
        <f t="shared" si="15"/>
        <v>1.4E-3</v>
      </c>
      <c r="H53" s="1195">
        <f t="shared" si="11"/>
        <v>1.4E-3</v>
      </c>
      <c r="I53" s="756">
        <v>0.03</v>
      </c>
      <c r="J53" s="1192">
        <f t="shared" si="12"/>
        <v>2.8E-3</v>
      </c>
      <c r="K53" s="1192">
        <f t="shared" si="13"/>
        <v>1.4E-3</v>
      </c>
      <c r="L53" s="1192">
        <v>0</v>
      </c>
      <c r="M53" s="1192">
        <f t="shared" si="14"/>
        <v>-1.4E-3</v>
      </c>
      <c r="N53" s="1192">
        <f t="shared" si="14"/>
        <v>-2.8E-3</v>
      </c>
      <c r="AA53" s="1278"/>
      <c r="AB53" s="1278"/>
      <c r="AC53" s="1278"/>
      <c r="AD53" s="1278"/>
      <c r="AE53" s="1278"/>
      <c r="AF53" s="1278"/>
      <c r="AG53" s="1278"/>
      <c r="AH53" s="1278"/>
      <c r="AI53" s="1278"/>
      <c r="AJ53" s="1278"/>
      <c r="AK53" s="1278"/>
    </row>
    <row r="54" spans="1:37" s="1277" customFormat="1" ht="25.5">
      <c r="A54" s="2334" t="s">
        <v>2776</v>
      </c>
      <c r="B54" s="1493" t="str">
        <f>估价对象房地状况!C21</f>
        <v>估价对象所在区域公共配套设施齐备情况</v>
      </c>
      <c r="C54" s="2232" t="s">
        <v>3074</v>
      </c>
      <c r="D54" s="1193">
        <f t="shared" si="10"/>
        <v>4.7999999999999996E-3</v>
      </c>
      <c r="E54" s="758"/>
      <c r="F54" s="1998"/>
      <c r="G54" s="1191">
        <f t="shared" si="15"/>
        <v>2.3999999999999998E-3</v>
      </c>
      <c r="H54" s="1195">
        <f t="shared" si="11"/>
        <v>2.3999999999999998E-3</v>
      </c>
      <c r="I54" s="756">
        <v>0.05</v>
      </c>
      <c r="J54" s="1192">
        <f t="shared" si="12"/>
        <v>4.7999999999999996E-3</v>
      </c>
      <c r="K54" s="1192">
        <f t="shared" si="13"/>
        <v>2.3999999999999998E-3</v>
      </c>
      <c r="L54" s="1192">
        <v>0</v>
      </c>
      <c r="M54" s="1192">
        <f t="shared" si="14"/>
        <v>-2.3999999999999998E-3</v>
      </c>
      <c r="N54" s="1192">
        <f t="shared" si="14"/>
        <v>-4.7999999999999996E-3</v>
      </c>
      <c r="AA54" s="1278"/>
      <c r="AB54" s="1278"/>
      <c r="AC54" s="1278"/>
      <c r="AD54" s="1278"/>
      <c r="AE54" s="1278"/>
      <c r="AF54" s="1278"/>
      <c r="AG54" s="1278"/>
      <c r="AH54" s="1278"/>
      <c r="AI54" s="1278"/>
      <c r="AJ54" s="1278"/>
      <c r="AK54" s="1278"/>
    </row>
    <row r="55" spans="1:37" s="1277" customFormat="1" ht="25.5">
      <c r="A55" s="2334" t="s">
        <v>2777</v>
      </c>
      <c r="B55" s="2331" t="str">
        <f>估价对象房地状况!C22</f>
        <v>估价对象所在区域基础设施水平</v>
      </c>
      <c r="C55" s="2232" t="s">
        <v>3074</v>
      </c>
      <c r="D55" s="1193">
        <f t="shared" si="10"/>
        <v>9.7999999999999997E-3</v>
      </c>
      <c r="E55" s="758"/>
      <c r="F55" s="1998"/>
      <c r="G55" s="1191">
        <f t="shared" si="15"/>
        <v>4.8999999999999998E-3</v>
      </c>
      <c r="H55" s="1195">
        <f t="shared" si="11"/>
        <v>4.8999999999999998E-3</v>
      </c>
      <c r="I55" s="756">
        <v>0.1</v>
      </c>
      <c r="J55" s="1192">
        <f t="shared" si="12"/>
        <v>9.7999999999999997E-3</v>
      </c>
      <c r="K55" s="1192">
        <f t="shared" si="13"/>
        <v>4.8999999999999998E-3</v>
      </c>
      <c r="L55" s="1192">
        <v>0</v>
      </c>
      <c r="M55" s="1192">
        <f t="shared" si="14"/>
        <v>-4.8999999999999998E-3</v>
      </c>
      <c r="N55" s="1192">
        <f t="shared" si="14"/>
        <v>-9.7999999999999997E-3</v>
      </c>
      <c r="AA55" s="1278"/>
      <c r="AB55" s="1278"/>
      <c r="AC55" s="1278"/>
      <c r="AD55" s="1278"/>
      <c r="AE55" s="1278"/>
      <c r="AF55" s="1278"/>
      <c r="AG55" s="1278"/>
      <c r="AH55" s="1278"/>
      <c r="AI55" s="1278"/>
      <c r="AJ55" s="1278"/>
      <c r="AK55" s="1278"/>
    </row>
    <row r="56" spans="1:37" s="1277" customFormat="1" ht="39" thickBot="1">
      <c r="A56" s="2335" t="s">
        <v>2778</v>
      </c>
      <c r="B56" s="2336" t="str">
        <f>估价对象房地状况!C20</f>
        <v>区域自然环境：；人文环境；综合评价环境状况一般</v>
      </c>
      <c r="C56" s="2232" t="s">
        <v>3074</v>
      </c>
      <c r="D56" s="1193">
        <f t="shared" si="10"/>
        <v>5.7999999999999996E-3</v>
      </c>
      <c r="E56" s="761"/>
      <c r="F56" s="1998"/>
      <c r="G56" s="1191">
        <f t="shared" si="15"/>
        <v>2.8999999999999998E-3</v>
      </c>
      <c r="H56" s="1195">
        <f t="shared" si="11"/>
        <v>2.8999999999999998E-3</v>
      </c>
      <c r="I56" s="760">
        <v>0.06</v>
      </c>
      <c r="J56" s="1192">
        <f t="shared" si="12"/>
        <v>5.7999999999999996E-3</v>
      </c>
      <c r="K56" s="1192">
        <f t="shared" si="13"/>
        <v>2.8999999999999998E-3</v>
      </c>
      <c r="L56" s="1192">
        <v>0</v>
      </c>
      <c r="M56" s="1192">
        <f t="shared" si="14"/>
        <v>-2.8999999999999998E-3</v>
      </c>
      <c r="N56" s="1192">
        <f t="shared" si="14"/>
        <v>-5.7999999999999996E-3</v>
      </c>
      <c r="AA56" s="1278"/>
      <c r="AB56" s="1278"/>
      <c r="AC56" s="1278"/>
      <c r="AD56" s="1278"/>
      <c r="AE56" s="1278"/>
      <c r="AF56" s="1278"/>
      <c r="AG56" s="1278"/>
      <c r="AH56" s="1278"/>
      <c r="AI56" s="1278"/>
      <c r="AJ56" s="1278"/>
      <c r="AK56" s="1278"/>
    </row>
    <row r="57" spans="1:37" s="1277" customFormat="1" ht="15">
      <c r="A57" s="2323" t="s">
        <v>2779</v>
      </c>
      <c r="B57" s="2324">
        <f>1+E59</f>
        <v>1</v>
      </c>
      <c r="C57" s="750"/>
      <c r="D57" s="750"/>
      <c r="E57" s="751"/>
      <c r="F57" s="2326"/>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7" t="s">
        <v>2760</v>
      </c>
      <c r="B58" s="1534"/>
      <c r="C58" s="1534" t="s">
        <v>2762</v>
      </c>
      <c r="D58" s="1534" t="s">
        <v>2763</v>
      </c>
      <c r="E58" s="755" t="s">
        <v>2764</v>
      </c>
      <c r="F58" s="2328" t="s">
        <v>2780</v>
      </c>
      <c r="G58" s="1534" t="s">
        <v>754</v>
      </c>
      <c r="H58" s="2329" t="s">
        <v>2766</v>
      </c>
      <c r="I58" s="1534" t="s">
        <v>2767</v>
      </c>
      <c r="J58" s="558" t="s">
        <v>2417</v>
      </c>
      <c r="K58" s="558" t="s">
        <v>2418</v>
      </c>
      <c r="L58" s="558" t="s">
        <v>2419</v>
      </c>
      <c r="M58" s="558" t="s">
        <v>2420</v>
      </c>
      <c r="N58" s="558" t="s">
        <v>2421</v>
      </c>
      <c r="AA58" s="1278"/>
      <c r="AB58" s="1278"/>
      <c r="AC58" s="1278"/>
      <c r="AD58" s="1278"/>
      <c r="AE58" s="1278"/>
      <c r="AF58" s="1278"/>
      <c r="AG58" s="1278"/>
      <c r="AH58" s="1278"/>
      <c r="AI58" s="1278"/>
      <c r="AJ58" s="1278"/>
      <c r="AK58" s="1278"/>
    </row>
    <row r="59" spans="1:37" s="1277" customFormat="1" ht="38.25">
      <c r="A59" s="2327" t="s">
        <v>2781</v>
      </c>
      <c r="B59" s="2330" t="str">
        <f>估价对象房地状况!C17</f>
        <v>估价对象位于XX商圈，周边办公楼项目较多，入驻率高，办公集聚程度较好</v>
      </c>
      <c r="C59" s="2232"/>
      <c r="D59" s="1193">
        <f t="shared" ref="D59:D67" si="16">SUMIF($J$58:$N$58,C59,J59:N59)</f>
        <v>0</v>
      </c>
      <c r="E59" s="757">
        <f>ROUND(SUM(D59:D67),4)</f>
        <v>0</v>
      </c>
      <c r="F59" s="1998" t="str">
        <f>IF(E2="办公",SUMIF(L1:L12,G2,N1:N12),"——")</f>
        <v>——</v>
      </c>
      <c r="G59" s="1191" t="str">
        <f>H59</f>
        <v>——</v>
      </c>
      <c r="H59" s="1195" t="str">
        <f t="shared" ref="H59:H67" si="17">IFERROR(ROUNDDOWN($F$59*I59/2,4),"——")</f>
        <v>——</v>
      </c>
      <c r="I59" s="756">
        <v>0.24</v>
      </c>
      <c r="J59" s="1192" t="e">
        <f t="shared" ref="J59:J67" si="18">K59+$G59</f>
        <v>#VALUE!</v>
      </c>
      <c r="K59" s="1192" t="e">
        <f t="shared" ref="K59:K67" si="19">$L59+$G59</f>
        <v>#VALUE!</v>
      </c>
      <c r="L59" s="1192">
        <v>0</v>
      </c>
      <c r="M59" s="1192" t="e">
        <f t="shared" ref="M59:N67" si="20">L59-$G59</f>
        <v>#VALUE!</v>
      </c>
      <c r="N59" s="1192" t="e">
        <f t="shared" si="20"/>
        <v>#VALUE!</v>
      </c>
      <c r="AA59" s="1278"/>
      <c r="AB59" s="1278"/>
      <c r="AC59" s="1278"/>
      <c r="AD59" s="1278"/>
      <c r="AE59" s="1278"/>
      <c r="AF59" s="1278"/>
      <c r="AG59" s="1278"/>
      <c r="AH59" s="1278"/>
      <c r="AI59" s="1278"/>
      <c r="AJ59" s="1278"/>
      <c r="AK59" s="1278"/>
    </row>
    <row r="60" spans="1:37" s="1277" customFormat="1" ht="51">
      <c r="A60" s="2327" t="s">
        <v>2769</v>
      </c>
      <c r="B60" s="2331" t="str">
        <f>估价对象房地状况!C18</f>
        <v>估价对象周边道路状况、公共交通通达情况、停车便捷程度，综合评价交通便捷度较好</v>
      </c>
      <c r="C60" s="2232"/>
      <c r="D60" s="1193">
        <f t="shared" si="16"/>
        <v>0</v>
      </c>
      <c r="E60" s="758"/>
      <c r="F60" s="1998"/>
      <c r="G60" s="1191" t="str">
        <f t="shared" ref="G60:G67" si="21">H60</f>
        <v>——</v>
      </c>
      <c r="H60" s="1195" t="str">
        <f t="shared" si="17"/>
        <v>——</v>
      </c>
      <c r="I60" s="756">
        <v>0.3</v>
      </c>
      <c r="J60" s="1192" t="e">
        <f t="shared" si="18"/>
        <v>#VALUE!</v>
      </c>
      <c r="K60" s="1192" t="e">
        <f t="shared" si="19"/>
        <v>#VALUE!</v>
      </c>
      <c r="L60" s="1192">
        <v>0</v>
      </c>
      <c r="M60" s="1192" t="e">
        <f t="shared" si="20"/>
        <v>#VALUE!</v>
      </c>
      <c r="N60" s="1192" t="e">
        <f t="shared" si="20"/>
        <v>#VALUE!</v>
      </c>
      <c r="AA60" s="1278"/>
      <c r="AB60" s="1278"/>
      <c r="AC60" s="1278"/>
      <c r="AD60" s="1278"/>
      <c r="AE60" s="1278"/>
      <c r="AF60" s="1278"/>
      <c r="AG60" s="1278"/>
      <c r="AH60" s="1278"/>
      <c r="AI60" s="1278"/>
      <c r="AJ60" s="1278"/>
      <c r="AK60" s="1278"/>
    </row>
    <row r="61" spans="1:37" s="1277" customFormat="1" ht="24">
      <c r="A61" s="2327" t="s">
        <v>2770</v>
      </c>
      <c r="B61" s="2331">
        <f>估价对象房地状况!C19</f>
        <v>0</v>
      </c>
      <c r="C61" s="2232"/>
      <c r="D61" s="1193">
        <f t="shared" si="16"/>
        <v>0</v>
      </c>
      <c r="E61" s="758"/>
      <c r="F61" s="1998"/>
      <c r="G61" s="1191" t="str">
        <f t="shared" si="21"/>
        <v>——</v>
      </c>
      <c r="H61" s="1195" t="str">
        <f t="shared" si="17"/>
        <v>——</v>
      </c>
      <c r="I61" s="756">
        <v>0.08</v>
      </c>
      <c r="J61" s="1192" t="e">
        <f t="shared" si="18"/>
        <v>#VALUE!</v>
      </c>
      <c r="K61" s="1192" t="e">
        <f t="shared" si="19"/>
        <v>#VALUE!</v>
      </c>
      <c r="L61" s="1192">
        <v>0</v>
      </c>
      <c r="M61" s="1192" t="e">
        <f t="shared" si="20"/>
        <v>#VALUE!</v>
      </c>
      <c r="N61" s="1192" t="e">
        <f t="shared" si="20"/>
        <v>#VALUE!</v>
      </c>
      <c r="AA61" s="1278"/>
      <c r="AB61" s="1278"/>
      <c r="AC61" s="1278"/>
      <c r="AD61" s="1278"/>
      <c r="AE61" s="1278"/>
      <c r="AF61" s="1278"/>
      <c r="AG61" s="1278"/>
      <c r="AH61" s="1278"/>
      <c r="AI61" s="1278"/>
      <c r="AJ61" s="1278"/>
      <c r="AK61" s="1278"/>
    </row>
    <row r="62" spans="1:37" s="1277" customFormat="1" ht="36.75">
      <c r="A62" s="2327" t="s">
        <v>2771</v>
      </c>
      <c r="B62" s="2332" t="s">
        <v>2772</v>
      </c>
      <c r="C62" s="2232"/>
      <c r="D62" s="1193">
        <f t="shared" si="16"/>
        <v>0</v>
      </c>
      <c r="E62" s="758"/>
      <c r="F62" s="1998"/>
      <c r="G62" s="1191" t="str">
        <f t="shared" si="21"/>
        <v>——</v>
      </c>
      <c r="H62" s="1195" t="str">
        <f t="shared" si="17"/>
        <v>——</v>
      </c>
      <c r="I62" s="756">
        <v>0.04</v>
      </c>
      <c r="J62" s="1192" t="e">
        <f t="shared" si="18"/>
        <v>#VALUE!</v>
      </c>
      <c r="K62" s="1192" t="e">
        <f t="shared" si="19"/>
        <v>#VALUE!</v>
      </c>
      <c r="L62" s="1192">
        <v>0</v>
      </c>
      <c r="M62" s="1192" t="e">
        <f t="shared" si="20"/>
        <v>#VALUE!</v>
      </c>
      <c r="N62" s="1192" t="e">
        <f t="shared" si="20"/>
        <v>#VALUE!</v>
      </c>
      <c r="AA62" s="1278"/>
      <c r="AB62" s="1278"/>
      <c r="AC62" s="1278"/>
      <c r="AD62" s="1278"/>
      <c r="AE62" s="1278"/>
      <c r="AF62" s="1278"/>
      <c r="AG62" s="1278"/>
      <c r="AH62" s="1278"/>
      <c r="AI62" s="1278"/>
      <c r="AJ62" s="1278"/>
      <c r="AK62" s="1278"/>
    </row>
    <row r="63" spans="1:37" s="1277" customFormat="1" ht="24">
      <c r="A63" s="2327" t="s">
        <v>2773</v>
      </c>
      <c r="B63" s="2331">
        <f>估价对象房地状况!C24</f>
        <v>0</v>
      </c>
      <c r="C63" s="2232"/>
      <c r="D63" s="1193">
        <f t="shared" si="16"/>
        <v>0</v>
      </c>
      <c r="E63" s="758"/>
      <c r="F63" s="1998"/>
      <c r="G63" s="1191" t="str">
        <f t="shared" si="21"/>
        <v>——</v>
      </c>
      <c r="H63" s="1195" t="str">
        <f t="shared" si="17"/>
        <v>——</v>
      </c>
      <c r="I63" s="756">
        <v>0.05</v>
      </c>
      <c r="J63" s="1192" t="e">
        <f t="shared" si="18"/>
        <v>#VALUE!</v>
      </c>
      <c r="K63" s="1192" t="e">
        <f t="shared" si="19"/>
        <v>#VALUE!</v>
      </c>
      <c r="L63" s="1192">
        <v>0</v>
      </c>
      <c r="M63" s="1192" t="e">
        <f t="shared" si="20"/>
        <v>#VALUE!</v>
      </c>
      <c r="N63" s="1192" t="e">
        <f t="shared" si="20"/>
        <v>#VALUE!</v>
      </c>
      <c r="AA63" s="1278"/>
      <c r="AB63" s="1278"/>
      <c r="AC63" s="1278"/>
      <c r="AD63" s="1278"/>
      <c r="AE63" s="1278"/>
      <c r="AF63" s="1278"/>
      <c r="AG63" s="1278"/>
      <c r="AH63" s="1278"/>
      <c r="AI63" s="1278"/>
      <c r="AJ63" s="1278"/>
      <c r="AK63" s="1278"/>
    </row>
    <row r="64" spans="1:37" s="1277" customFormat="1" ht="24">
      <c r="A64" s="2327" t="s">
        <v>2774</v>
      </c>
      <c r="B64" s="2333" t="s">
        <v>2775</v>
      </c>
      <c r="C64" s="2232"/>
      <c r="D64" s="1193">
        <f t="shared" si="16"/>
        <v>0</v>
      </c>
      <c r="E64" s="758"/>
      <c r="F64" s="1998"/>
      <c r="G64" s="1191" t="str">
        <f t="shared" si="21"/>
        <v>——</v>
      </c>
      <c r="H64" s="1195" t="str">
        <f t="shared" si="17"/>
        <v>——</v>
      </c>
      <c r="I64" s="756">
        <v>0.05</v>
      </c>
      <c r="J64" s="1192" t="e">
        <f t="shared" si="18"/>
        <v>#VALUE!</v>
      </c>
      <c r="K64" s="1192" t="e">
        <f t="shared" si="19"/>
        <v>#VALUE!</v>
      </c>
      <c r="L64" s="1192">
        <v>0</v>
      </c>
      <c r="M64" s="1192" t="e">
        <f t="shared" si="20"/>
        <v>#VALUE!</v>
      </c>
      <c r="N64" s="1192" t="e">
        <f t="shared" si="20"/>
        <v>#VALUE!</v>
      </c>
      <c r="AA64" s="1278"/>
      <c r="AB64" s="1278"/>
      <c r="AC64" s="1278"/>
      <c r="AD64" s="1278"/>
      <c r="AE64" s="1278"/>
      <c r="AF64" s="1278"/>
      <c r="AG64" s="1278"/>
      <c r="AH64" s="1278"/>
      <c r="AI64" s="1278"/>
      <c r="AJ64" s="1278"/>
      <c r="AK64" s="1278"/>
    </row>
    <row r="65" spans="1:37" s="1277" customFormat="1" ht="25.5">
      <c r="A65" s="2327" t="s">
        <v>2776</v>
      </c>
      <c r="B65" s="1493" t="str">
        <f>估价对象房地状况!C21</f>
        <v>估价对象所在区域公共配套设施齐备情况</v>
      </c>
      <c r="C65" s="2232"/>
      <c r="D65" s="1193">
        <f t="shared" si="16"/>
        <v>0</v>
      </c>
      <c r="E65" s="758"/>
      <c r="F65" s="1998"/>
      <c r="G65" s="1191" t="str">
        <f t="shared" si="21"/>
        <v>——</v>
      </c>
      <c r="H65" s="1195" t="str">
        <f t="shared" si="17"/>
        <v>——</v>
      </c>
      <c r="I65" s="756">
        <v>0.06</v>
      </c>
      <c r="J65" s="1192" t="e">
        <f t="shared" si="18"/>
        <v>#VALUE!</v>
      </c>
      <c r="K65" s="1192" t="e">
        <f t="shared" si="19"/>
        <v>#VALUE!</v>
      </c>
      <c r="L65" s="1192">
        <v>0</v>
      </c>
      <c r="M65" s="1192" t="e">
        <f t="shared" si="20"/>
        <v>#VALUE!</v>
      </c>
      <c r="N65" s="1192" t="e">
        <f t="shared" si="20"/>
        <v>#VALUE!</v>
      </c>
      <c r="AA65" s="1278"/>
      <c r="AB65" s="1278"/>
      <c r="AC65" s="1278"/>
      <c r="AD65" s="1278"/>
      <c r="AE65" s="1278"/>
      <c r="AF65" s="1278"/>
      <c r="AG65" s="1278"/>
      <c r="AH65" s="1278"/>
      <c r="AI65" s="1278"/>
      <c r="AJ65" s="1278"/>
      <c r="AK65" s="1278"/>
    </row>
    <row r="66" spans="1:37" s="1277" customFormat="1" ht="25.5">
      <c r="A66" s="2327" t="s">
        <v>2777</v>
      </c>
      <c r="B66" s="1493" t="str">
        <f>估价对象房地状况!C22</f>
        <v>估价对象所在区域基础设施水平</v>
      </c>
      <c r="C66" s="2232"/>
      <c r="D66" s="1193">
        <f t="shared" si="16"/>
        <v>0</v>
      </c>
      <c r="E66" s="758"/>
      <c r="F66" s="1998"/>
      <c r="G66" s="1191" t="str">
        <f t="shared" si="21"/>
        <v>——</v>
      </c>
      <c r="H66" s="1195" t="str">
        <f t="shared" si="17"/>
        <v>——</v>
      </c>
      <c r="I66" s="756">
        <v>0.12</v>
      </c>
      <c r="J66" s="1192" t="e">
        <f t="shared" si="18"/>
        <v>#VALUE!</v>
      </c>
      <c r="K66" s="1192" t="e">
        <f t="shared" si="19"/>
        <v>#VALUE!</v>
      </c>
      <c r="L66" s="1192">
        <v>0</v>
      </c>
      <c r="M66" s="1192" t="e">
        <f t="shared" si="20"/>
        <v>#VALUE!</v>
      </c>
      <c r="N66" s="1192" t="e">
        <f t="shared" si="20"/>
        <v>#VALUE!</v>
      </c>
      <c r="AA66" s="1278"/>
      <c r="AB66" s="1278"/>
      <c r="AC66" s="1278"/>
      <c r="AD66" s="1278"/>
      <c r="AE66" s="1278"/>
      <c r="AF66" s="1278"/>
      <c r="AG66" s="1278"/>
      <c r="AH66" s="1278"/>
      <c r="AI66" s="1278"/>
      <c r="AJ66" s="1278"/>
      <c r="AK66" s="1278"/>
    </row>
    <row r="67" spans="1:37" s="1277" customFormat="1" ht="39" thickBot="1">
      <c r="A67" s="2335" t="s">
        <v>2778</v>
      </c>
      <c r="B67" s="2337" t="str">
        <f>估价对象房地状况!C20</f>
        <v>区域自然环境：；人文环境；综合评价环境状况一般</v>
      </c>
      <c r="C67" s="2232"/>
      <c r="D67" s="1193">
        <f t="shared" si="16"/>
        <v>0</v>
      </c>
      <c r="E67" s="761"/>
      <c r="F67" s="1998"/>
      <c r="G67" s="1191" t="str">
        <f t="shared" si="21"/>
        <v>——</v>
      </c>
      <c r="H67" s="1195" t="str">
        <f t="shared" si="17"/>
        <v>——</v>
      </c>
      <c r="I67" s="760">
        <v>0.06</v>
      </c>
      <c r="J67" s="1192" t="e">
        <f t="shared" si="18"/>
        <v>#VALUE!</v>
      </c>
      <c r="K67" s="1192" t="e">
        <f t="shared" si="19"/>
        <v>#VALUE!</v>
      </c>
      <c r="L67" s="1192">
        <v>0</v>
      </c>
      <c r="M67" s="1192" t="e">
        <f t="shared" si="20"/>
        <v>#VALUE!</v>
      </c>
      <c r="N67" s="1192" t="e">
        <f t="shared" si="20"/>
        <v>#VALUE!</v>
      </c>
      <c r="AA67" s="1278"/>
      <c r="AB67" s="1278"/>
      <c r="AC67" s="1278"/>
      <c r="AD67" s="1278"/>
      <c r="AE67" s="1278"/>
      <c r="AF67" s="1278"/>
      <c r="AG67" s="1278"/>
      <c r="AH67" s="1278"/>
      <c r="AI67" s="1278"/>
      <c r="AJ67" s="1278"/>
      <c r="AK67" s="1278"/>
    </row>
    <row r="68" spans="1:37" s="1277" customFormat="1" ht="15">
      <c r="A68" s="2323" t="s">
        <v>2782</v>
      </c>
      <c r="B68" s="2324">
        <f>1+E70</f>
        <v>1</v>
      </c>
      <c r="C68" s="750"/>
      <c r="D68" s="750"/>
      <c r="E68" s="751"/>
      <c r="F68" s="2326"/>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7" t="s">
        <v>2760</v>
      </c>
      <c r="B69" s="1534"/>
      <c r="C69" s="1534" t="s">
        <v>2762</v>
      </c>
      <c r="D69" s="1534" t="s">
        <v>2763</v>
      </c>
      <c r="E69" s="755" t="s">
        <v>2764</v>
      </c>
      <c r="F69" s="2328" t="s">
        <v>2780</v>
      </c>
      <c r="G69" s="1534" t="s">
        <v>754</v>
      </c>
      <c r="H69" s="2329" t="s">
        <v>2766</v>
      </c>
      <c r="I69" s="1534" t="s">
        <v>2767</v>
      </c>
      <c r="J69" s="558" t="s">
        <v>2417</v>
      </c>
      <c r="K69" s="558" t="s">
        <v>2418</v>
      </c>
      <c r="L69" s="558" t="s">
        <v>2419</v>
      </c>
      <c r="M69" s="558" t="s">
        <v>2420</v>
      </c>
      <c r="N69" s="558" t="s">
        <v>2421</v>
      </c>
      <c r="AA69" s="1278"/>
      <c r="AB69" s="1278"/>
      <c r="AC69" s="1278"/>
      <c r="AD69" s="1278"/>
      <c r="AE69" s="1278"/>
      <c r="AF69" s="1278"/>
      <c r="AG69" s="1278"/>
      <c r="AH69" s="1278"/>
      <c r="AI69" s="1278"/>
      <c r="AJ69" s="1278"/>
      <c r="AK69" s="1278"/>
    </row>
    <row r="70" spans="1:37" s="1277" customFormat="1" ht="51">
      <c r="A70" s="2327" t="s">
        <v>2783</v>
      </c>
      <c r="B70" s="2330" t="str">
        <f>估价对象房地状况!C15</f>
        <v>估价对象周边居住用地比例、居住小区规模和社区发展完善程度，综合评价居住社区成熟度一般</v>
      </c>
      <c r="C70" s="2232"/>
      <c r="D70" s="1193">
        <f t="shared" ref="D70:D78" si="22">SUMIF($J$69:$N$69,C70,J70:N70)</f>
        <v>0</v>
      </c>
      <c r="E70" s="757">
        <f>ROUND(SUM(D70:D78),4)</f>
        <v>0</v>
      </c>
      <c r="F70" s="1998" t="str">
        <f>IF(E2="住宅",SUMIF(L1:L12,G2,N1:N12),"——")</f>
        <v>——</v>
      </c>
      <c r="G70" s="1191" t="str">
        <f>H70</f>
        <v>——</v>
      </c>
      <c r="H70" s="1195" t="str">
        <f t="shared" ref="H70:H78" si="23">IFERROR(ROUNDDOWN($F$70*I70/2,4),"——")</f>
        <v>——</v>
      </c>
      <c r="I70" s="756">
        <v>0.14000000000000001</v>
      </c>
      <c r="J70" s="1192" t="e">
        <f t="shared" ref="J70:J78" si="24">K70+$G70</f>
        <v>#VALUE!</v>
      </c>
      <c r="K70" s="1192" t="e">
        <f t="shared" ref="K70:K78" si="25">$L70+$G70</f>
        <v>#VALUE!</v>
      </c>
      <c r="L70" s="1192">
        <v>0</v>
      </c>
      <c r="M70" s="1192" t="e">
        <f t="shared" ref="M70:N78" si="26">L70-$G70</f>
        <v>#VALUE!</v>
      </c>
      <c r="N70" s="1192" t="e">
        <f t="shared" si="26"/>
        <v>#VALUE!</v>
      </c>
      <c r="AA70" s="1278"/>
      <c r="AB70" s="1278"/>
      <c r="AC70" s="1278"/>
      <c r="AD70" s="1278"/>
      <c r="AE70" s="1278"/>
      <c r="AF70" s="1278"/>
      <c r="AG70" s="1278"/>
      <c r="AH70" s="1278"/>
      <c r="AI70" s="1278"/>
      <c r="AJ70" s="1278"/>
      <c r="AK70" s="1278"/>
    </row>
    <row r="71" spans="1:37" s="1277" customFormat="1" ht="51">
      <c r="A71" s="2327" t="s">
        <v>2769</v>
      </c>
      <c r="B71" s="2331" t="str">
        <f>估价对象房地状况!C18</f>
        <v>估价对象周边道路状况、公共交通通达情况、停车便捷程度，综合评价交通便捷度较好</v>
      </c>
      <c r="C71" s="2232"/>
      <c r="D71" s="1193">
        <f t="shared" si="22"/>
        <v>0</v>
      </c>
      <c r="E71" s="762"/>
      <c r="F71" s="1998"/>
      <c r="G71" s="1191" t="str">
        <f t="shared" ref="G71:G77" si="27">H71</f>
        <v>——</v>
      </c>
      <c r="H71" s="1195" t="str">
        <f t="shared" si="23"/>
        <v>——</v>
      </c>
      <c r="I71" s="756">
        <v>0.3</v>
      </c>
      <c r="J71" s="1192" t="e">
        <f t="shared" si="24"/>
        <v>#VALUE!</v>
      </c>
      <c r="K71" s="1192" t="e">
        <f t="shared" si="25"/>
        <v>#VALUE!</v>
      </c>
      <c r="L71" s="1192">
        <v>0</v>
      </c>
      <c r="M71" s="1192" t="e">
        <f t="shared" si="26"/>
        <v>#VALUE!</v>
      </c>
      <c r="N71" s="1192" t="e">
        <f t="shared" si="26"/>
        <v>#VALUE!</v>
      </c>
      <c r="AA71" s="1278"/>
      <c r="AB71" s="1278"/>
      <c r="AC71" s="1278"/>
      <c r="AD71" s="1278"/>
      <c r="AE71" s="1278"/>
      <c r="AF71" s="1278"/>
      <c r="AG71" s="1278"/>
      <c r="AH71" s="1278"/>
      <c r="AI71" s="1278"/>
      <c r="AJ71" s="1278"/>
      <c r="AK71" s="1278"/>
    </row>
    <row r="72" spans="1:37" s="1277" customFormat="1" ht="24">
      <c r="A72" s="2327" t="s">
        <v>2770</v>
      </c>
      <c r="B72" s="2331">
        <f>估价对象房地状况!C19</f>
        <v>0</v>
      </c>
      <c r="C72" s="2232"/>
      <c r="D72" s="1193">
        <f t="shared" si="22"/>
        <v>0</v>
      </c>
      <c r="E72" s="762"/>
      <c r="F72" s="1998"/>
      <c r="G72" s="1191" t="str">
        <f t="shared" si="27"/>
        <v>——</v>
      </c>
      <c r="H72" s="1195" t="str">
        <f t="shared" si="23"/>
        <v>——</v>
      </c>
      <c r="I72" s="756">
        <v>0.08</v>
      </c>
      <c r="J72" s="1192" t="e">
        <f t="shared" si="24"/>
        <v>#VALUE!</v>
      </c>
      <c r="K72" s="1192" t="e">
        <f t="shared" si="25"/>
        <v>#VALUE!</v>
      </c>
      <c r="L72" s="1192">
        <v>0</v>
      </c>
      <c r="M72" s="1192" t="e">
        <f t="shared" si="26"/>
        <v>#VALUE!</v>
      </c>
      <c r="N72" s="1192" t="e">
        <f t="shared" si="26"/>
        <v>#VALUE!</v>
      </c>
      <c r="AA72" s="1278"/>
      <c r="AB72" s="1278"/>
      <c r="AC72" s="1278"/>
      <c r="AD72" s="1278"/>
      <c r="AE72" s="1278"/>
      <c r="AF72" s="1278"/>
      <c r="AG72" s="1278"/>
      <c r="AH72" s="1278"/>
      <c r="AI72" s="1278"/>
      <c r="AJ72" s="1278"/>
      <c r="AK72" s="1278"/>
    </row>
    <row r="73" spans="1:37" s="1277" customFormat="1" ht="14.25">
      <c r="A73" s="2327" t="s">
        <v>2784</v>
      </c>
      <c r="B73" s="2331">
        <f>估价对象房地状况!C24</f>
        <v>0</v>
      </c>
      <c r="C73" s="2232"/>
      <c r="D73" s="1193">
        <f t="shared" si="22"/>
        <v>0</v>
      </c>
      <c r="E73" s="762"/>
      <c r="F73" s="1998"/>
      <c r="G73" s="1191" t="str">
        <f t="shared" si="27"/>
        <v>——</v>
      </c>
      <c r="H73" s="1195" t="str">
        <f t="shared" si="23"/>
        <v>——</v>
      </c>
      <c r="I73" s="756">
        <v>0.04</v>
      </c>
      <c r="J73" s="1192" t="e">
        <f t="shared" si="24"/>
        <v>#VALUE!</v>
      </c>
      <c r="K73" s="1192" t="e">
        <f t="shared" si="25"/>
        <v>#VALUE!</v>
      </c>
      <c r="L73" s="1192">
        <v>0</v>
      </c>
      <c r="M73" s="1192" t="e">
        <f t="shared" si="26"/>
        <v>#VALUE!</v>
      </c>
      <c r="N73" s="1192" t="e">
        <f t="shared" si="26"/>
        <v>#VALUE!</v>
      </c>
      <c r="AA73" s="1278"/>
      <c r="AB73" s="1278"/>
      <c r="AC73" s="1278"/>
      <c r="AD73" s="1278"/>
      <c r="AE73" s="1278"/>
      <c r="AF73" s="1278"/>
      <c r="AG73" s="1278"/>
      <c r="AH73" s="1278"/>
      <c r="AI73" s="1278"/>
      <c r="AJ73" s="1278"/>
      <c r="AK73" s="1278"/>
    </row>
    <row r="74" spans="1:37" s="1277" customFormat="1" ht="25.5">
      <c r="A74" s="2327" t="s">
        <v>2776</v>
      </c>
      <c r="B74" s="1493" t="str">
        <f>估价对象房地状况!C21</f>
        <v>估价对象所在区域公共配套设施齐备情况</v>
      </c>
      <c r="C74" s="2232"/>
      <c r="D74" s="1193">
        <f t="shared" si="22"/>
        <v>0</v>
      </c>
      <c r="E74" s="762"/>
      <c r="F74" s="1998"/>
      <c r="G74" s="1191" t="str">
        <f t="shared" si="27"/>
        <v>——</v>
      </c>
      <c r="H74" s="1195" t="str">
        <f t="shared" si="23"/>
        <v>——</v>
      </c>
      <c r="I74" s="756">
        <v>0.08</v>
      </c>
      <c r="J74" s="1192" t="e">
        <f t="shared" si="24"/>
        <v>#VALUE!</v>
      </c>
      <c r="K74" s="1192" t="e">
        <f t="shared" si="25"/>
        <v>#VALUE!</v>
      </c>
      <c r="L74" s="1192">
        <v>0</v>
      </c>
      <c r="M74" s="1192" t="e">
        <f t="shared" si="26"/>
        <v>#VALUE!</v>
      </c>
      <c r="N74" s="1192" t="e">
        <f t="shared" si="26"/>
        <v>#VALUE!</v>
      </c>
      <c r="AA74" s="1278"/>
      <c r="AB74" s="1278"/>
      <c r="AC74" s="1278"/>
      <c r="AD74" s="1278"/>
      <c r="AE74" s="1278"/>
      <c r="AF74" s="1278"/>
      <c r="AG74" s="1278"/>
      <c r="AH74" s="1278"/>
      <c r="AI74" s="1278"/>
      <c r="AJ74" s="1278"/>
      <c r="AK74" s="1278"/>
    </row>
    <row r="75" spans="1:37" s="1277" customFormat="1" ht="25.5">
      <c r="A75" s="2327" t="s">
        <v>2777</v>
      </c>
      <c r="B75" s="1493" t="str">
        <f>估价对象房地状况!C22</f>
        <v>估价对象所在区域基础设施水平</v>
      </c>
      <c r="C75" s="2232"/>
      <c r="D75" s="1193">
        <f t="shared" si="22"/>
        <v>0</v>
      </c>
      <c r="E75" s="762"/>
      <c r="F75" s="1998"/>
      <c r="G75" s="1191" t="str">
        <f t="shared" si="27"/>
        <v>——</v>
      </c>
      <c r="H75" s="1195" t="str">
        <f t="shared" si="23"/>
        <v>——</v>
      </c>
      <c r="I75" s="756">
        <v>0.12</v>
      </c>
      <c r="J75" s="1192" t="e">
        <f t="shared" si="24"/>
        <v>#VALUE!</v>
      </c>
      <c r="K75" s="1192" t="e">
        <f t="shared" si="25"/>
        <v>#VALUE!</v>
      </c>
      <c r="L75" s="1192">
        <v>0</v>
      </c>
      <c r="M75" s="1192" t="e">
        <f t="shared" si="26"/>
        <v>#VALUE!</v>
      </c>
      <c r="N75" s="1192" t="e">
        <f t="shared" si="26"/>
        <v>#VALUE!</v>
      </c>
      <c r="AA75" s="1278"/>
      <c r="AB75" s="1278"/>
      <c r="AC75" s="1278"/>
      <c r="AD75" s="1278"/>
      <c r="AE75" s="1278"/>
      <c r="AF75" s="1278"/>
      <c r="AG75" s="1278"/>
      <c r="AH75" s="1278"/>
      <c r="AI75" s="1278"/>
      <c r="AJ75" s="1278"/>
      <c r="AK75" s="1278"/>
    </row>
    <row r="76" spans="1:37" s="2181" customFormat="1" ht="24">
      <c r="A76" s="2327" t="s">
        <v>2774</v>
      </c>
      <c r="B76" s="2333" t="s">
        <v>2775</v>
      </c>
      <c r="C76" s="2232"/>
      <c r="D76" s="1193">
        <f t="shared" si="22"/>
        <v>0</v>
      </c>
      <c r="E76" s="762"/>
      <c r="F76" s="1998"/>
      <c r="G76" s="1191" t="str">
        <f t="shared" si="27"/>
        <v>——</v>
      </c>
      <c r="H76" s="1195" t="str">
        <f t="shared" si="23"/>
        <v>——</v>
      </c>
      <c r="I76" s="756">
        <v>0.05</v>
      </c>
      <c r="J76" s="1192" t="e">
        <f t="shared" si="24"/>
        <v>#VALUE!</v>
      </c>
      <c r="K76" s="1192" t="e">
        <f t="shared" si="25"/>
        <v>#VALUE!</v>
      </c>
      <c r="L76" s="1192">
        <v>0</v>
      </c>
      <c r="M76" s="1192" t="e">
        <f t="shared" si="26"/>
        <v>#VALUE!</v>
      </c>
      <c r="N76" s="1192" t="e">
        <f t="shared" si="26"/>
        <v>#VALUE!</v>
      </c>
      <c r="AA76" s="2338"/>
      <c r="AB76" s="1278"/>
      <c r="AC76" s="1278"/>
      <c r="AD76" s="1278"/>
      <c r="AE76" s="1278"/>
      <c r="AF76" s="1278"/>
      <c r="AG76" s="1278"/>
      <c r="AH76" s="2338"/>
      <c r="AI76" s="2338"/>
      <c r="AJ76" s="2338"/>
      <c r="AK76" s="2338"/>
    </row>
    <row r="77" spans="1:37" ht="38.25">
      <c r="A77" s="2327" t="s">
        <v>2778</v>
      </c>
      <c r="B77" s="2330" t="str">
        <f>估价对象房地状况!C20</f>
        <v>区域自然环境：；人文环境；综合评价环境状况一般</v>
      </c>
      <c r="C77" s="2232"/>
      <c r="D77" s="1193">
        <f t="shared" si="22"/>
        <v>0</v>
      </c>
      <c r="E77" s="762"/>
      <c r="F77" s="1998"/>
      <c r="G77" s="1191" t="str">
        <f t="shared" si="27"/>
        <v>——</v>
      </c>
      <c r="H77" s="1195" t="str">
        <f t="shared" si="23"/>
        <v>——</v>
      </c>
      <c r="I77" s="756">
        <v>0.15</v>
      </c>
      <c r="J77" s="1192" t="e">
        <f t="shared" si="24"/>
        <v>#VALUE!</v>
      </c>
      <c r="K77" s="1192" t="e">
        <f t="shared" si="25"/>
        <v>#VALUE!</v>
      </c>
      <c r="L77" s="1192">
        <v>0</v>
      </c>
      <c r="M77" s="1192" t="e">
        <f t="shared" si="26"/>
        <v>#VALUE!</v>
      </c>
      <c r="N77" s="1192" t="e">
        <f t="shared" si="26"/>
        <v>#VALUE!</v>
      </c>
      <c r="Z77" s="2182"/>
      <c r="AA77" s="2248"/>
      <c r="AG77" s="1279"/>
      <c r="AK77" s="2248"/>
    </row>
    <row r="78" spans="1:37" ht="24.75" thickBot="1">
      <c r="A78" s="2335" t="s">
        <v>2785</v>
      </c>
      <c r="B78" s="2339"/>
      <c r="C78" s="2232"/>
      <c r="D78" s="1193">
        <f t="shared" si="22"/>
        <v>0</v>
      </c>
      <c r="E78" s="763"/>
      <c r="F78" s="1998"/>
      <c r="G78" s="1191" t="str">
        <f>H78</f>
        <v>——</v>
      </c>
      <c r="H78" s="1195" t="str">
        <f t="shared" si="23"/>
        <v>——</v>
      </c>
      <c r="I78" s="760">
        <v>0.04</v>
      </c>
      <c r="J78" s="1192" t="e">
        <f t="shared" si="24"/>
        <v>#VALUE!</v>
      </c>
      <c r="K78" s="1192" t="e">
        <f t="shared" si="25"/>
        <v>#VALUE!</v>
      </c>
      <c r="L78" s="1192">
        <v>0</v>
      </c>
      <c r="M78" s="1192" t="e">
        <f t="shared" si="26"/>
        <v>#VALUE!</v>
      </c>
      <c r="N78" s="1192" t="e">
        <f t="shared" si="26"/>
        <v>#VALUE!</v>
      </c>
      <c r="Z78" s="2182"/>
      <c r="AA78" s="2248"/>
      <c r="AG78" s="1279"/>
      <c r="AK78" s="2248"/>
    </row>
    <row r="79" spans="1:37" ht="15">
      <c r="A79" s="2323" t="s">
        <v>2786</v>
      </c>
      <c r="B79" s="2324">
        <f>1+E81</f>
        <v>1</v>
      </c>
      <c r="C79" s="750"/>
      <c r="D79" s="750"/>
      <c r="E79" s="751"/>
      <c r="F79" s="2326"/>
      <c r="G79" s="6"/>
      <c r="H79" s="6"/>
      <c r="I79" s="6"/>
      <c r="J79" s="7"/>
      <c r="K79" s="7"/>
      <c r="L79" s="7"/>
      <c r="M79" s="7"/>
      <c r="N79" s="7"/>
      <c r="Z79" s="2182"/>
      <c r="AA79" s="2248"/>
      <c r="AG79" s="1279"/>
      <c r="AK79" s="2248"/>
    </row>
    <row r="80" spans="1:37" ht="24.75">
      <c r="A80" s="2327" t="s">
        <v>2760</v>
      </c>
      <c r="B80" s="1534"/>
      <c r="C80" s="1534" t="s">
        <v>2762</v>
      </c>
      <c r="D80" s="1534" t="s">
        <v>2763</v>
      </c>
      <c r="E80" s="755" t="s">
        <v>2764</v>
      </c>
      <c r="F80" s="2328" t="s">
        <v>2780</v>
      </c>
      <c r="G80" s="1534" t="s">
        <v>754</v>
      </c>
      <c r="H80" s="2329" t="s">
        <v>2766</v>
      </c>
      <c r="I80" s="1534" t="s">
        <v>2767</v>
      </c>
      <c r="J80" s="558" t="s">
        <v>2417</v>
      </c>
      <c r="K80" s="558" t="s">
        <v>2418</v>
      </c>
      <c r="L80" s="558" t="s">
        <v>2419</v>
      </c>
      <c r="M80" s="558" t="s">
        <v>2420</v>
      </c>
      <c r="N80" s="558" t="s">
        <v>2421</v>
      </c>
      <c r="Z80" s="2182"/>
      <c r="AA80" s="2248"/>
      <c r="AG80" s="1279"/>
      <c r="AK80" s="2248"/>
    </row>
    <row r="81" spans="1:37" ht="38.25">
      <c r="A81" s="2327" t="s">
        <v>2787</v>
      </c>
      <c r="B81" s="2331" t="str">
        <f>估价对象房地状况!G15</f>
        <v>估价对象位于XX开发区，园区建设成熟度XX，产业集聚程度XX</v>
      </c>
      <c r="C81" s="2232"/>
      <c r="D81" s="1193">
        <f t="shared" ref="D81:D88" si="28">SUMIF($J$80:$N$80,C81,J81:N81)</f>
        <v>0</v>
      </c>
      <c r="E81" s="757">
        <f>ROUND(SUM(D81:D88),4)</f>
        <v>0</v>
      </c>
      <c r="F81" s="1998" t="str">
        <f>IF(E2="工业",SUMIF(L1:L12,G2,N1:N12),"——")</f>
        <v>——</v>
      </c>
      <c r="G81" s="1191"/>
      <c r="H81" s="1195" t="str">
        <f t="shared" ref="H81:H88" si="29">IFERROR(ROUNDDOWN($F$81*I81/2,4),"——")</f>
        <v>——</v>
      </c>
      <c r="I81" s="756">
        <v>0.26</v>
      </c>
      <c r="J81" s="1192">
        <f t="shared" ref="J81:J88" si="30">K81+$G81</f>
        <v>0</v>
      </c>
      <c r="K81" s="1192">
        <f t="shared" ref="K81:K88" si="31">$L81+$G81</f>
        <v>0</v>
      </c>
      <c r="L81" s="1192">
        <v>0</v>
      </c>
      <c r="M81" s="1192">
        <f t="shared" ref="M81:N88" si="32">L81-$G81</f>
        <v>0</v>
      </c>
      <c r="N81" s="1192">
        <f t="shared" si="32"/>
        <v>0</v>
      </c>
      <c r="Z81" s="2182"/>
      <c r="AA81" s="2248"/>
      <c r="AG81" s="1279"/>
      <c r="AK81" s="2248"/>
    </row>
    <row r="82" spans="1:37" ht="51">
      <c r="A82" s="2327" t="s">
        <v>2769</v>
      </c>
      <c r="B82" s="2331" t="str">
        <f>估价对象房地状况!G16</f>
        <v>估价对象周边道路状况、公共交通通达情况、停车便捷程度，综合评价交通便捷度较好</v>
      </c>
      <c r="C82" s="2232"/>
      <c r="D82" s="1193">
        <f t="shared" si="28"/>
        <v>0</v>
      </c>
      <c r="E82" s="762"/>
      <c r="F82" s="1998"/>
      <c r="G82" s="1191"/>
      <c r="H82" s="1195" t="str">
        <f t="shared" si="29"/>
        <v>——</v>
      </c>
      <c r="I82" s="756">
        <v>0.33</v>
      </c>
      <c r="J82" s="1192">
        <f t="shared" si="30"/>
        <v>0</v>
      </c>
      <c r="K82" s="1192">
        <f t="shared" si="31"/>
        <v>0</v>
      </c>
      <c r="L82" s="1192">
        <v>0</v>
      </c>
      <c r="M82" s="1192">
        <f t="shared" si="32"/>
        <v>0</v>
      </c>
      <c r="N82" s="1192">
        <f t="shared" si="32"/>
        <v>0</v>
      </c>
      <c r="Z82" s="2182"/>
      <c r="AA82" s="2248"/>
      <c r="AG82" s="1279"/>
      <c r="AK82" s="2248"/>
    </row>
    <row r="83" spans="1:37" ht="24">
      <c r="A83" s="2327" t="s">
        <v>2770</v>
      </c>
      <c r="B83" s="2331">
        <f>估价对象房地状况!G17</f>
        <v>0</v>
      </c>
      <c r="C83" s="2232"/>
      <c r="D83" s="1193">
        <f t="shared" si="28"/>
        <v>0</v>
      </c>
      <c r="E83" s="762"/>
      <c r="F83" s="1998"/>
      <c r="G83" s="1191"/>
      <c r="H83" s="1195" t="str">
        <f t="shared" si="29"/>
        <v>——</v>
      </c>
      <c r="I83" s="756">
        <v>0.05</v>
      </c>
      <c r="J83" s="1192">
        <f t="shared" si="30"/>
        <v>0</v>
      </c>
      <c r="K83" s="1192">
        <f t="shared" si="31"/>
        <v>0</v>
      </c>
      <c r="L83" s="1192">
        <v>0</v>
      </c>
      <c r="M83" s="1192">
        <f t="shared" si="32"/>
        <v>0</v>
      </c>
      <c r="N83" s="1192">
        <f t="shared" si="32"/>
        <v>0</v>
      </c>
      <c r="Z83" s="2182"/>
      <c r="AA83" s="2248"/>
      <c r="AG83" s="1279"/>
      <c r="AK83" s="2248"/>
    </row>
    <row r="84" spans="1:37" ht="14.25">
      <c r="A84" s="2327" t="s">
        <v>2784</v>
      </c>
      <c r="B84" s="2331">
        <f>估价对象房地状况!G22</f>
        <v>0</v>
      </c>
      <c r="C84" s="2232"/>
      <c r="D84" s="1193">
        <f t="shared" si="28"/>
        <v>0</v>
      </c>
      <c r="E84" s="762"/>
      <c r="F84" s="1998"/>
      <c r="G84" s="1191"/>
      <c r="H84" s="1195" t="str">
        <f t="shared" si="29"/>
        <v>——</v>
      </c>
      <c r="I84" s="756">
        <v>0.04</v>
      </c>
      <c r="J84" s="1192">
        <f t="shared" si="30"/>
        <v>0</v>
      </c>
      <c r="K84" s="1192">
        <f t="shared" si="31"/>
        <v>0</v>
      </c>
      <c r="L84" s="1192">
        <v>0</v>
      </c>
      <c r="M84" s="1192">
        <f t="shared" si="32"/>
        <v>0</v>
      </c>
      <c r="N84" s="1192">
        <f t="shared" si="32"/>
        <v>0</v>
      </c>
      <c r="Z84" s="2182"/>
      <c r="AA84" s="2248"/>
      <c r="AG84" s="1279"/>
      <c r="AK84" s="2248"/>
    </row>
    <row r="85" spans="1:37" ht="25.5">
      <c r="A85" s="2327" t="s">
        <v>2776</v>
      </c>
      <c r="B85" s="1493" t="str">
        <f>估价对象房地状况!G19</f>
        <v>估价对象所在区域公共配套设施齐备情况</v>
      </c>
      <c r="C85" s="2232"/>
      <c r="D85" s="1193">
        <f t="shared" si="28"/>
        <v>0</v>
      </c>
      <c r="E85" s="762"/>
      <c r="F85" s="1998"/>
      <c r="G85" s="1191"/>
      <c r="H85" s="1195" t="str">
        <f t="shared" si="29"/>
        <v>——</v>
      </c>
      <c r="I85" s="756">
        <v>0.06</v>
      </c>
      <c r="J85" s="1192">
        <f t="shared" si="30"/>
        <v>0</v>
      </c>
      <c r="K85" s="1192">
        <f t="shared" si="31"/>
        <v>0</v>
      </c>
      <c r="L85" s="1192">
        <v>0</v>
      </c>
      <c r="M85" s="1192">
        <f t="shared" si="32"/>
        <v>0</v>
      </c>
      <c r="N85" s="1192">
        <f t="shared" si="32"/>
        <v>0</v>
      </c>
      <c r="Z85" s="2182"/>
      <c r="AA85" s="2248"/>
      <c r="AG85" s="1279"/>
      <c r="AK85" s="2248"/>
    </row>
    <row r="86" spans="1:37" ht="25.5">
      <c r="A86" s="2327" t="s">
        <v>2777</v>
      </c>
      <c r="B86" s="1493" t="str">
        <f>估价对象房地状况!G20</f>
        <v>估价对象所在区域基础设施水平</v>
      </c>
      <c r="C86" s="2232"/>
      <c r="D86" s="1193">
        <f t="shared" si="28"/>
        <v>0</v>
      </c>
      <c r="E86" s="762"/>
      <c r="F86" s="1998"/>
      <c r="G86" s="1191"/>
      <c r="H86" s="1195" t="str">
        <f t="shared" si="29"/>
        <v>——</v>
      </c>
      <c r="I86" s="756">
        <v>0.15</v>
      </c>
      <c r="J86" s="1192">
        <f t="shared" si="30"/>
        <v>0</v>
      </c>
      <c r="K86" s="1192">
        <f t="shared" si="31"/>
        <v>0</v>
      </c>
      <c r="L86" s="1192">
        <v>0</v>
      </c>
      <c r="M86" s="1192">
        <f t="shared" si="32"/>
        <v>0</v>
      </c>
      <c r="N86" s="1192">
        <f t="shared" si="32"/>
        <v>0</v>
      </c>
      <c r="Z86" s="2182"/>
      <c r="AA86" s="2248"/>
      <c r="AG86" s="1279"/>
      <c r="AK86" s="2248"/>
    </row>
    <row r="87" spans="1:37" ht="24">
      <c r="A87" s="2327" t="s">
        <v>2774</v>
      </c>
      <c r="B87" s="2333" t="s">
        <v>2788</v>
      </c>
      <c r="C87" s="2232"/>
      <c r="D87" s="1193">
        <f t="shared" si="28"/>
        <v>0</v>
      </c>
      <c r="E87" s="762"/>
      <c r="F87" s="1998"/>
      <c r="G87" s="1191"/>
      <c r="H87" s="1195" t="str">
        <f t="shared" si="29"/>
        <v>——</v>
      </c>
      <c r="I87" s="756">
        <v>0.05</v>
      </c>
      <c r="J87" s="1192">
        <f t="shared" si="30"/>
        <v>0</v>
      </c>
      <c r="K87" s="1192">
        <f t="shared" si="31"/>
        <v>0</v>
      </c>
      <c r="L87" s="1192">
        <v>0</v>
      </c>
      <c r="M87" s="1192">
        <f t="shared" si="32"/>
        <v>0</v>
      </c>
      <c r="N87" s="1192">
        <f t="shared" si="32"/>
        <v>0</v>
      </c>
      <c r="Z87" s="2182"/>
      <c r="AA87" s="2248"/>
      <c r="AG87" s="1279"/>
      <c r="AK87" s="2248"/>
    </row>
    <row r="88" spans="1:37" ht="39" thickBot="1">
      <c r="A88" s="2335" t="s">
        <v>2789</v>
      </c>
      <c r="B88" s="2340" t="str">
        <f>估价对象房地状况!G18</f>
        <v>该园区内是否有污染型企业，绿化情况，卫生条件，整体环境状况判断</v>
      </c>
      <c r="C88" s="2232"/>
      <c r="D88" s="1193">
        <f t="shared" si="28"/>
        <v>0</v>
      </c>
      <c r="E88" s="763"/>
      <c r="F88" s="1998"/>
      <c r="G88" s="1191"/>
      <c r="H88" s="1195" t="str">
        <f t="shared" si="29"/>
        <v>——</v>
      </c>
      <c r="I88" s="760">
        <v>0.06</v>
      </c>
      <c r="J88" s="1192">
        <f t="shared" si="30"/>
        <v>0</v>
      </c>
      <c r="K88" s="1192">
        <f t="shared" si="31"/>
        <v>0</v>
      </c>
      <c r="L88" s="1192">
        <v>0</v>
      </c>
      <c r="M88" s="1192">
        <f t="shared" si="32"/>
        <v>0</v>
      </c>
      <c r="N88" s="1192">
        <f t="shared" si="32"/>
        <v>0</v>
      </c>
      <c r="Z88" s="2182"/>
      <c r="AA88" s="2248"/>
      <c r="AG88" s="1279"/>
      <c r="AK88" s="2248"/>
    </row>
    <row r="90" spans="1:37">
      <c r="A90" s="3323" t="s">
        <v>2790</v>
      </c>
      <c r="B90" s="3323"/>
      <c r="C90" s="3323"/>
      <c r="D90" s="3323"/>
      <c r="E90" s="3323"/>
      <c r="F90" s="3323"/>
      <c r="G90" s="3323"/>
      <c r="H90" s="3323"/>
      <c r="I90" s="3323"/>
      <c r="J90" s="3323"/>
      <c r="K90" s="3055"/>
      <c r="L90" s="3055"/>
      <c r="M90" s="3055"/>
      <c r="N90" s="3055"/>
    </row>
    <row r="91" spans="1:37">
      <c r="A91" s="3325" t="s">
        <v>2791</v>
      </c>
      <c r="B91" s="3325" t="s">
        <v>2792</v>
      </c>
      <c r="C91" s="2295" t="s">
        <v>2793</v>
      </c>
      <c r="D91" s="2296"/>
      <c r="E91" s="2296"/>
      <c r="F91" s="2296"/>
      <c r="G91" s="2296"/>
      <c r="H91" s="2296"/>
      <c r="I91" s="2296"/>
      <c r="J91" s="2342"/>
      <c r="K91" s="2343"/>
      <c r="L91" s="2343"/>
      <c r="M91" s="2343"/>
      <c r="N91" s="2343"/>
    </row>
    <row r="92" spans="1:37">
      <c r="A92" s="3325"/>
      <c r="B92" s="3325"/>
      <c r="C92" s="3057" t="s">
        <v>2661</v>
      </c>
      <c r="D92" s="3057" t="s">
        <v>2662</v>
      </c>
      <c r="E92" s="3057" t="s">
        <v>2663</v>
      </c>
      <c r="F92" s="3057" t="s">
        <v>2664</v>
      </c>
      <c r="G92" s="3057" t="s">
        <v>2665</v>
      </c>
      <c r="H92" s="3057" t="s">
        <v>2666</v>
      </c>
      <c r="I92" s="3057" t="s">
        <v>2667</v>
      </c>
      <c r="J92" s="3057" t="s">
        <v>2668</v>
      </c>
      <c r="K92" s="3057" t="s">
        <v>2669</v>
      </c>
      <c r="L92" s="3057" t="s">
        <v>2670</v>
      </c>
      <c r="M92" s="3057" t="s">
        <v>2671</v>
      </c>
      <c r="N92" s="3057" t="s">
        <v>2672</v>
      </c>
    </row>
    <row r="93" spans="1:37">
      <c r="A93" s="3326" t="s">
        <v>2794</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27"/>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27"/>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27"/>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27"/>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27"/>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27"/>
      <c r="B99" s="2344" t="s">
        <v>2677</v>
      </c>
      <c r="C99" s="2346">
        <f>$I$3</f>
        <v>0</v>
      </c>
      <c r="D99" s="2346">
        <f t="shared" ref="D99:M99" si="33">$I$3</f>
        <v>0</v>
      </c>
      <c r="E99" s="2346">
        <f t="shared" si="33"/>
        <v>0</v>
      </c>
      <c r="F99" s="2346">
        <f t="shared" si="33"/>
        <v>0</v>
      </c>
      <c r="G99" s="2346">
        <f t="shared" si="33"/>
        <v>0</v>
      </c>
      <c r="H99" s="2346">
        <f t="shared" si="33"/>
        <v>0</v>
      </c>
      <c r="I99" s="2346">
        <f t="shared" si="33"/>
        <v>0</v>
      </c>
      <c r="J99" s="2346">
        <f t="shared" si="33"/>
        <v>0</v>
      </c>
      <c r="K99" s="2346">
        <f t="shared" si="33"/>
        <v>0</v>
      </c>
      <c r="L99" s="2346">
        <f t="shared" si="33"/>
        <v>0</v>
      </c>
      <c r="M99" s="2346">
        <f t="shared" si="33"/>
        <v>0</v>
      </c>
      <c r="N99" s="2346">
        <f>$I$3</f>
        <v>0</v>
      </c>
    </row>
    <row r="100" spans="1:14">
      <c r="A100" s="3328"/>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26" t="s">
        <v>2795</v>
      </c>
      <c r="B101" s="2348" t="s">
        <v>2796</v>
      </c>
      <c r="C101" s="2349">
        <f>$G$3</f>
        <v>5.99</v>
      </c>
      <c r="D101" s="2349">
        <f t="shared" ref="D101:N101" si="34">$G$3</f>
        <v>5.99</v>
      </c>
      <c r="E101" s="2349">
        <f t="shared" si="34"/>
        <v>5.99</v>
      </c>
      <c r="F101" s="2349">
        <f t="shared" si="34"/>
        <v>5.99</v>
      </c>
      <c r="G101" s="2349">
        <f t="shared" si="34"/>
        <v>5.99</v>
      </c>
      <c r="H101" s="2349">
        <f t="shared" si="34"/>
        <v>5.99</v>
      </c>
      <c r="I101" s="2349">
        <f t="shared" si="34"/>
        <v>5.99</v>
      </c>
      <c r="J101" s="2349">
        <f t="shared" si="34"/>
        <v>5.99</v>
      </c>
      <c r="K101" s="2349">
        <f t="shared" si="34"/>
        <v>5.99</v>
      </c>
      <c r="L101" s="2349">
        <f t="shared" si="34"/>
        <v>5.99</v>
      </c>
      <c r="M101" s="2349">
        <f t="shared" si="34"/>
        <v>5.99</v>
      </c>
      <c r="N101" s="2349">
        <f t="shared" si="34"/>
        <v>5.99</v>
      </c>
    </row>
    <row r="102" spans="1:14">
      <c r="A102" s="3327"/>
      <c r="B102" s="2344">
        <v>1</v>
      </c>
      <c r="C102" s="2345">
        <f>1.9362/C101</f>
        <v>0.32323873121869778</v>
      </c>
      <c r="D102" s="2345">
        <f>1.9362/D101</f>
        <v>0.32323873121869778</v>
      </c>
      <c r="E102" s="2345">
        <f>1.8629/E101</f>
        <v>0.31100166944908181</v>
      </c>
      <c r="F102" s="2345">
        <f>1.8629/F101</f>
        <v>0.31100166944908181</v>
      </c>
      <c r="G102" s="2345">
        <f>1.8629/G101</f>
        <v>0.31100166944908181</v>
      </c>
      <c r="H102" s="2345">
        <f>1.8629/H101</f>
        <v>0.31100166944908181</v>
      </c>
      <c r="I102" s="2345">
        <f>1.8629/I101</f>
        <v>0.31100166944908181</v>
      </c>
      <c r="J102" s="2345">
        <f>1.942/J101</f>
        <v>0.32420701168614358</v>
      </c>
      <c r="K102" s="2345">
        <f>1.942/K101</f>
        <v>0.32420701168614358</v>
      </c>
      <c r="L102" s="2345">
        <f>1.942/L101</f>
        <v>0.32420701168614358</v>
      </c>
      <c r="M102" s="2345">
        <f>1.942/M101</f>
        <v>0.32420701168614358</v>
      </c>
      <c r="N102" s="2345">
        <f>1.942/N101</f>
        <v>0.32420701168614358</v>
      </c>
    </row>
    <row r="103" spans="1:14">
      <c r="A103" s="3327"/>
      <c r="B103" s="2344">
        <v>2</v>
      </c>
      <c r="C103" s="2345">
        <f>1.4198/C101</f>
        <v>0.23702838063439063</v>
      </c>
      <c r="D103" s="2345">
        <f>1.4198/D101</f>
        <v>0.23702838063439063</v>
      </c>
      <c r="E103" s="2345">
        <f>1.3372/E101</f>
        <v>0.22323873121869781</v>
      </c>
      <c r="F103" s="2345">
        <f>1.3372/F101</f>
        <v>0.22323873121869781</v>
      </c>
      <c r="G103" s="2345">
        <f>1.3372/G101</f>
        <v>0.22323873121869781</v>
      </c>
      <c r="H103" s="2345">
        <f>1.3372/H101</f>
        <v>0.22323873121869781</v>
      </c>
      <c r="I103" s="2345">
        <f>1.3372/I101</f>
        <v>0.22323873121869781</v>
      </c>
      <c r="J103" s="2345">
        <f>1.2799/J101</f>
        <v>0.21367278797996661</v>
      </c>
      <c r="K103" s="2345">
        <f>1.2799/K101</f>
        <v>0.21367278797996661</v>
      </c>
      <c r="L103" s="2345">
        <f>1.2799/L101</f>
        <v>0.21367278797996661</v>
      </c>
      <c r="M103" s="2345">
        <f>1.2799/M101</f>
        <v>0.21367278797996661</v>
      </c>
      <c r="N103" s="2345">
        <f>1.2799/N101</f>
        <v>0.21367278797996661</v>
      </c>
    </row>
    <row r="104" spans="1:14">
      <c r="A104" s="3327"/>
      <c r="B104" s="2344">
        <v>3</v>
      </c>
      <c r="C104" s="2345">
        <f>1.1594/C101</f>
        <v>0.19355592654424039</v>
      </c>
      <c r="D104" s="2345">
        <f>1.1594/D101</f>
        <v>0.19355592654424039</v>
      </c>
      <c r="E104" s="2345">
        <f>1.0788/E101</f>
        <v>0.18010016694490816</v>
      </c>
      <c r="F104" s="2345">
        <f>1.0788/F101</f>
        <v>0.18010016694490816</v>
      </c>
      <c r="G104" s="2345">
        <f>1.0788/G101</f>
        <v>0.18010016694490816</v>
      </c>
      <c r="H104" s="2345">
        <f>1.0788/H101</f>
        <v>0.18010016694490816</v>
      </c>
      <c r="I104" s="2345">
        <f>1.0788/I101</f>
        <v>0.18010016694490816</v>
      </c>
      <c r="J104" s="2345">
        <f>1.0072/J101</f>
        <v>0.16814691151919867</v>
      </c>
      <c r="K104" s="2345">
        <f>1.0072/K101</f>
        <v>0.16814691151919867</v>
      </c>
      <c r="L104" s="2345">
        <f>1.0072/L101</f>
        <v>0.16814691151919867</v>
      </c>
      <c r="M104" s="2345">
        <f>1.0072/M101</f>
        <v>0.16814691151919867</v>
      </c>
      <c r="N104" s="2345">
        <f>1.0072/N101</f>
        <v>0.16814691151919867</v>
      </c>
    </row>
    <row r="105" spans="1:14">
      <c r="A105" s="3327"/>
      <c r="B105" s="2344">
        <v>4</v>
      </c>
      <c r="C105" s="2345">
        <f>0.9622/C101</f>
        <v>0.16063439065108515</v>
      </c>
      <c r="D105" s="2345">
        <f>0.9622/D101</f>
        <v>0.16063439065108515</v>
      </c>
      <c r="E105" s="2345">
        <f>0.8656/E101</f>
        <v>0.1445075125208681</v>
      </c>
      <c r="F105" s="2345">
        <f>0.8656/F101</f>
        <v>0.1445075125208681</v>
      </c>
      <c r="G105" s="2345">
        <f>0.8656/G101</f>
        <v>0.1445075125208681</v>
      </c>
      <c r="H105" s="2345">
        <f>0.8656/H101</f>
        <v>0.1445075125208681</v>
      </c>
      <c r="I105" s="2345">
        <f>0.8656/I101</f>
        <v>0.1445075125208681</v>
      </c>
      <c r="J105" s="2345">
        <f>0.7525/J101</f>
        <v>0.12562604340567612</v>
      </c>
      <c r="K105" s="2345">
        <f>0.7525/K101</f>
        <v>0.12562604340567612</v>
      </c>
      <c r="L105" s="2345">
        <f>0.7525/L101</f>
        <v>0.12562604340567612</v>
      </c>
      <c r="M105" s="2345">
        <f>0.7525/M101</f>
        <v>0.12562604340567612</v>
      </c>
      <c r="N105" s="2345">
        <f>0.7525/N101</f>
        <v>0.12562604340567612</v>
      </c>
    </row>
    <row r="106" spans="1:14">
      <c r="A106" s="3327"/>
      <c r="B106" s="2344">
        <v>5</v>
      </c>
      <c r="C106" s="2345">
        <f>0.8417/C101</f>
        <v>0.14051752921535893</v>
      </c>
      <c r="D106" s="2345">
        <f>0.8417/D101</f>
        <v>0.14051752921535893</v>
      </c>
      <c r="E106" s="2345">
        <f>0.7371/E101</f>
        <v>0.12305509181969949</v>
      </c>
      <c r="F106" s="2345">
        <f>0.7371/F101</f>
        <v>0.12305509181969949</v>
      </c>
      <c r="G106" s="2345">
        <f>0.7371/G101</f>
        <v>0.12305509181969949</v>
      </c>
      <c r="H106" s="2345">
        <f>0.7371/H101</f>
        <v>0.12305509181969949</v>
      </c>
      <c r="I106" s="2345">
        <f>0.7371/I101</f>
        <v>0.12305509181969949</v>
      </c>
      <c r="J106" s="2345">
        <f>0.5659/J101</f>
        <v>9.4474123539232041E-2</v>
      </c>
      <c r="K106" s="2345">
        <f>0.5659/K101</f>
        <v>9.4474123539232041E-2</v>
      </c>
      <c r="L106" s="2345">
        <f>0.5659/L101</f>
        <v>9.4474123539232041E-2</v>
      </c>
      <c r="M106" s="2345">
        <f>0.5659/M101</f>
        <v>9.4474123539232041E-2</v>
      </c>
      <c r="N106" s="2345">
        <f>0.5659/N101</f>
        <v>9.4474123539232041E-2</v>
      </c>
    </row>
    <row r="107" spans="1:14">
      <c r="A107" s="3327"/>
      <c r="B107" s="2344">
        <v>6</v>
      </c>
      <c r="C107" s="2345">
        <f>0.7608/C101</f>
        <v>0.12701168614357261</v>
      </c>
      <c r="D107" s="2345">
        <f>0.7608/D101</f>
        <v>0.12701168614357261</v>
      </c>
      <c r="E107" s="2345">
        <f>0.6482/E101</f>
        <v>0.10821368948247079</v>
      </c>
      <c r="F107" s="2345">
        <f>0.6482/F101</f>
        <v>0.10821368948247079</v>
      </c>
      <c r="G107" s="2345">
        <f>0.6482/G101</f>
        <v>0.10821368948247079</v>
      </c>
      <c r="H107" s="2345">
        <f>0.6482/H101</f>
        <v>0.10821368948247079</v>
      </c>
      <c r="I107" s="2345">
        <f>0.6482/I101</f>
        <v>0.10821368948247079</v>
      </c>
      <c r="J107" s="2345">
        <f>0.4525/J101</f>
        <v>7.554257095158598E-2</v>
      </c>
      <c r="K107" s="2345">
        <f>0.4525/K101</f>
        <v>7.554257095158598E-2</v>
      </c>
      <c r="L107" s="2345">
        <f>0.4525/L101</f>
        <v>7.554257095158598E-2</v>
      </c>
      <c r="M107" s="2345">
        <f>0.4525/M101</f>
        <v>7.554257095158598E-2</v>
      </c>
      <c r="N107" s="2345">
        <f>0.4525/N101</f>
        <v>7.554257095158598E-2</v>
      </c>
    </row>
    <row r="108" spans="1:14">
      <c r="A108" s="3327"/>
      <c r="B108" s="3329" t="s">
        <v>2690</v>
      </c>
      <c r="C108" s="2346">
        <f>C99</f>
        <v>0</v>
      </c>
      <c r="D108" s="2346">
        <f t="shared" ref="D108:N108" si="35">D99</f>
        <v>0</v>
      </c>
      <c r="E108" s="2346">
        <f t="shared" si="35"/>
        <v>0</v>
      </c>
      <c r="F108" s="2346">
        <f t="shared" si="35"/>
        <v>0</v>
      </c>
      <c r="G108" s="2346">
        <f t="shared" si="35"/>
        <v>0</v>
      </c>
      <c r="H108" s="2346">
        <f t="shared" si="35"/>
        <v>0</v>
      </c>
      <c r="I108" s="2346">
        <f t="shared" si="35"/>
        <v>0</v>
      </c>
      <c r="J108" s="2346">
        <f t="shared" si="35"/>
        <v>0</v>
      </c>
      <c r="K108" s="2346">
        <f t="shared" si="35"/>
        <v>0</v>
      </c>
      <c r="L108" s="2346">
        <f t="shared" si="35"/>
        <v>0</v>
      </c>
      <c r="M108" s="2346">
        <f t="shared" si="35"/>
        <v>0</v>
      </c>
      <c r="N108" s="2346">
        <f t="shared" si="35"/>
        <v>0</v>
      </c>
    </row>
    <row r="109" spans="1:14">
      <c r="A109" s="3328"/>
      <c r="B109" s="3330"/>
      <c r="C109" s="2347">
        <f>(-0.163*(C108^2)-0.59*C108+7617)*(10^(-4))/C101</f>
        <v>0.12716193656093489</v>
      </c>
      <c r="D109" s="2347">
        <f>(-0.163*(D108^2)-0.59*D108+7617)*(10^(-4))/D101</f>
        <v>0.12716193656093489</v>
      </c>
      <c r="E109" s="2347">
        <f>(-0.161*(E108^2)-7.509*E108+6533)*(10^(-4))/E101</f>
        <v>0.10906510851419031</v>
      </c>
      <c r="F109" s="2347">
        <f>(-0.161*(F108^2)-7.509*F108+6533)*(10^(-4))/F101</f>
        <v>0.10906510851419031</v>
      </c>
      <c r="G109" s="2347">
        <f>(-0.161*(G108^2)-7.509*G108+6533)*(10^(-4))/G101</f>
        <v>0.10906510851419031</v>
      </c>
      <c r="H109" s="2347">
        <f>(-0.161*(H108^2)-7.509*H108+6533)*(10^(-4))/H101</f>
        <v>0.10906510851419031</v>
      </c>
      <c r="I109" s="2347">
        <f>(-0.161*(I108^2)-7.509*I108+6533)*(10^(-4))/I101</f>
        <v>0.10906510851419031</v>
      </c>
      <c r="J109" s="2347">
        <f>(-0.214*(J108^2)-21.991*J108+4665)*(10^(-4))/J101</f>
        <v>7.787979966611018E-2</v>
      </c>
      <c r="K109" s="2347">
        <f>(-0.214*(K108^2)-21.991*K108+4665)*(10^(-4))/K101</f>
        <v>7.787979966611018E-2</v>
      </c>
      <c r="L109" s="2347">
        <f>(-0.214*(L108^2)-21.991*L108+4665)*(10^(-4))/L101</f>
        <v>7.787979966611018E-2</v>
      </c>
      <c r="M109" s="2347">
        <f>(-0.214*(M108^2)-21.991*M108+4665)*(10^(-4))/M101</f>
        <v>7.787979966611018E-2</v>
      </c>
      <c r="N109" s="2347">
        <f>(-0.214*(N108^2)-21.991*N108+4665)*(10^(-4))/N101</f>
        <v>7.787979966611018E-2</v>
      </c>
    </row>
    <row r="110" spans="1:14">
      <c r="A110" s="3324" t="s">
        <v>2798</v>
      </c>
      <c r="B110" s="3324"/>
      <c r="C110" s="3324"/>
      <c r="D110" s="3324"/>
      <c r="E110" s="3324"/>
      <c r="F110" s="3324"/>
      <c r="G110" s="3324"/>
      <c r="H110" s="3324"/>
      <c r="I110" s="3324"/>
      <c r="J110" s="3324"/>
      <c r="K110" s="3056"/>
      <c r="L110" s="3056"/>
      <c r="M110" s="3056"/>
      <c r="N110" s="3056"/>
    </row>
    <row r="112" spans="1:14" ht="13.5" thickBot="1"/>
    <row r="113" spans="1:13" ht="25.5" thickBot="1">
      <c r="A113" s="839" t="s">
        <v>2799</v>
      </c>
      <c r="B113" s="1194">
        <f>G3</f>
        <v>5.99</v>
      </c>
      <c r="C113" s="840" t="s">
        <v>2800</v>
      </c>
      <c r="D113" s="841">
        <f>SUMPRODUCT((A115:A118=F113)*(B114:M114=H113)*B115:M118)</f>
        <v>0.87719999999999998</v>
      </c>
      <c r="E113" s="2186" t="s">
        <v>2634</v>
      </c>
      <c r="F113" s="2352" t="str">
        <f>E2</f>
        <v>商业</v>
      </c>
      <c r="G113" s="2186" t="s">
        <v>2635</v>
      </c>
      <c r="H113" s="2352" t="str">
        <f>G2</f>
        <v>一级</v>
      </c>
      <c r="I113" s="2186"/>
      <c r="J113" s="2353"/>
      <c r="K113" s="2353"/>
      <c r="L113" s="2353"/>
      <c r="M113" s="2353"/>
    </row>
    <row r="114" spans="1:13">
      <c r="A114" s="844"/>
      <c r="B114" s="2354" t="s">
        <v>2801</v>
      </c>
      <c r="C114" s="2354" t="s">
        <v>2802</v>
      </c>
      <c r="D114" s="2354" t="s">
        <v>2803</v>
      </c>
      <c r="E114" s="2355" t="s">
        <v>2804</v>
      </c>
      <c r="F114" s="2355" t="s">
        <v>2805</v>
      </c>
      <c r="G114" s="2355" t="s">
        <v>2806</v>
      </c>
      <c r="H114" s="2356" t="s">
        <v>2807</v>
      </c>
      <c r="I114" s="2356" t="s">
        <v>2808</v>
      </c>
      <c r="J114" s="2357" t="s">
        <v>2809</v>
      </c>
      <c r="K114" s="2357" t="s">
        <v>2810</v>
      </c>
      <c r="L114" s="2357" t="s">
        <v>2811</v>
      </c>
      <c r="M114" s="2358" t="s">
        <v>2812</v>
      </c>
    </row>
    <row r="115" spans="1:13">
      <c r="A115" s="845" t="s">
        <v>2699</v>
      </c>
      <c r="B115" s="846">
        <f>ROUND(0.9335-0.0094*B113,4)</f>
        <v>0.87719999999999998</v>
      </c>
      <c r="C115" s="846">
        <f>B115</f>
        <v>0.87719999999999998</v>
      </c>
      <c r="D115" s="846">
        <f>ROUND(0.8331-0.0109*B113,4)</f>
        <v>0.76780000000000004</v>
      </c>
      <c r="E115" s="846">
        <f>D115</f>
        <v>0.76780000000000004</v>
      </c>
      <c r="F115" s="846">
        <f>E115</f>
        <v>0.76780000000000004</v>
      </c>
      <c r="G115" s="846">
        <f>F115</f>
        <v>0.76780000000000004</v>
      </c>
      <c r="H115" s="846">
        <f>G115</f>
        <v>0.76780000000000004</v>
      </c>
      <c r="I115" s="846">
        <f>ROUND(0.689-0.0155*B113,4)</f>
        <v>0.59619999999999995</v>
      </c>
      <c r="J115" s="846">
        <f t="shared" ref="J115:M118" si="36">I115</f>
        <v>0.59619999999999995</v>
      </c>
      <c r="K115" s="846">
        <f t="shared" si="36"/>
        <v>0.59619999999999995</v>
      </c>
      <c r="L115" s="846">
        <f t="shared" si="36"/>
        <v>0.59619999999999995</v>
      </c>
      <c r="M115" s="847">
        <f t="shared" si="36"/>
        <v>0.59619999999999995</v>
      </c>
    </row>
    <row r="116" spans="1:13">
      <c r="A116" s="845" t="s">
        <v>2700</v>
      </c>
      <c r="B116" s="846">
        <f>ROUND(0.949-0.012*B113,4)</f>
        <v>0.87709999999999999</v>
      </c>
      <c r="C116" s="846">
        <f>B116</f>
        <v>0.87709999999999999</v>
      </c>
      <c r="D116" s="846">
        <f>ROUND(0.8567-0.013*B113,4)</f>
        <v>0.77880000000000005</v>
      </c>
      <c r="E116" s="846">
        <f t="shared" ref="E116:H117" si="37">D116</f>
        <v>0.77880000000000005</v>
      </c>
      <c r="F116" s="846">
        <f t="shared" si="37"/>
        <v>0.77880000000000005</v>
      </c>
      <c r="G116" s="846">
        <f t="shared" si="37"/>
        <v>0.77880000000000005</v>
      </c>
      <c r="H116" s="846">
        <f t="shared" si="37"/>
        <v>0.77880000000000005</v>
      </c>
      <c r="I116" s="846">
        <f>ROUND(0.7694-0.014*B113,4)</f>
        <v>0.6855</v>
      </c>
      <c r="J116" s="846">
        <f t="shared" si="36"/>
        <v>0.6855</v>
      </c>
      <c r="K116" s="846">
        <f t="shared" si="36"/>
        <v>0.6855</v>
      </c>
      <c r="L116" s="846">
        <f t="shared" si="36"/>
        <v>0.6855</v>
      </c>
      <c r="M116" s="847">
        <f t="shared" si="36"/>
        <v>0.6855</v>
      </c>
    </row>
    <row r="117" spans="1:13">
      <c r="A117" s="845" t="s">
        <v>2701</v>
      </c>
      <c r="B117" s="846">
        <f>ROUND(0.8808-0.006*B113,4)</f>
        <v>0.84489999999999998</v>
      </c>
      <c r="C117" s="846">
        <f>B117</f>
        <v>0.84489999999999998</v>
      </c>
      <c r="D117" s="846">
        <f>ROUND(0.8748-0.008*B113,4)</f>
        <v>0.82689999999999997</v>
      </c>
      <c r="E117" s="846">
        <f t="shared" si="37"/>
        <v>0.82689999999999997</v>
      </c>
      <c r="F117" s="846">
        <f t="shared" si="37"/>
        <v>0.82689999999999997</v>
      </c>
      <c r="G117" s="846">
        <f t="shared" si="37"/>
        <v>0.82689999999999997</v>
      </c>
      <c r="H117" s="846">
        <f t="shared" si="37"/>
        <v>0.82689999999999997</v>
      </c>
      <c r="I117" s="846">
        <f>ROUND(0.7412-0.0095*B113,4)</f>
        <v>0.68430000000000002</v>
      </c>
      <c r="J117" s="846">
        <f t="shared" si="36"/>
        <v>0.68430000000000002</v>
      </c>
      <c r="K117" s="846">
        <f t="shared" si="36"/>
        <v>0.68430000000000002</v>
      </c>
      <c r="L117" s="846">
        <f t="shared" si="36"/>
        <v>0.68430000000000002</v>
      </c>
      <c r="M117" s="847">
        <f t="shared" si="36"/>
        <v>0.68430000000000002</v>
      </c>
    </row>
    <row r="118" spans="1:13" ht="13.5" thickBot="1">
      <c r="A118" s="668" t="s">
        <v>2702</v>
      </c>
      <c r="B118" s="848">
        <f>ROUND(0.7275-0.01*B113,4)</f>
        <v>0.66759999999999997</v>
      </c>
      <c r="C118" s="848">
        <f>B118</f>
        <v>0.66759999999999997</v>
      </c>
      <c r="D118" s="848">
        <f>ROUND(0.7043-0.012*B113,4)</f>
        <v>0.63239999999999996</v>
      </c>
      <c r="E118" s="848">
        <f>D118</f>
        <v>0.63239999999999996</v>
      </c>
      <c r="F118" s="848">
        <f>E118</f>
        <v>0.63239999999999996</v>
      </c>
      <c r="G118" s="848">
        <f>ROUND(0.6299-0.0122*B113,4)</f>
        <v>0.55679999999999996</v>
      </c>
      <c r="H118" s="848">
        <f>G118</f>
        <v>0.55679999999999996</v>
      </c>
      <c r="I118" s="848">
        <f>ROUND(0.5667-0.0136*B113,4)</f>
        <v>0.48520000000000002</v>
      </c>
      <c r="J118" s="848">
        <f t="shared" si="36"/>
        <v>0.48520000000000002</v>
      </c>
      <c r="K118" s="848">
        <f t="shared" si="36"/>
        <v>0.48520000000000002</v>
      </c>
      <c r="L118" s="848">
        <f t="shared" si="36"/>
        <v>0.48520000000000002</v>
      </c>
      <c r="M118" s="849">
        <f t="shared" si="36"/>
        <v>0.48520000000000002</v>
      </c>
    </row>
  </sheetData>
  <sheetProtection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59:C67 C48:C5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6" sqref="B6"/>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1" t="s">
        <v>2821</v>
      </c>
      <c r="B1" s="2361"/>
      <c r="C1" s="2361"/>
      <c r="D1" s="2361"/>
      <c r="E1" s="2361"/>
      <c r="F1" s="3022"/>
      <c r="G1" s="3022"/>
      <c r="H1" s="3022"/>
      <c r="I1" s="3022"/>
      <c r="J1" s="3022"/>
      <c r="K1" s="3022"/>
      <c r="L1" s="3022"/>
      <c r="M1" s="3022"/>
      <c r="N1" s="3022"/>
      <c r="O1" s="3022"/>
      <c r="P1" s="3022"/>
    </row>
    <row r="2" spans="1:16" ht="15.75">
      <c r="A2" s="2359" t="s">
        <v>2813</v>
      </c>
      <c r="B2" s="2826">
        <f ca="1">SUMIF(B6:B13,"&lt;&gt;#ref!",B6:B13)</f>
        <v>446149</v>
      </c>
      <c r="C2" s="2359" t="s">
        <v>2814</v>
      </c>
      <c r="D2" s="2359" t="s">
        <v>2815</v>
      </c>
      <c r="E2" s="2836">
        <f ca="1">SUMIF(E6:E13,"&lt;&gt;#ref!",E6:E13)</f>
        <v>160498.87</v>
      </c>
      <c r="F2" s="3022"/>
      <c r="G2" s="3022"/>
      <c r="H2" s="3022"/>
      <c r="I2" s="3022"/>
      <c r="J2" s="3022"/>
      <c r="K2" s="3022"/>
      <c r="L2" s="3022"/>
      <c r="M2" s="3022"/>
      <c r="N2" s="3022"/>
      <c r="O2" s="3022"/>
      <c r="P2" s="3022"/>
    </row>
    <row r="3" spans="1:16" ht="15.75">
      <c r="A3" s="2359" t="s">
        <v>2816</v>
      </c>
      <c r="B3" s="2826">
        <f ca="1">ROUND(B2*10000/E2,0)</f>
        <v>27798</v>
      </c>
      <c r="C3" s="2359" t="s">
        <v>2822</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2817</v>
      </c>
      <c r="B5" s="2834" t="s">
        <v>2818</v>
      </c>
      <c r="C5" s="2360"/>
      <c r="D5" s="3022"/>
      <c r="E5" s="2835" t="s">
        <v>2819</v>
      </c>
      <c r="F5" s="3022"/>
      <c r="G5" s="3022"/>
      <c r="H5" s="3022"/>
      <c r="I5" s="3022"/>
      <c r="J5" s="3022"/>
      <c r="K5" s="3022"/>
      <c r="L5" s="3022"/>
      <c r="M5" s="3022"/>
      <c r="N5" s="3022"/>
      <c r="O5" s="3022"/>
      <c r="P5" s="3022"/>
    </row>
    <row r="6" spans="1:16" ht="15.75">
      <c r="A6" s="2833" t="s">
        <v>2820</v>
      </c>
      <c r="B6" s="2826">
        <f ca="1">SUMIF(INDIRECT("'"&amp;A6&amp;"'"&amp;"!A:A"),"总价",INDIRECT("'"&amp;A6&amp;"'"&amp;"!B:B"))</f>
        <v>422612</v>
      </c>
      <c r="C6" s="2359" t="s">
        <v>2814</v>
      </c>
      <c r="D6" s="3022"/>
      <c r="E6" s="2836">
        <f ca="1">SUMIF(INDIRECT("'"&amp;A6&amp;"'"&amp;"!C:C"),"建筑面积",INDIRECT("'"&amp;A6&amp;"'"&amp;"!D:D"))</f>
        <v>153466.57</v>
      </c>
      <c r="F6" s="3022"/>
      <c r="G6" s="3022"/>
      <c r="H6" s="3022"/>
      <c r="I6" s="3022"/>
      <c r="J6" s="3022"/>
      <c r="K6" s="3022"/>
      <c r="L6" s="3022"/>
      <c r="M6" s="3022"/>
      <c r="N6" s="3022"/>
      <c r="O6" s="3022"/>
      <c r="P6" s="3022"/>
    </row>
    <row r="7" spans="1:16" ht="15.75">
      <c r="A7" s="2833" t="s">
        <v>3077</v>
      </c>
      <c r="B7" s="2826">
        <f ca="1">SUMIF(INDIRECT("'"&amp;A7&amp;"'"&amp;"!A:A"),"总价",INDIRECT("'"&amp;A7&amp;"'"&amp;"!B:B"))</f>
        <v>23537</v>
      </c>
      <c r="C7" s="2359" t="s">
        <v>2814</v>
      </c>
      <c r="D7" s="3022"/>
      <c r="E7" s="2836">
        <f t="shared" ref="E7:E13" ca="1" si="0">SUMIF(INDIRECT("'"&amp;A7&amp;"'"&amp;"!C:C"),"建筑面积",INDIRECT("'"&amp;A7&amp;"'"&amp;"!D:D"))</f>
        <v>7032.3</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2814</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2814</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2814</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2814</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2814</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2814</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topLeftCell="A7" zoomScale="90" zoomScaleNormal="70" zoomScaleSheetLayoutView="90" workbookViewId="0">
      <selection activeCell="E19" sqref="E19"/>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0" t="s">
        <v>2282</v>
      </c>
      <c r="B1" s="1350"/>
      <c r="C1" s="1351"/>
      <c r="D1" s="1349"/>
      <c r="E1" s="3035"/>
      <c r="F1" s="3035"/>
      <c r="G1" s="2898"/>
      <c r="H1" s="3035"/>
      <c r="I1" s="3035"/>
      <c r="J1" s="3035"/>
      <c r="K1" s="3036">
        <f>MATCH(C1,'数据-取费表'!A6:A16,0)+5</f>
        <v>10</v>
      </c>
    </row>
    <row r="2" spans="1:33" ht="18" customHeight="1">
      <c r="A2" s="205" t="s">
        <v>2150</v>
      </c>
      <c r="B2" s="208">
        <f ca="1">C32</f>
        <v>499547</v>
      </c>
      <c r="C2" s="280" t="s">
        <v>2283</v>
      </c>
      <c r="D2" s="280"/>
      <c r="E2" s="3035"/>
      <c r="F2" s="3035"/>
      <c r="G2" s="3035"/>
      <c r="H2" s="3035"/>
      <c r="I2" s="3035"/>
      <c r="J2" s="3035"/>
      <c r="K2" s="3035"/>
    </row>
    <row r="3" spans="1:33" ht="18" customHeight="1" thickBot="1">
      <c r="A3" s="207" t="s">
        <v>2152</v>
      </c>
      <c r="B3" s="208">
        <f ca="1">ROUND(B2*10000/IF(C1="",'数据-汇总表'!E3,INDIRECT("'数据-取费表'!K"&amp;$K$1)),0)</f>
        <v>31125</v>
      </c>
      <c r="C3" s="280" t="s">
        <v>2284</v>
      </c>
      <c r="D3" s="280"/>
      <c r="E3" s="3035"/>
      <c r="F3" s="3035"/>
      <c r="G3" s="3035"/>
      <c r="H3" s="3035"/>
      <c r="I3" s="3035"/>
      <c r="J3" s="3035"/>
      <c r="K3" s="3035"/>
    </row>
    <row r="4" spans="1:33" s="890" customFormat="1" ht="16.5" customHeight="1">
      <c r="A4" s="887" t="s">
        <v>2285</v>
      </c>
      <c r="B4" s="888"/>
      <c r="C4" s="930">
        <f ca="1">SUM(C8:K8)</f>
        <v>718726</v>
      </c>
      <c r="D4" s="888"/>
      <c r="E4" s="888"/>
      <c r="F4" s="888"/>
      <c r="G4" s="888"/>
      <c r="H4" s="888"/>
      <c r="I4" s="888"/>
      <c r="J4" s="888"/>
      <c r="K4" s="889"/>
    </row>
    <row r="5" spans="1:33" s="894" customFormat="1" ht="25.5">
      <c r="A5" s="891" t="s">
        <v>2286</v>
      </c>
      <c r="B5" s="892" t="s">
        <v>2287</v>
      </c>
      <c r="C5" s="2044" t="s">
        <v>3093</v>
      </c>
      <c r="D5" s="2044" t="s">
        <v>3096</v>
      </c>
      <c r="E5" s="2044" t="s">
        <v>3067</v>
      </c>
      <c r="F5" s="2044" t="s">
        <v>1343</v>
      </c>
      <c r="G5" s="2044"/>
      <c r="H5" s="2044"/>
      <c r="I5" s="2044"/>
      <c r="J5" s="2044"/>
      <c r="K5" s="2044"/>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4" t="s">
        <v>2288</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2289</v>
      </c>
      <c r="B7" s="134" t="s">
        <v>2290</v>
      </c>
      <c r="C7" s="281">
        <f>SUMIF('数据-汇总表'!$C19:$C33,假设开发法!C5,'数据-汇总表'!$E19:$E33)</f>
        <v>45131.9</v>
      </c>
      <c r="D7" s="281">
        <f>SUMIF('数据-汇总表'!$C19:$C33,假设开发法!D5,'数据-汇总表'!$E19:$E33)</f>
        <v>66464.97</v>
      </c>
      <c r="E7" s="281">
        <f>SUMIF('数据-汇总表'!$C19:$C33,假设开发法!E5,'数据-汇总表'!$E19:$E33)</f>
        <v>41869.699999999997</v>
      </c>
      <c r="F7" s="281">
        <f>SUMIF('数据-汇总表'!$C19:$C33,假设开发法!F5,'数据-汇总表'!$E19:$E33)</f>
        <v>7032.3</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5" t="s">
        <v>2291</v>
      </c>
      <c r="B8" s="167" t="s">
        <v>2292</v>
      </c>
      <c r="C8" s="931">
        <f ca="1">收益法B!B2</f>
        <v>268626</v>
      </c>
      <c r="D8" s="931">
        <f ca="1">收益法ACD!B2</f>
        <v>395566</v>
      </c>
      <c r="E8" s="931">
        <f>750*50</f>
        <v>37500</v>
      </c>
      <c r="F8" s="932">
        <f ca="1">收益法地下商业!B2</f>
        <v>17034</v>
      </c>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2293</v>
      </c>
      <c r="B9" s="888"/>
      <c r="C9" s="888"/>
      <c r="D9" s="888"/>
      <c r="E9" s="888"/>
      <c r="F9" s="888"/>
      <c r="G9" s="888"/>
      <c r="H9" s="888"/>
      <c r="I9" s="888"/>
      <c r="J9" s="888"/>
      <c r="K9" s="889"/>
    </row>
    <row r="10" spans="1:33" s="904" customFormat="1" ht="13.5" customHeight="1">
      <c r="A10" s="891" t="s">
        <v>2294</v>
      </c>
      <c r="B10" s="8" t="s">
        <v>2295</v>
      </c>
      <c r="C10" s="900" t="s">
        <v>2296</v>
      </c>
      <c r="D10" s="901" t="s">
        <v>2297</v>
      </c>
      <c r="E10" s="901" t="s">
        <v>2298</v>
      </c>
      <c r="F10" s="901" t="s">
        <v>2299</v>
      </c>
      <c r="G10" s="8"/>
      <c r="H10" s="902"/>
      <c r="I10" s="902"/>
      <c r="J10" s="902"/>
      <c r="K10" s="903"/>
    </row>
    <row r="11" spans="1:33" s="909" customFormat="1" ht="13.5" customHeight="1">
      <c r="A11" s="905" t="s">
        <v>1300</v>
      </c>
      <c r="B11" s="906" t="s">
        <v>2300</v>
      </c>
      <c r="C11" s="283">
        <f ca="1">IF(C1="",'数据-取费表'!P16,INDIRECT("'数据-取费表'!p"&amp;$K$1)+INDIRECT("'数据-取费表'!ar"&amp;$K$1))</f>
        <v>43291</v>
      </c>
      <c r="D11" s="907"/>
      <c r="E11" s="333"/>
      <c r="F11" s="908">
        <f ca="1">1-IF('数据-取费表'!B24=0,1,IF(C1="",'数据-取费表'!N16,INDIRECT("'数据-取费表'!n"&amp;$K$1)))</f>
        <v>0.58299999999999996</v>
      </c>
      <c r="G11" s="8"/>
      <c r="H11" s="902"/>
      <c r="I11" s="902"/>
      <c r="J11" s="902"/>
      <c r="K11" s="903"/>
    </row>
    <row r="12" spans="1:33" s="909" customFormat="1" ht="13.5" customHeight="1">
      <c r="A12" s="905" t="s">
        <v>1301</v>
      </c>
      <c r="B12" s="906" t="s">
        <v>2301</v>
      </c>
      <c r="C12" s="24">
        <f ca="1">ROUND(C11*F12,0)</f>
        <v>2165</v>
      </c>
      <c r="D12" s="907"/>
      <c r="E12" s="333"/>
      <c r="F12" s="910">
        <f>'数据-取费表'!B33</f>
        <v>0.05</v>
      </c>
      <c r="G12" s="8" t="s">
        <v>2302</v>
      </c>
      <c r="H12" s="902"/>
      <c r="I12" s="902"/>
      <c r="J12" s="902"/>
      <c r="K12" s="903"/>
    </row>
    <row r="13" spans="1:33" s="909" customFormat="1" ht="13.5" customHeight="1">
      <c r="A13" s="905" t="s">
        <v>1302</v>
      </c>
      <c r="B13" s="906" t="s">
        <v>2303</v>
      </c>
      <c r="C13" s="24">
        <f ca="1">ROUND(IF(C1="",SUMIF('数据-取费表'!C:C,"住宅",'数据-取费表'!P:P)*F13,IF(INDIRECT("'数据-取费表'!c"&amp;$K$1)="住宅",INDIRECT("'数据-取费表'!P"&amp;$K$1)*F13,0)),0)</f>
        <v>0</v>
      </c>
      <c r="D13" s="952"/>
      <c r="E13" s="333"/>
      <c r="F13" s="910">
        <f>'数据-取费表'!B34</f>
        <v>0.05</v>
      </c>
      <c r="G13" s="8" t="s">
        <v>2304</v>
      </c>
      <c r="H13" s="902"/>
      <c r="I13" s="902"/>
      <c r="J13" s="902"/>
      <c r="K13" s="903"/>
    </row>
    <row r="14" spans="1:33" s="911" customFormat="1" ht="13.5" customHeight="1">
      <c r="A14" s="905" t="s">
        <v>1303</v>
      </c>
      <c r="B14" s="906" t="s">
        <v>2305</v>
      </c>
      <c r="C14" s="24">
        <f ca="1">ROUND(D14*E14*F11/10000,0)</f>
        <v>2807</v>
      </c>
      <c r="D14" s="952">
        <f ca="1">IF(C1="",'数据-汇总表'!E3,INDIRECT("'数据-取费表'!K"&amp;$K$1)+INDIRECT("'数据-取费表'!S"&amp;$K$1))</f>
        <v>160498.87</v>
      </c>
      <c r="E14" s="24">
        <f>'数据-取费表'!B35</f>
        <v>300</v>
      </c>
      <c r="F14" s="910"/>
      <c r="G14" s="8" t="s">
        <v>2306</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2307</v>
      </c>
      <c r="C15" s="917">
        <f ca="1">ROUND(C11*F15,0)</f>
        <v>649</v>
      </c>
      <c r="D15" s="912"/>
      <c r="E15" s="917"/>
      <c r="F15" s="918">
        <f>'数据-取费表'!B36</f>
        <v>1.4999999999999999E-2</v>
      </c>
      <c r="G15" s="134" t="s">
        <v>2308</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2309</v>
      </c>
      <c r="C16" s="917">
        <f ca="1">SUM(C11:C15)</f>
        <v>48912</v>
      </c>
      <c r="D16" s="912"/>
      <c r="E16" s="917"/>
      <c r="F16" s="918"/>
      <c r="G16" s="134"/>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2310</v>
      </c>
      <c r="C17" s="24">
        <f ca="1">ROUND(D17*E17/10000,0)</f>
        <v>0</v>
      </c>
      <c r="D17" s="952">
        <f ca="1">D14</f>
        <v>160498.87</v>
      </c>
      <c r="E17" s="24">
        <f>'数据-取费表'!B32</f>
        <v>0</v>
      </c>
      <c r="F17" s="912"/>
      <c r="G17" s="134" t="s">
        <v>2311</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2312</v>
      </c>
      <c r="C18" s="24">
        <v>1098</v>
      </c>
      <c r="D18" s="952"/>
      <c r="E18" s="24"/>
      <c r="F18" s="910"/>
      <c r="G18" s="2046" t="s">
        <v>3091</v>
      </c>
      <c r="H18" s="1346">
        <v>0</v>
      </c>
      <c r="I18" s="2047" t="s">
        <v>2313</v>
      </c>
      <c r="J18" s="913"/>
      <c r="K18" s="914"/>
    </row>
    <row r="19" spans="1:33" s="909" customFormat="1" ht="13.5" customHeight="1">
      <c r="A19" s="905" t="s">
        <v>805</v>
      </c>
      <c r="B19" s="906" t="s">
        <v>2314</v>
      </c>
      <c r="C19" s="24">
        <f ca="1">ROUND(D19*E19/10000,0)</f>
        <v>0</v>
      </c>
      <c r="D19" s="952">
        <f ca="1">IF(C1="",'数据-汇总表'!E5,IF(INDIRECT("'数据-取费表'!c"&amp;$K$1)="住宅",INDIRECT("'数据-取费表'!k"&amp;$K$1),0))</f>
        <v>0</v>
      </c>
      <c r="E19" s="24">
        <f>'数据-取费表'!B27</f>
        <v>160</v>
      </c>
      <c r="F19" s="910"/>
      <c r="G19" s="15"/>
      <c r="H19" s="1348"/>
      <c r="I19" s="915"/>
      <c r="J19" s="915"/>
      <c r="K19" s="916"/>
    </row>
    <row r="20" spans="1:33" s="909" customFormat="1" ht="13.5" customHeight="1">
      <c r="A20" s="905" t="s">
        <v>806</v>
      </c>
      <c r="B20" s="906" t="s">
        <v>2315</v>
      </c>
      <c r="C20" s="24">
        <f ca="1">ROUND(D20*E20/10000,0)</f>
        <v>3210</v>
      </c>
      <c r="D20" s="952">
        <f ca="1">IF(C1="",'数据-汇总表'!E6,IF(INDIRECT("'数据-取费表'!c"&amp;$K$1)="住宅",INDIRECT("'数据-取费表'!s"&amp;$K$1),INDIRECT("'数据-取费表'!k"&amp;$K$1)+INDIRECT("'数据-取费表'!s"&amp;$K$1)))</f>
        <v>160498.87</v>
      </c>
      <c r="E20" s="24">
        <f>'数据-取费表'!B28</f>
        <v>200</v>
      </c>
      <c r="F20" s="910"/>
      <c r="G20" s="15"/>
      <c r="H20" s="915"/>
      <c r="I20" s="915"/>
      <c r="J20" s="915"/>
      <c r="K20" s="916"/>
    </row>
    <row r="21" spans="1:33" s="909" customFormat="1" ht="13.5" customHeight="1">
      <c r="A21" s="895" t="s">
        <v>802</v>
      </c>
      <c r="B21" s="919" t="s">
        <v>2316</v>
      </c>
      <c r="C21" s="920">
        <f ca="1">C16+C17+C18</f>
        <v>50010</v>
      </c>
      <c r="D21" s="921"/>
      <c r="E21" s="285"/>
      <c r="F21" s="285"/>
      <c r="G21" s="134" t="s">
        <v>2317</v>
      </c>
      <c r="H21" s="913"/>
      <c r="I21" s="913"/>
      <c r="J21" s="913"/>
      <c r="K21" s="914"/>
    </row>
    <row r="22" spans="1:33" s="909" customFormat="1" ht="13.5" customHeight="1">
      <c r="A22" s="895" t="s">
        <v>2289</v>
      </c>
      <c r="B22" s="919" t="s">
        <v>2318</v>
      </c>
      <c r="C22" s="920">
        <f ca="1">ROUND(C21*F22,0)</f>
        <v>1000</v>
      </c>
      <c r="D22" s="285"/>
      <c r="E22" s="285"/>
      <c r="F22" s="922">
        <f>'数据-取费表'!B37</f>
        <v>0.02</v>
      </c>
      <c r="G22" s="8" t="s">
        <v>2319</v>
      </c>
      <c r="H22" s="902"/>
      <c r="I22" s="902"/>
      <c r="J22" s="902"/>
      <c r="K22" s="903"/>
    </row>
    <row r="23" spans="1:33" s="909" customFormat="1" ht="13.5" customHeight="1">
      <c r="A23" s="895" t="s">
        <v>2291</v>
      </c>
      <c r="B23" s="919" t="s">
        <v>2320</v>
      </c>
      <c r="C23" s="920">
        <f ca="1">ROUND(C4*F23*F11,0)</f>
        <v>8380</v>
      </c>
      <c r="D23" s="285"/>
      <c r="E23" s="285"/>
      <c r="F23" s="922">
        <f>'数据-取费表'!B38</f>
        <v>0.02</v>
      </c>
      <c r="G23" s="8" t="s">
        <v>2321</v>
      </c>
      <c r="H23" s="902"/>
      <c r="I23" s="902"/>
      <c r="J23" s="902"/>
      <c r="K23" s="903"/>
    </row>
    <row r="24" spans="1:33" s="909" customFormat="1" ht="13.5" customHeight="1">
      <c r="A24" s="895" t="s">
        <v>2322</v>
      </c>
      <c r="B24" s="919" t="s">
        <v>2323</v>
      </c>
      <c r="C24" s="284">
        <f>ROUND(F24/(1+'数据-取费表'!C42),4)</f>
        <v>2.9000000000000001E-2</v>
      </c>
      <c r="D24" s="285" t="s">
        <v>15</v>
      </c>
      <c r="E24" s="285"/>
      <c r="F24" s="922">
        <f>IF(项目基本情况!B8="出让",0,'数据-取费表'!B48+'数据-取费表'!B49)</f>
        <v>3.0499999999999999E-2</v>
      </c>
      <c r="G24" s="8" t="s">
        <v>2324</v>
      </c>
      <c r="H24" s="924"/>
      <c r="I24" s="924"/>
      <c r="J24" s="924"/>
      <c r="K24" s="925"/>
    </row>
    <row r="25" spans="1:33" s="909" customFormat="1" ht="13.5" customHeight="1">
      <c r="A25" s="895" t="s">
        <v>2325</v>
      </c>
      <c r="B25" s="921" t="s">
        <v>2326</v>
      </c>
      <c r="C25" s="1263">
        <f ca="1">C27</f>
        <v>2460</v>
      </c>
      <c r="D25" s="284">
        <f ca="1">C26</f>
        <v>8.6999999999999994E-2</v>
      </c>
      <c r="E25" s="286" t="s">
        <v>15</v>
      </c>
      <c r="F25" s="287">
        <f ca="1">'数据-取费表'!B40</f>
        <v>4.7500000000000001E-2</v>
      </c>
      <c r="G25" s="134"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2327</v>
      </c>
      <c r="C26" s="1264">
        <f ca="1">ROUND(IF('数据-取费表'!B22&lt;=1,(1+C24)*F25*'数据-取费表'!B24,(1+C24)*(POWER((1+F25),'数据-取费表'!B24)-1)),4)</f>
        <v>8.6999999999999994E-2</v>
      </c>
      <c r="D26" s="288"/>
      <c r="E26" s="289"/>
      <c r="F26" s="290"/>
      <c r="G26" s="2048"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2328</v>
      </c>
      <c r="C27" s="1265">
        <f ca="1">ROUND(IF('数据-取费表'!B22&lt;=1,(C21+C22+C23)*F25*'数据-取费表'!B24/2,(C21+C22+C23)*(POWER((1+F25),'数据-取费表'!B24/2)-1)),0)</f>
        <v>2460</v>
      </c>
      <c r="D27" s="288"/>
      <c r="E27" s="289"/>
      <c r="F27" s="290"/>
      <c r="G27" s="2048" t="str">
        <f>IF('数据-取费表'!B22&lt;=1,"（1）-（3）项×年利率×建设期÷2","（1）-（3）项×((1+年利率)^(建设期÷2)-1)")</f>
        <v>（1）-（3）项×((1+年利率)^(建设期÷2)-1)</v>
      </c>
      <c r="H27" s="913"/>
      <c r="I27" s="913"/>
      <c r="J27" s="913"/>
      <c r="K27" s="914"/>
    </row>
    <row r="28" spans="1:33" s="293" customFormat="1" ht="13.5" customHeight="1">
      <c r="A28" s="895" t="s">
        <v>2329</v>
      </c>
      <c r="B28" s="2049" t="s">
        <v>2330</v>
      </c>
      <c r="C28" s="291">
        <f ca="1">C30</f>
        <v>10096</v>
      </c>
      <c r="D28" s="284">
        <f ca="1">C29</f>
        <v>0.10199999999999999</v>
      </c>
      <c r="E28" s="286" t="s">
        <v>15</v>
      </c>
      <c r="F28" s="292">
        <f ca="1">IF(C1="",'数据-取费表'!Q16,INDIRECT("'数据-取费表'!q"&amp;$K$1))</f>
        <v>0.17</v>
      </c>
      <c r="G28" s="923"/>
      <c r="H28" s="924"/>
      <c r="I28" s="924"/>
      <c r="J28" s="924"/>
      <c r="K28" s="925"/>
    </row>
    <row r="29" spans="1:33" s="295" customFormat="1" ht="13.5" customHeight="1">
      <c r="A29" s="905" t="s">
        <v>803</v>
      </c>
      <c r="B29" s="928" t="s">
        <v>2331</v>
      </c>
      <c r="C29" s="288">
        <f ca="1">ROUND((1+C24)*F28*'数据-取费表'!B24/'数据-取费表'!B20,4)</f>
        <v>0.10199999999999999</v>
      </c>
      <c r="D29" s="288"/>
      <c r="E29" s="289"/>
      <c r="F29" s="294"/>
      <c r="G29" s="134" t="s">
        <v>2332</v>
      </c>
      <c r="H29" s="913"/>
      <c r="I29" s="913"/>
      <c r="J29" s="913"/>
      <c r="K29" s="914"/>
    </row>
    <row r="30" spans="1:33" s="295" customFormat="1" ht="13.5" customHeight="1">
      <c r="A30" s="905" t="s">
        <v>804</v>
      </c>
      <c r="B30" s="928" t="s">
        <v>2333</v>
      </c>
      <c r="C30" s="296">
        <f ca="1">ROUND((C21+C22+C23)*F28,0)</f>
        <v>10096</v>
      </c>
      <c r="D30" s="288"/>
      <c r="E30" s="289"/>
      <c r="F30" s="294"/>
      <c r="G30" s="134"/>
      <c r="H30" s="913"/>
      <c r="I30" s="913"/>
      <c r="J30" s="913"/>
      <c r="K30" s="914"/>
    </row>
    <row r="31" spans="1:33" s="909" customFormat="1" ht="13.5" customHeight="1" thickBot="1">
      <c r="A31" s="2050" t="s">
        <v>2334</v>
      </c>
      <c r="B31" s="939" t="s">
        <v>2335</v>
      </c>
      <c r="C31" s="940">
        <f ca="1">ROUND(C4*F31/(1+'数据-取费表'!C42),0)</f>
        <v>38332</v>
      </c>
      <c r="D31" s="941"/>
      <c r="E31" s="942"/>
      <c r="F31" s="943">
        <f>'数据-取费表'!B41</f>
        <v>5.6000000000000001E-2</v>
      </c>
      <c r="G31" s="944" t="s">
        <v>2336</v>
      </c>
      <c r="H31" s="945"/>
      <c r="I31" s="945"/>
      <c r="J31" s="945"/>
      <c r="K31" s="946"/>
    </row>
    <row r="32" spans="1:33" s="904" customFormat="1" ht="13.5" customHeight="1" thickBot="1">
      <c r="A32" s="934" t="s">
        <v>2337</v>
      </c>
      <c r="B32" s="935"/>
      <c r="C32" s="936">
        <f ca="1">ROUND((C4-C21-C22-C23-C25-C28-C31)/(1+C24+D25+D28),0)</f>
        <v>499547</v>
      </c>
      <c r="D32" s="935"/>
      <c r="E32" s="935"/>
      <c r="F32" s="935"/>
      <c r="G32" s="937" t="s">
        <v>2338</v>
      </c>
      <c r="H32" s="935"/>
      <c r="I32" s="935"/>
      <c r="J32" s="935"/>
      <c r="K32" s="938"/>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D2" sqref="D2"/>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51" customWidth="1"/>
    <col min="12" max="12" width="16.375" style="262" customWidth="1"/>
    <col min="13" max="13" width="13" style="262"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2"/>
  </cols>
  <sheetData>
    <row r="1" spans="1:37" s="297" customFormat="1" ht="21">
      <c r="A1" s="1558" t="s">
        <v>1554</v>
      </c>
      <c r="B1" s="719"/>
      <c r="C1" s="1562" t="s">
        <v>3093</v>
      </c>
      <c r="D1" s="1545"/>
      <c r="E1" s="1546" t="s">
        <v>1352</v>
      </c>
      <c r="F1" s="1190">
        <f ca="1">J53</f>
        <v>30.791</v>
      </c>
      <c r="G1" s="1561">
        <f>MATCH(C1,'数据-取费表'!A6:A16,0)+5</f>
        <v>6</v>
      </c>
      <c r="H1" s="2919"/>
      <c r="I1" s="2920"/>
      <c r="J1" s="2920"/>
      <c r="K1" s="2921"/>
      <c r="L1" s="2920"/>
      <c r="M1" s="2920"/>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1480</v>
      </c>
      <c r="B2" s="1569">
        <f ca="1">C40+J29+L46</f>
        <v>268626</v>
      </c>
      <c r="C2" s="1570" t="s">
        <v>1481</v>
      </c>
      <c r="D2" s="1570"/>
      <c r="E2" s="1571"/>
      <c r="F2" s="1572"/>
      <c r="G2" s="2933"/>
      <c r="H2" s="2922"/>
      <c r="I2" s="2922"/>
      <c r="J2" s="2922"/>
      <c r="K2" s="2923"/>
      <c r="L2" s="2922"/>
      <c r="M2" s="2922"/>
    </row>
    <row r="3" spans="1:37" ht="18" customHeight="1" thickBot="1">
      <c r="A3" s="1573" t="s">
        <v>1482</v>
      </c>
      <c r="B3" s="1574">
        <f ca="1">IF(ISERROR(B2*10000/F43),0,ROUND(B2*10000/F43,0))</f>
        <v>59520</v>
      </c>
      <c r="C3" s="1570" t="s">
        <v>1483</v>
      </c>
      <c r="D3" s="1570"/>
      <c r="E3" s="1571"/>
      <c r="F3" s="1572"/>
      <c r="G3" s="2933"/>
      <c r="H3" s="689" t="s">
        <v>1553</v>
      </c>
      <c r="I3" s="1565"/>
      <c r="J3" s="1565"/>
      <c r="K3" s="1566"/>
      <c r="L3" s="1565"/>
      <c r="M3" s="1565"/>
    </row>
    <row r="4" spans="1:37" ht="18" customHeight="1">
      <c r="A4" s="299" t="s">
        <v>1361</v>
      </c>
      <c r="B4" s="300" t="s">
        <v>1362</v>
      </c>
      <c r="C4" s="300" t="s">
        <v>1363</v>
      </c>
      <c r="D4" s="300" t="s">
        <v>1364</v>
      </c>
      <c r="E4" s="301" t="s">
        <v>1365</v>
      </c>
      <c r="F4" s="302"/>
      <c r="G4" s="1567"/>
      <c r="H4" s="299" t="s">
        <v>1361</v>
      </c>
      <c r="I4" s="300" t="s">
        <v>1362</v>
      </c>
      <c r="J4" s="300" t="s">
        <v>1363</v>
      </c>
      <c r="K4" s="300" t="s">
        <v>1364</v>
      </c>
      <c r="L4" s="301" t="s">
        <v>1365</v>
      </c>
      <c r="M4" s="302"/>
    </row>
    <row r="5" spans="1:37" ht="18" customHeight="1">
      <c r="A5" s="303">
        <v>1</v>
      </c>
      <c r="B5" s="304" t="s">
        <v>1366</v>
      </c>
      <c r="C5" s="1199">
        <f ca="1">C6+C10+C12</f>
        <v>17396</v>
      </c>
      <c r="D5" s="1547" t="s">
        <v>1367</v>
      </c>
      <c r="E5" s="1200"/>
      <c r="F5" s="1201"/>
      <c r="G5" s="1567"/>
      <c r="H5" s="303">
        <v>1</v>
      </c>
      <c r="I5" s="304" t="s">
        <v>1366</v>
      </c>
      <c r="J5" s="1199">
        <f ca="1">J6+J10+J12</f>
        <v>0</v>
      </c>
      <c r="K5" s="1547" t="s">
        <v>1367</v>
      </c>
      <c r="L5" s="1200"/>
      <c r="M5" s="1201"/>
    </row>
    <row r="6" spans="1:37" ht="18" customHeight="1">
      <c r="A6" s="1198" t="s">
        <v>1003</v>
      </c>
      <c r="B6" s="3349" t="s">
        <v>1368</v>
      </c>
      <c r="C6" s="1203">
        <f ca="1">ROUND(F6*F8*F7*(1-F9)/10000,0)</f>
        <v>17396</v>
      </c>
      <c r="D6" s="158" t="s">
        <v>2849</v>
      </c>
      <c r="E6" s="306" t="s">
        <v>1370</v>
      </c>
      <c r="F6" s="307">
        <f ca="1">INDIRECT("'数据-取费表'!u"&amp;$G$1)</f>
        <v>12</v>
      </c>
      <c r="G6" s="1567"/>
      <c r="H6" s="1198" t="s">
        <v>1003</v>
      </c>
      <c r="I6" s="3349" t="s">
        <v>1368</v>
      </c>
      <c r="J6" s="305">
        <f ca="1">ROUND(M6*M8*M7*(1-M9)/10000,0)</f>
        <v>0</v>
      </c>
      <c r="K6" s="158" t="s">
        <v>2848</v>
      </c>
      <c r="L6" s="306" t="s">
        <v>1370</v>
      </c>
      <c r="M6" s="307">
        <f ca="1">INDIRECT("'数据-取费表'!z"&amp;$G$1)</f>
        <v>0</v>
      </c>
    </row>
    <row r="7" spans="1:37" ht="18" customHeight="1">
      <c r="A7" s="1202"/>
      <c r="B7" s="3350"/>
      <c r="C7" s="1204"/>
      <c r="D7" s="311"/>
      <c r="E7" s="1205" t="s">
        <v>1371</v>
      </c>
      <c r="F7" s="307">
        <f ca="1">IF(INDIRECT("'数据-取费表'!ah"&amp;$G$1)="",INDIRECT("'数据-取费表'!k"&amp;$G$1),INDIRECT("'数据-取费表'!ah"&amp;$G$1))</f>
        <v>45131.9</v>
      </c>
      <c r="G7" s="1567"/>
      <c r="H7" s="308"/>
      <c r="I7" s="3350"/>
      <c r="J7" s="310"/>
      <c r="K7" s="311"/>
      <c r="L7" s="306" t="s">
        <v>1371</v>
      </c>
      <c r="M7" s="307">
        <f ca="1">F7</f>
        <v>45131.9</v>
      </c>
    </row>
    <row r="8" spans="1:37" ht="18" customHeight="1">
      <c r="A8" s="308"/>
      <c r="B8" s="3350"/>
      <c r="C8" s="310"/>
      <c r="D8" s="311"/>
      <c r="E8" s="306" t="s">
        <v>1372</v>
      </c>
      <c r="F8" s="307">
        <f ca="1">INDIRECT("'数据-取费表'!ai"&amp;$G$1)</f>
        <v>365</v>
      </c>
      <c r="G8" s="1567"/>
      <c r="H8" s="308"/>
      <c r="I8" s="3350"/>
      <c r="J8" s="310"/>
      <c r="K8" s="311"/>
      <c r="L8" s="306" t="s">
        <v>1372</v>
      </c>
      <c r="M8" s="307">
        <f ca="1">INDIRECT("'数据-取费表'!ai"&amp;$G$1)</f>
        <v>365</v>
      </c>
    </row>
    <row r="9" spans="1:37" ht="18" customHeight="1">
      <c r="A9" s="308"/>
      <c r="B9" s="3351"/>
      <c r="C9" s="310"/>
      <c r="D9" s="311"/>
      <c r="E9" s="306" t="s">
        <v>1373</v>
      </c>
      <c r="F9" s="316">
        <f ca="1">INDIRECT("'数据-取费表'!w"&amp;$G$1)</f>
        <v>0.12</v>
      </c>
      <c r="G9" s="1567"/>
      <c r="H9" s="308"/>
      <c r="I9" s="3351"/>
      <c r="J9" s="310"/>
      <c r="K9" s="311"/>
      <c r="L9" s="317" t="s">
        <v>1373</v>
      </c>
      <c r="M9" s="318">
        <f ca="1">INDIRECT("'数据-取费表'!ab"&amp;$G$1)</f>
        <v>0</v>
      </c>
    </row>
    <row r="10" spans="1:37" ht="18" customHeight="1">
      <c r="A10" s="1198" t="s">
        <v>1007</v>
      </c>
      <c r="B10" s="1548" t="s">
        <v>1374</v>
      </c>
      <c r="C10" s="320">
        <f ca="1">ROUND(IF(F10="押一",C6/12*F11,IF(F10="押二",C6/12*2*F11,IF(F10="押三",C6/12*3*F11,C11*F11))),0)</f>
        <v>0</v>
      </c>
      <c r="D10" s="1549" t="s">
        <v>2857</v>
      </c>
      <c r="E10" s="317" t="s">
        <v>1375</v>
      </c>
      <c r="F10" s="1273" t="s">
        <v>3086</v>
      </c>
      <c r="G10" s="1567"/>
      <c r="H10" s="1198" t="s">
        <v>1007</v>
      </c>
      <c r="I10" s="1548" t="s">
        <v>1374</v>
      </c>
      <c r="J10" s="305">
        <f ca="1">ROUND(IF(M10="押一",J6/12*M11,IF(M10="押二",J6/12*2*M11,IF(M10="押三",J6/12*3*M11,J11*M11))),0)</f>
        <v>0</v>
      </c>
      <c r="K10" s="1549" t="s">
        <v>2856</v>
      </c>
      <c r="L10" s="317" t="s">
        <v>1375</v>
      </c>
      <c r="M10" s="1273" t="s">
        <v>1376</v>
      </c>
    </row>
    <row r="11" spans="1:37" ht="18" customHeight="1">
      <c r="A11" s="312"/>
      <c r="B11" s="1550" t="s">
        <v>1353</v>
      </c>
      <c r="C11" s="1087"/>
      <c r="D11" s="1551"/>
      <c r="E11" s="317" t="s">
        <v>1377</v>
      </c>
      <c r="F11" s="318">
        <f ca="1">'数据-取费表'!B39</f>
        <v>1.4999999999999999E-2</v>
      </c>
      <c r="G11" s="1567"/>
      <c r="H11" s="1206"/>
      <c r="I11" s="1550" t="s">
        <v>1353</v>
      </c>
      <c r="J11" s="1087"/>
      <c r="K11" s="690"/>
      <c r="L11" s="317" t="s">
        <v>1377</v>
      </c>
      <c r="M11" s="968">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4">
        <f ca="1">ROUND(C29*F13,0)</f>
        <v>32369</v>
      </c>
      <c r="D13" s="1238" t="s">
        <v>1380</v>
      </c>
      <c r="E13" s="1238" t="s">
        <v>1381</v>
      </c>
      <c r="F13" s="1239">
        <f ca="1">INDIRECT("'数据-取费表'!y"&amp;$G$1)</f>
        <v>1</v>
      </c>
      <c r="G13" s="1567"/>
      <c r="H13" s="1236">
        <v>2</v>
      </c>
      <c r="I13" s="1237" t="s">
        <v>1379</v>
      </c>
      <c r="J13" s="1197">
        <f ca="1">ROUND(J14*J15,0)</f>
        <v>0</v>
      </c>
      <c r="K13" s="1244" t="s">
        <v>1380</v>
      </c>
      <c r="L13" s="1575"/>
      <c r="M13" s="1576"/>
    </row>
    <row r="14" spans="1:37" ht="18" customHeight="1">
      <c r="A14" s="1110" t="s">
        <v>1002</v>
      </c>
      <c r="B14" s="306" t="s">
        <v>1382</v>
      </c>
      <c r="C14" s="322">
        <f ca="1">INDIRECT("'数据-取费表'!m"&amp;$G$1)+INDIRECT("'数据-取费表'!t"&amp;$G$1)</f>
        <v>20309</v>
      </c>
      <c r="D14" s="1528" t="s">
        <v>1383</v>
      </c>
      <c r="E14" s="1525"/>
      <c r="F14" s="323"/>
      <c r="G14" s="1567"/>
      <c r="H14" s="1110" t="s">
        <v>1003</v>
      </c>
      <c r="I14" s="306" t="s">
        <v>1384</v>
      </c>
      <c r="J14" s="24">
        <f ca="1">C29</f>
        <v>32369</v>
      </c>
      <c r="K14" s="15"/>
      <c r="L14" s="913"/>
      <c r="M14" s="914"/>
    </row>
    <row r="15" spans="1:37" s="1580" customFormat="1" ht="18" customHeight="1" thickBot="1">
      <c r="A15" s="1110" t="s">
        <v>1004</v>
      </c>
      <c r="B15" s="306" t="s">
        <v>1385</v>
      </c>
      <c r="C15" s="24">
        <f ca="1">ROUND(C14*F15,0)</f>
        <v>1015</v>
      </c>
      <c r="D15" s="324" t="s">
        <v>1386</v>
      </c>
      <c r="E15" s="324" t="s">
        <v>1387</v>
      </c>
      <c r="F15" s="325">
        <f>'数据-取费表'!B33</f>
        <v>0.05</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1354</v>
      </c>
      <c r="B16" s="306" t="s">
        <v>1388</v>
      </c>
      <c r="C16" s="24">
        <f ca="1">ROUND(INDIRECT("'数据-取费表'!m"&amp;$G$1)*F16,0)</f>
        <v>0</v>
      </c>
      <c r="D16" s="306" t="s">
        <v>1386</v>
      </c>
      <c r="E16" s="306" t="s">
        <v>1387</v>
      </c>
      <c r="F16" s="326">
        <f ca="1">IF(INDIRECT("'数据-取费表'!c"&amp;$G$1)="住宅",'数据-取费表'!B34,0)</f>
        <v>0</v>
      </c>
      <c r="G16" s="1567"/>
      <c r="H16" s="1236" t="s">
        <v>998</v>
      </c>
      <c r="I16" s="1237" t="s">
        <v>1389</v>
      </c>
      <c r="J16" s="314">
        <f ca="1">ROUND(J17+J22+J23+J24,0)</f>
        <v>1259</v>
      </c>
      <c r="K16" s="1244" t="s">
        <v>1390</v>
      </c>
      <c r="L16" s="1245"/>
      <c r="M16" s="1201"/>
    </row>
    <row r="17" spans="1:37" s="1580" customFormat="1" ht="18" customHeight="1">
      <c r="A17" s="1110" t="s">
        <v>1355</v>
      </c>
      <c r="B17" s="306" t="s">
        <v>1391</v>
      </c>
      <c r="C17" s="24">
        <f ca="1">ROUND(F17*(F43+INDIRECT("'数据-取费表'!S"&amp;$G$1))/10000,0)</f>
        <v>1354</v>
      </c>
      <c r="D17" s="306" t="s">
        <v>1392</v>
      </c>
      <c r="E17" s="306" t="s">
        <v>1393</v>
      </c>
      <c r="F17" s="26">
        <f>'数据-取费表'!B35</f>
        <v>300</v>
      </c>
      <c r="G17" s="1579"/>
      <c r="H17" s="1110" t="s">
        <v>1003</v>
      </c>
      <c r="I17" s="306" t="s">
        <v>1394</v>
      </c>
      <c r="J17" s="2532">
        <f ca="1">ROUND(IF(AND(项目基本情况!B11="自然人",项目基本情况!B10="北京市"),J6*M17/(1+'数据-取费表'!C42),J18+J19+J20),0)</f>
        <v>288</v>
      </c>
      <c r="K17" s="1528" t="s">
        <v>1395</v>
      </c>
      <c r="L17" s="1527" t="s">
        <v>1396</v>
      </c>
      <c r="M17" s="2531">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1356</v>
      </c>
      <c r="B18" s="306" t="s">
        <v>1397</v>
      </c>
      <c r="C18" s="24">
        <f ca="1">ROUND(C14*F18,0)</f>
        <v>305</v>
      </c>
      <c r="D18" s="306" t="s">
        <v>1386</v>
      </c>
      <c r="E18" s="306" t="s">
        <v>1387</v>
      </c>
      <c r="F18" s="326">
        <f>'数据-取费表'!B36</f>
        <v>1.4999999999999999E-2</v>
      </c>
      <c r="G18" s="1579"/>
      <c r="H18" s="1110" t="s">
        <v>1002</v>
      </c>
      <c r="I18" s="306" t="s">
        <v>1398</v>
      </c>
      <c r="J18" s="24">
        <f ca="1">ROUND(J6*M18/(1+'数据-取费表'!C42),2)</f>
        <v>0</v>
      </c>
      <c r="K18" s="1527" t="s">
        <v>1399</v>
      </c>
      <c r="L18" s="306" t="s">
        <v>1387</v>
      </c>
      <c r="M18" s="326">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1003</v>
      </c>
      <c r="B19" s="306" t="s">
        <v>1400</v>
      </c>
      <c r="C19" s="24">
        <f ca="1">SUM(C14:C18)</f>
        <v>22983</v>
      </c>
      <c r="D19" s="134" t="s">
        <v>1401</v>
      </c>
      <c r="E19" s="1543"/>
      <c r="F19" s="26"/>
      <c r="G19" s="1567"/>
      <c r="H19" s="1110" t="s">
        <v>1004</v>
      </c>
      <c r="I19" s="306" t="s">
        <v>1402</v>
      </c>
      <c r="J19" s="24">
        <f ca="1">IF(K19="按租金收入计税",ROUND(J6*M19/(1+'数据-取费表'!C42),2),ROUND(C29*M19*0.7,2))</f>
        <v>271.89999999999998</v>
      </c>
      <c r="K19" s="1553" t="s">
        <v>1403</v>
      </c>
      <c r="L19" s="306" t="s">
        <v>1387</v>
      </c>
      <c r="M19" s="326">
        <f>IF(K19="按租金收入计税",'数据-取费表'!B51,'数据-取费表'!B50)</f>
        <v>1.2E-2</v>
      </c>
    </row>
    <row r="20" spans="1:37" s="1580" customFormat="1" ht="18" customHeight="1">
      <c r="A20" s="1110" t="s">
        <v>1007</v>
      </c>
      <c r="B20" s="306" t="s">
        <v>1404</v>
      </c>
      <c r="C20" s="24">
        <f ca="1">ROUND(C19*F20,0)</f>
        <v>460</v>
      </c>
      <c r="D20" s="327" t="s">
        <v>1405</v>
      </c>
      <c r="E20" s="306" t="s">
        <v>1387</v>
      </c>
      <c r="F20" s="326">
        <f>'数据-取费表'!B37</f>
        <v>0.02</v>
      </c>
      <c r="G20" s="1579"/>
      <c r="H20" s="1110" t="s">
        <v>1354</v>
      </c>
      <c r="I20" s="158" t="s">
        <v>1406</v>
      </c>
      <c r="J20" s="25">
        <f ca="1">ROUND(M20*M21/10000,2)</f>
        <v>15.73</v>
      </c>
      <c r="K20" s="328" t="s">
        <v>1407</v>
      </c>
      <c r="L20" s="306" t="s">
        <v>1408</v>
      </c>
      <c r="M20" s="329">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1043</v>
      </c>
      <c r="B21" s="306" t="s">
        <v>1409</v>
      </c>
      <c r="C21" s="24" t="s">
        <v>18</v>
      </c>
      <c r="D21" s="327" t="s">
        <v>1410</v>
      </c>
      <c r="E21" s="306" t="s">
        <v>1411</v>
      </c>
      <c r="F21" s="326">
        <f>'数据-取费表'!B38</f>
        <v>0.02</v>
      </c>
      <c r="G21" s="1579"/>
      <c r="H21" s="330"/>
      <c r="I21" s="315"/>
      <c r="J21" s="29"/>
      <c r="K21" s="331"/>
      <c r="L21" s="306" t="s">
        <v>1412</v>
      </c>
      <c r="M21" s="307">
        <f ca="1">INDIRECT("'数据-取费表'!r"&amp;$G$1)</f>
        <v>5242.4799999999996</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1357</v>
      </c>
      <c r="B22" s="306" t="s">
        <v>1413</v>
      </c>
      <c r="C22" s="24"/>
      <c r="D22" s="134" t="str">
        <f>IF(F23&lt;=1,"单利计息。","复利计息。")&amp;"建造成本、管理费用、销售费用产生的利息。"</f>
        <v>复利计息。建造成本、管理费用、销售费用产生的利息。</v>
      </c>
      <c r="E22" s="1543"/>
      <c r="F22" s="26"/>
      <c r="G22" s="1567"/>
      <c r="H22" s="1110" t="s">
        <v>1007</v>
      </c>
      <c r="I22" s="306" t="s">
        <v>1414</v>
      </c>
      <c r="J22" s="24">
        <f ca="1">ROUND(J14*M22,1)</f>
        <v>971.1</v>
      </c>
      <c r="K22" s="1527" t="s">
        <v>1415</v>
      </c>
      <c r="L22" s="306" t="s">
        <v>1387</v>
      </c>
      <c r="M22" s="332">
        <f ca="1">INDIRECT("'数据-取费表'!Ak"&amp;$G$1)</f>
        <v>0.03</v>
      </c>
    </row>
    <row r="23" spans="1:37" s="1580" customFormat="1" ht="18" customHeight="1">
      <c r="A23" s="1110" t="s">
        <v>1002</v>
      </c>
      <c r="B23" s="306" t="s">
        <v>1416</v>
      </c>
      <c r="C23" s="24">
        <f ca="1">IF('数据-取费表'!B22&lt;=1,ROUND(C19*F24*F23/2,0)+ROUND(C20*F24*F23/2,0),ROUND(C19*(POWER((1+F24),F23/2)-1),0)+ROUND(C20*(POWER((1+F24),F23/2)-1),0))</f>
        <v>1690</v>
      </c>
      <c r="D23" s="333" t="str">
        <f>IF(F23&lt;=1,"(建造成本+管理费用)×利率×(建设周期÷2)","(建造成本+管理费用)×((1+利率)^(建设周期÷2)-1)")</f>
        <v>(建造成本+管理费用)×((1+利率)^(建设周期÷2)-1)</v>
      </c>
      <c r="E23" s="306" t="s">
        <v>1417</v>
      </c>
      <c r="F23" s="329">
        <f>'数据-取费表'!B20</f>
        <v>3</v>
      </c>
      <c r="G23" s="1579"/>
      <c r="H23" s="1110" t="s">
        <v>1043</v>
      </c>
      <c r="I23" s="306" t="s">
        <v>1418</v>
      </c>
      <c r="J23" s="24">
        <f ca="1">ROUND(J13*M23,1)</f>
        <v>0</v>
      </c>
      <c r="K23" s="1527" t="s">
        <v>1419</v>
      </c>
      <c r="L23" s="306" t="s">
        <v>1420</v>
      </c>
      <c r="M23" s="334">
        <f ca="1">INDIRECT("'数据-取费表'!Al"&amp;$G$1)</f>
        <v>3.0000000000000001E-3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1421</v>
      </c>
      <c r="B24" s="306" t="s">
        <v>1422</v>
      </c>
      <c r="C24" s="24">
        <f ca="1">ROUND(IF('数据-取费表'!B22&lt;=1,F21*F24*F23/2,F21*(POWER((1+F24),F23/2)-1)),4)</f>
        <v>1.4E-3</v>
      </c>
      <c r="D24" s="333" t="str">
        <f>IF(F23&lt;=1,"销售费用×利率×(建设周期÷2)","销售费用×((1+利率)^(建设周期÷2)-1)")</f>
        <v>销售费用×((1+利率)^(建设周期÷2)-1)</v>
      </c>
      <c r="E24" s="306" t="s">
        <v>1423</v>
      </c>
      <c r="F24" s="335">
        <f ca="1">'数据-取费表'!B40</f>
        <v>4.7500000000000001E-2</v>
      </c>
      <c r="G24" s="1579"/>
      <c r="H24" s="1246" t="s">
        <v>1358</v>
      </c>
      <c r="I24" s="1247" t="s">
        <v>1404</v>
      </c>
      <c r="J24" s="1248">
        <f ca="1">ROUND(J5*M24,1)</f>
        <v>0</v>
      </c>
      <c r="K24" s="1249" t="s">
        <v>1424</v>
      </c>
      <c r="L24" s="1247" t="s">
        <v>1420</v>
      </c>
      <c r="M24" s="1243">
        <f ca="1">INDIRECT("'数据-取费表'!Am"&amp;$G$1)</f>
        <v>0.03</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0" t="s">
        <v>1425</v>
      </c>
      <c r="B25" s="306" t="s">
        <v>1426</v>
      </c>
      <c r="C25" s="24"/>
      <c r="D25" s="134" t="s">
        <v>1427</v>
      </c>
      <c r="E25" s="1543"/>
      <c r="F25" s="26"/>
      <c r="G25" s="1567"/>
      <c r="H25" s="1236" t="s">
        <v>999</v>
      </c>
      <c r="I25" s="1251" t="s">
        <v>1428</v>
      </c>
      <c r="J25" s="314">
        <f ca="1">J5-J16</f>
        <v>-1259</v>
      </c>
      <c r="K25" s="1252" t="s">
        <v>1429</v>
      </c>
      <c r="L25" s="1253"/>
      <c r="M25" s="1254"/>
    </row>
    <row r="26" spans="1:37">
      <c r="A26" s="1110" t="s">
        <v>1002</v>
      </c>
      <c r="B26" s="306" t="s">
        <v>1430</v>
      </c>
      <c r="C26" s="24">
        <f ca="1">ROUND((C19+C20)*F26,0)</f>
        <v>4689</v>
      </c>
      <c r="D26" s="327" t="s">
        <v>1431</v>
      </c>
      <c r="E26" s="317" t="s">
        <v>1432</v>
      </c>
      <c r="F26" s="316">
        <f ca="1">INDIRECT("'数据-取费表'!q"&amp;$G$1)</f>
        <v>0.2</v>
      </c>
      <c r="G26" s="1567"/>
      <c r="H26" s="303" t="s">
        <v>1000</v>
      </c>
      <c r="I26" s="304" t="s">
        <v>1433</v>
      </c>
      <c r="J26" s="305">
        <f ca="1">IF(J5&lt;&gt;0,ROUND(J25*(1-((1+M28)/(1+M26))^M27)/(M26-M28),0),0)</f>
        <v>0</v>
      </c>
      <c r="K26" s="328" t="s">
        <v>1434</v>
      </c>
      <c r="L26" s="306" t="s">
        <v>1435</v>
      </c>
      <c r="M26" s="316">
        <f ca="1">INDIRECT("'数据-取费表'!I"&amp;$G$1)</f>
        <v>0.06</v>
      </c>
    </row>
    <row r="27" spans="1:37" ht="18" customHeight="1">
      <c r="A27" s="1110" t="s">
        <v>1004</v>
      </c>
      <c r="B27" s="306" t="s">
        <v>1436</v>
      </c>
      <c r="C27" s="24">
        <f ca="1">ROUND(F21*F26,4)</f>
        <v>4.0000000000000001E-3</v>
      </c>
      <c r="D27" s="327" t="s">
        <v>1437</v>
      </c>
      <c r="E27" s="324"/>
      <c r="F27" s="325"/>
      <c r="G27" s="1567"/>
      <c r="H27" s="308"/>
      <c r="I27" s="309"/>
      <c r="J27" s="310"/>
      <c r="K27" s="336" t="s">
        <v>1438</v>
      </c>
      <c r="L27" s="306" t="s">
        <v>1439</v>
      </c>
      <c r="M27" s="337">
        <f ca="1">INDIRECT("'数据-取费表'!ag"&amp;$G$1)</f>
        <v>0</v>
      </c>
    </row>
    <row r="28" spans="1:37" s="1580" customFormat="1" ht="18" customHeight="1">
      <c r="A28" s="1110" t="s">
        <v>1005</v>
      </c>
      <c r="B28" s="306" t="s">
        <v>1440</v>
      </c>
      <c r="C28" s="24">
        <f>ROUND(F28/(1+'数据-取费表'!C42),4)</f>
        <v>5.33E-2</v>
      </c>
      <c r="D28" s="327" t="s">
        <v>1441</v>
      </c>
      <c r="E28" s="306" t="s">
        <v>1387</v>
      </c>
      <c r="F28" s="326">
        <f>'数据-取费表'!B41</f>
        <v>5.6000000000000001E-2</v>
      </c>
      <c r="G28" s="1579"/>
      <c r="H28" s="312"/>
      <c r="I28" s="313"/>
      <c r="J28" s="314"/>
      <c r="K28" s="331"/>
      <c r="L28" s="306" t="s">
        <v>1442</v>
      </c>
      <c r="M28" s="316">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32369</v>
      </c>
      <c r="D29" s="1249"/>
      <c r="E29" s="1247"/>
      <c r="F29" s="1250"/>
      <c r="G29" s="1579"/>
      <c r="H29" s="338" t="s">
        <v>1001</v>
      </c>
      <c r="I29" s="339" t="s">
        <v>1444</v>
      </c>
      <c r="J29" s="340">
        <f ca="1">ROUND(J26/(1+F40)^F41,0)</f>
        <v>0</v>
      </c>
      <c r="K29" s="341" t="s">
        <v>1445</v>
      </c>
      <c r="L29" s="342"/>
      <c r="M29" s="343">
        <f ca="1">INDIRECT("'数据-取费表'!k"&amp;$G$1)</f>
        <v>45131.9</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4">
        <f ca="1">ROUND(C31+C36+C37+C38,0)</f>
        <v>2805</v>
      </c>
      <c r="D30" s="1244" t="s">
        <v>1390</v>
      </c>
      <c r="E30" s="1245"/>
      <c r="F30" s="1201"/>
      <c r="G30" s="1567"/>
      <c r="H30" s="2924"/>
      <c r="I30" s="1581"/>
      <c r="J30" s="1582"/>
      <c r="K30" s="2699"/>
      <c r="L30" s="2925"/>
      <c r="M30" s="2926"/>
    </row>
    <row r="31" spans="1:37" ht="18" customHeight="1">
      <c r="A31" s="1110" t="s">
        <v>1003</v>
      </c>
      <c r="B31" s="306" t="s">
        <v>1394</v>
      </c>
      <c r="C31" s="2532">
        <f ca="1">ROUND(IF(AND(项目基本情况!B11="自然人",项目基本情况!B10="北京市"),C6*F31/(1+'数据-取费表'!C42),C32+C33+C34),0)</f>
        <v>1215</v>
      </c>
      <c r="D31" s="1528" t="s">
        <v>1395</v>
      </c>
      <c r="E31" s="1527" t="s">
        <v>1446</v>
      </c>
      <c r="F31" s="2531">
        <f ca="1">IF(项目基本情况!B11="企业","——",IF('数据-取费表'!B10="住宅",IF(F6*F7*F8/12/(1+'数据-取费表'!F30)&gt;100000,4%,2.5%),IF(F6*F7*F8/12/(1+'数据-取费表'!F30)&gt;100000,12%,7%)))</f>
        <v>0.12</v>
      </c>
      <c r="G31" s="1567"/>
      <c r="H31" s="3037" t="s">
        <v>3057</v>
      </c>
      <c r="I31" s="1581"/>
      <c r="J31" s="1582"/>
      <c r="K31" s="2699"/>
      <c r="L31" s="2925"/>
      <c r="M31" s="2926"/>
    </row>
    <row r="32" spans="1:37" ht="18" customHeight="1">
      <c r="A32" s="1110" t="s">
        <v>1002</v>
      </c>
      <c r="B32" s="306" t="s">
        <v>1398</v>
      </c>
      <c r="C32" s="24">
        <f ca="1">IF(项目基本情况!B11="自然人","——",ROUND(C6*F32/(1+'数据-取费表'!C42),2))</f>
        <v>927.79</v>
      </c>
      <c r="D32" s="1527" t="s">
        <v>1399</v>
      </c>
      <c r="E32" s="306" t="s">
        <v>1387</v>
      </c>
      <c r="F32" s="335">
        <f>'数据-取费表'!B41</f>
        <v>5.6000000000000001E-2</v>
      </c>
      <c r="G32" s="1567"/>
      <c r="H32" s="2924"/>
      <c r="I32" s="1581"/>
      <c r="J32" s="1582"/>
      <c r="K32" s="2699"/>
      <c r="L32" s="2925"/>
      <c r="M32" s="2926"/>
    </row>
    <row r="33" spans="1:18" ht="18" customHeight="1">
      <c r="A33" s="1110" t="s">
        <v>1004</v>
      </c>
      <c r="B33" s="306" t="s">
        <v>1402</v>
      </c>
      <c r="C33" s="24">
        <f ca="1">IF(项目基本情况!B11="自然人","——",IF(D33="按租金收入计税",ROUND(C6*F33/(1+'数据-取费表'!C42),2),IF(D33="按房产原值计税",ROUND(C29*F33*0.7,2),INDIRECT("'数据-取费表'!Aj"&amp;$G$1))))</f>
        <v>271.89999999999998</v>
      </c>
      <c r="D33" s="1553" t="s">
        <v>3087</v>
      </c>
      <c r="E33" s="306" t="s">
        <v>1387</v>
      </c>
      <c r="F33" s="326">
        <f>IF(D33="按票据","——",IF(D33="按租金收入计税",'数据-取费表'!B51,'数据-取费表'!B50))</f>
        <v>1.2E-2</v>
      </c>
      <c r="G33" s="1567"/>
      <c r="H33" s="2927"/>
      <c r="I33" s="1581"/>
      <c r="J33" s="1582"/>
      <c r="K33" s="2928"/>
      <c r="L33" s="2927"/>
      <c r="M33" s="2927"/>
    </row>
    <row r="34" spans="1:18" ht="18" customHeight="1">
      <c r="A34" s="1198" t="s">
        <v>1354</v>
      </c>
      <c r="B34" s="158" t="s">
        <v>1406</v>
      </c>
      <c r="C34" s="25">
        <f ca="1">IF(项目基本情况!B11="自然人","——",ROUND(F34*F35/10000,2))</f>
        <v>15.73</v>
      </c>
      <c r="D34" s="328" t="s">
        <v>1407</v>
      </c>
      <c r="E34" s="306" t="s">
        <v>1408</v>
      </c>
      <c r="F34" s="329">
        <f>'数据-取费表'!B52</f>
        <v>30</v>
      </c>
      <c r="G34" s="1567"/>
      <c r="H34" s="2924"/>
      <c r="I34" s="1581"/>
      <c r="J34" s="1582"/>
      <c r="K34" s="2929"/>
      <c r="L34" s="2930"/>
      <c r="M34" s="2930"/>
    </row>
    <row r="35" spans="1:18" ht="18" customHeight="1">
      <c r="A35" s="1260"/>
      <c r="B35" s="1258"/>
      <c r="C35" s="29"/>
      <c r="D35" s="331"/>
      <c r="E35" s="306" t="s">
        <v>1412</v>
      </c>
      <c r="F35" s="307">
        <f ca="1">INDIRECT("'数据-取费表'!r"&amp;$G$1)</f>
        <v>5242.4799999999996</v>
      </c>
      <c r="G35" s="1567"/>
      <c r="H35" s="2924"/>
      <c r="I35" s="1581"/>
      <c r="J35" s="1582"/>
      <c r="K35" s="2928"/>
      <c r="L35" s="2927"/>
      <c r="M35" s="2927"/>
    </row>
    <row r="36" spans="1:18" ht="18" customHeight="1">
      <c r="A36" s="1259" t="s">
        <v>1007</v>
      </c>
      <c r="B36" s="306" t="s">
        <v>1414</v>
      </c>
      <c r="C36" s="24">
        <f ca="1">ROUND(C29*F36,1)</f>
        <v>971.1</v>
      </c>
      <c r="D36" s="1527" t="s">
        <v>1447</v>
      </c>
      <c r="E36" s="306" t="s">
        <v>1387</v>
      </c>
      <c r="F36" s="332">
        <f ca="1">INDIRECT("'数据-取费表'!Ak"&amp;$G$1)</f>
        <v>0.03</v>
      </c>
      <c r="G36" s="1567"/>
      <c r="H36" s="2927"/>
      <c r="I36" s="1581"/>
      <c r="J36" s="1582"/>
      <c r="K36" s="2768"/>
      <c r="L36" s="2927"/>
      <c r="M36" s="2927"/>
    </row>
    <row r="37" spans="1:18" ht="18" customHeight="1">
      <c r="A37" s="1110" t="s">
        <v>1043</v>
      </c>
      <c r="B37" s="306" t="s">
        <v>1418</v>
      </c>
      <c r="C37" s="24">
        <f ca="1">ROUND(C13*F37,1)</f>
        <v>97.1</v>
      </c>
      <c r="D37" s="1527" t="s">
        <v>1419</v>
      </c>
      <c r="E37" s="306" t="s">
        <v>1420</v>
      </c>
      <c r="F37" s="334">
        <f ca="1">INDIRECT("'数据-取费表'!Al"&amp;$G$1)</f>
        <v>3.0000000000000001E-3</v>
      </c>
      <c r="G37" s="1567"/>
      <c r="H37" s="2927"/>
      <c r="I37" s="1581"/>
      <c r="J37" s="1582"/>
      <c r="K37" s="2768"/>
      <c r="L37" s="2927"/>
      <c r="M37" s="2927"/>
    </row>
    <row r="38" spans="1:18" ht="18" customHeight="1" thickBot="1">
      <c r="A38" s="1246" t="s">
        <v>1358</v>
      </c>
      <c r="B38" s="1247" t="s">
        <v>1404</v>
      </c>
      <c r="C38" s="1248">
        <f ca="1">ROUND(C5*F38,1)</f>
        <v>521.9</v>
      </c>
      <c r="D38" s="1249" t="s">
        <v>1424</v>
      </c>
      <c r="E38" s="1247" t="s">
        <v>1420</v>
      </c>
      <c r="F38" s="1243">
        <f ca="1">INDIRECT("'数据-取费表'!Am"&amp;$G$1)</f>
        <v>0.03</v>
      </c>
      <c r="G38" s="1567"/>
      <c r="H38" s="2927"/>
      <c r="I38" s="1581"/>
      <c r="J38" s="1582"/>
      <c r="K38" s="2931"/>
      <c r="L38" s="2927"/>
      <c r="M38" s="2927"/>
    </row>
    <row r="39" spans="1:18" ht="24.6" customHeight="1" thickTop="1">
      <c r="A39" s="1236" t="s">
        <v>999</v>
      </c>
      <c r="B39" s="1251" t="s">
        <v>1448</v>
      </c>
      <c r="C39" s="314">
        <f ca="1">C5-C30</f>
        <v>14591</v>
      </c>
      <c r="D39" s="1252" t="s">
        <v>1449</v>
      </c>
      <c r="E39" s="1253"/>
      <c r="F39" s="1254"/>
      <c r="G39" s="1567"/>
      <c r="H39" s="2927"/>
      <c r="I39" s="1581"/>
      <c r="J39" s="1582"/>
      <c r="K39" s="2931"/>
      <c r="L39" s="2927"/>
      <c r="M39" s="2927"/>
    </row>
    <row r="40" spans="1:18" ht="18" customHeight="1">
      <c r="A40" s="303" t="s">
        <v>1000</v>
      </c>
      <c r="B40" s="304" t="s">
        <v>1450</v>
      </c>
      <c r="C40" s="305">
        <f ca="1">ROUND(C39*(1-((1+F42)/(1+F40))^F41)/(F40-F42),0)</f>
        <v>268626</v>
      </c>
      <c r="D40" s="328" t="s">
        <v>1434</v>
      </c>
      <c r="E40" s="306" t="s">
        <v>1435</v>
      </c>
      <c r="F40" s="316">
        <f ca="1">INDIRECT("'数据-取费表'!I"&amp;$G$1)</f>
        <v>0.06</v>
      </c>
      <c r="G40" s="1567"/>
      <c r="H40" s="1644"/>
      <c r="I40" s="1581"/>
      <c r="J40" s="1582"/>
      <c r="K40" s="2931"/>
      <c r="L40" s="1644"/>
      <c r="M40" s="1644"/>
    </row>
    <row r="41" spans="1:18" ht="18" customHeight="1">
      <c r="A41" s="308"/>
      <c r="B41" s="309"/>
      <c r="C41" s="310"/>
      <c r="D41" s="336" t="s">
        <v>1451</v>
      </c>
      <c r="E41" s="306" t="s">
        <v>1439</v>
      </c>
      <c r="F41" s="337">
        <f ca="1">IF(INDIRECT("'数据-取费表'!af"&amp;$G$1)=0,INDIRECT("'数据-取费表'!ae"&amp;$G$1),INDIRECT("'数据-取费表'!af"&amp;$G$1))</f>
        <v>30.791</v>
      </c>
      <c r="G41" s="1567"/>
      <c r="H41" s="1350"/>
      <c r="I41" s="1581"/>
      <c r="J41" s="1582"/>
      <c r="K41" s="2768"/>
      <c r="L41" s="1350"/>
      <c r="M41" s="1350"/>
    </row>
    <row r="42" spans="1:18" ht="18" customHeight="1">
      <c r="A42" s="312"/>
      <c r="B42" s="313"/>
      <c r="C42" s="314"/>
      <c r="D42" s="331"/>
      <c r="E42" s="306" t="s">
        <v>1442</v>
      </c>
      <c r="F42" s="316">
        <f ca="1">INDIRECT("'数据-取费表'!v"&amp;$G$1)</f>
        <v>2.5000000000000001E-2</v>
      </c>
      <c r="G42" s="1567"/>
      <c r="H42" s="1350"/>
      <c r="I42" s="1581"/>
      <c r="J42" s="1582"/>
      <c r="K42" s="2768"/>
      <c r="L42" s="1350"/>
      <c r="M42" s="1350"/>
    </row>
    <row r="43" spans="1:18" ht="18" customHeight="1" thickBot="1">
      <c r="A43" s="338" t="s">
        <v>1001</v>
      </c>
      <c r="B43" s="339" t="s">
        <v>1452</v>
      </c>
      <c r="C43" s="340">
        <f ca="1">ROUND(C40*10000/F43,0)</f>
        <v>59520</v>
      </c>
      <c r="D43" s="341" t="s">
        <v>1453</v>
      </c>
      <c r="E43" s="342" t="s">
        <v>1454</v>
      </c>
      <c r="F43" s="343">
        <f ca="1">INDIRECT("'数据-取费表'!k"&amp;$G$1)</f>
        <v>45131.9</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2"/>
      <c r="O45" s="2932" t="s">
        <v>1484</v>
      </c>
      <c r="P45" s="1644"/>
      <c r="Q45" s="1644"/>
      <c r="R45" s="1644"/>
    </row>
    <row r="46" spans="1:18" s="1567" customFormat="1" ht="13.5" thickBot="1">
      <c r="A46" s="1587" t="s">
        <v>1485</v>
      </c>
      <c r="C46" s="1588">
        <f ca="1">C68-C40</f>
        <v>-287468</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4" t="s">
        <v>1361</v>
      </c>
      <c r="B47" s="1106" t="s">
        <v>1362</v>
      </c>
      <c r="C47" s="1274" t="s">
        <v>1363</v>
      </c>
      <c r="D47" s="1106" t="s">
        <v>1364</v>
      </c>
      <c r="E47" s="1186" t="s">
        <v>1365</v>
      </c>
      <c r="F47" s="1187"/>
      <c r="G47" s="728"/>
      <c r="I47" s="1597" t="s">
        <v>1491</v>
      </c>
      <c r="J47" s="1598" t="s">
        <v>3088</v>
      </c>
      <c r="K47" s="1599" t="s">
        <v>1492</v>
      </c>
      <c r="L47" s="1600">
        <f ca="1">INDIRECT("'数据-取费表'!d"&amp;$G$1)</f>
        <v>50</v>
      </c>
      <c r="M47" s="1563" t="str">
        <f>IF(ISNUMBER(FIND("住宅",C1)),"住宅","非住宅")</f>
        <v>非住宅</v>
      </c>
      <c r="O47" s="1601" t="s">
        <v>1008</v>
      </c>
      <c r="P47" s="1602" t="s">
        <v>1493</v>
      </c>
      <c r="Q47" s="1603">
        <f ca="1">C40+J29</f>
        <v>268626</v>
      </c>
      <c r="R47" s="1603" t="s">
        <v>1494</v>
      </c>
    </row>
    <row r="48" spans="1:18" s="1567" customFormat="1" ht="28.5" thickBot="1">
      <c r="A48" s="1267" t="s">
        <v>1103</v>
      </c>
      <c r="B48" s="304" t="s">
        <v>1366</v>
      </c>
      <c r="C48" s="1542">
        <f ca="1">C49+C53+C55</f>
        <v>0</v>
      </c>
      <c r="D48" s="1269"/>
      <c r="E48" s="1270"/>
      <c r="F48" s="1090"/>
      <c r="G48" s="728"/>
      <c r="H48" s="729"/>
      <c r="I48" s="1604" t="s">
        <v>1495</v>
      </c>
      <c r="J48" s="1605" t="s">
        <v>3089</v>
      </c>
      <c r="K48" s="1606" t="s">
        <v>1496</v>
      </c>
      <c r="L48" s="1607">
        <f ca="1">INDIRECT("'数据-取费表'!f"&amp;$G$1)</f>
        <v>32.54</v>
      </c>
      <c r="O48" s="1601" t="s">
        <v>1009</v>
      </c>
      <c r="P48" s="1602" t="s">
        <v>1497</v>
      </c>
      <c r="Q48" s="1603" t="str">
        <f ca="1">J60</f>
        <v>0</v>
      </c>
      <c r="R48" s="1603" t="s">
        <v>1498</v>
      </c>
    </row>
    <row r="49" spans="1:18" s="1567" customFormat="1" ht="13.5" thickBot="1">
      <c r="A49" s="1103" t="s">
        <v>1104</v>
      </c>
      <c r="B49" s="1554" t="s">
        <v>1455</v>
      </c>
      <c r="C49" s="1271">
        <f ca="1">ROUND(F49*F51*F50*(1-F52)/10000,0)</f>
        <v>0</v>
      </c>
      <c r="D49" s="1183" t="s">
        <v>2850</v>
      </c>
      <c r="E49" s="1555" t="s">
        <v>1456</v>
      </c>
      <c r="F49" s="1188"/>
      <c r="G49" s="1608"/>
      <c r="H49" s="729"/>
      <c r="I49" s="1604" t="s">
        <v>1499</v>
      </c>
      <c r="J49" s="1609"/>
      <c r="K49" s="1606" t="s">
        <v>1500</v>
      </c>
      <c r="L49" s="1610"/>
      <c r="O49" s="1611" t="s">
        <v>1010</v>
      </c>
      <c r="P49" s="1602" t="s">
        <v>1501</v>
      </c>
      <c r="Q49" s="1603">
        <f ca="1">C29</f>
        <v>32369</v>
      </c>
      <c r="R49" s="1603" t="s">
        <v>1494</v>
      </c>
    </row>
    <row r="50" spans="1:18" s="1567" customFormat="1" ht="13.5" thickBot="1">
      <c r="A50" s="1104"/>
      <c r="B50" s="1107"/>
      <c r="C50" s="1275"/>
      <c r="D50" s="1081"/>
      <c r="E50" s="1184" t="s">
        <v>1371</v>
      </c>
      <c r="F50" s="1185">
        <f ca="1">F7</f>
        <v>45131.9</v>
      </c>
      <c r="H50" s="729"/>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5"/>
      <c r="B51" s="1107"/>
      <c r="C51" s="1108"/>
      <c r="D51" s="1081"/>
      <c r="E51" s="1109" t="s">
        <v>1372</v>
      </c>
      <c r="F51" s="307">
        <f ca="1">F8</f>
        <v>365</v>
      </c>
      <c r="I51" s="1615" t="s">
        <v>1505</v>
      </c>
      <c r="J51" s="1616">
        <f>IF(J49="",J50,J49+J50-YEAR('数据-取费表'!B2))</f>
        <v>60</v>
      </c>
      <c r="K51" s="1617" t="s">
        <v>1506</v>
      </c>
      <c r="L51" s="1618">
        <f ca="1">ROUND(-PV(INDIRECT("'数据-取费表'!h"&amp;$G$1),J51,(C39-C13*C76),0),0)</f>
        <v>224116</v>
      </c>
      <c r="M51" s="1619"/>
      <c r="O51" s="1611" t="s">
        <v>1012</v>
      </c>
      <c r="P51" s="1602" t="s">
        <v>1507</v>
      </c>
      <c r="Q51" s="1614">
        <f>J52</f>
        <v>0</v>
      </c>
      <c r="R51" s="1603"/>
    </row>
    <row r="52" spans="1:18" s="1567" customFormat="1" ht="13.5" thickBot="1">
      <c r="A52" s="1105"/>
      <c r="B52" s="1107"/>
      <c r="C52" s="1108"/>
      <c r="D52" s="1081"/>
      <c r="E52" s="1109" t="s">
        <v>1373</v>
      </c>
      <c r="F52" s="1182"/>
      <c r="I52" s="1620" t="s">
        <v>1508</v>
      </c>
      <c r="J52" s="1621"/>
      <c r="K52" s="1620" t="s">
        <v>1509</v>
      </c>
      <c r="L52" s="1621"/>
      <c r="O52" s="1611" t="s">
        <v>1013</v>
      </c>
      <c r="P52" s="1602" t="s">
        <v>1510</v>
      </c>
      <c r="Q52" s="1603">
        <f ca="1">J53</f>
        <v>30.791</v>
      </c>
      <c r="R52" s="1603" t="s">
        <v>1511</v>
      </c>
    </row>
    <row r="53" spans="1:18" s="1567" customFormat="1" ht="24.75" thickBot="1">
      <c r="A53" s="1311" t="s">
        <v>1105</v>
      </c>
      <c r="B53" s="1556" t="s">
        <v>1374</v>
      </c>
      <c r="C53" s="320">
        <f ca="1">ROUND(IF(F53="押一",C49/12*F11,IF(F53="押二",C49/12*2*F11,IF(F53="押三",C49/12*3*F11,C54*F11))),0)</f>
        <v>0</v>
      </c>
      <c r="D53" s="1549" t="s">
        <v>2856</v>
      </c>
      <c r="E53" s="317" t="s">
        <v>1375</v>
      </c>
      <c r="F53" s="1273"/>
      <c r="I53" s="1622" t="s">
        <v>1512</v>
      </c>
      <c r="J53" s="2384">
        <f ca="1">IF(M47="住宅",IF(D1="——",MAX(J51,L48),MAX(J51,L48-'数据-取费表'!B24)),IF(D1="——",MIN(J51,L48),MIN(J51,L48-'数据-取费表'!B24)))</f>
        <v>30.791</v>
      </c>
      <c r="K53" s="3347" t="s">
        <v>1513</v>
      </c>
      <c r="L53" s="3348"/>
      <c r="O53" s="1601" t="s">
        <v>1014</v>
      </c>
      <c r="P53" s="1602" t="s">
        <v>1514</v>
      </c>
      <c r="Q53" s="1603">
        <f ca="1">Q47+Q48</f>
        <v>268626</v>
      </c>
      <c r="R53" s="1603" t="s">
        <v>1015</v>
      </c>
    </row>
    <row r="54" spans="1:18" s="1567" customFormat="1" ht="13.5" thickBot="1">
      <c r="A54" s="1312"/>
      <c r="B54" s="1550" t="s">
        <v>1353</v>
      </c>
      <c r="C54" s="1087"/>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0" t="s">
        <v>1043</v>
      </c>
      <c r="B55" s="1552" t="s">
        <v>1378</v>
      </c>
      <c r="C55" s="1241"/>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5">
        <v>2</v>
      </c>
      <c r="B56" s="1086" t="s">
        <v>1379</v>
      </c>
      <c r="C56" s="236">
        <f ca="1">C13</f>
        <v>32369</v>
      </c>
      <c r="D56" s="1630"/>
      <c r="E56" s="1631"/>
      <c r="F56" s="1623"/>
      <c r="I56" s="1632" t="s">
        <v>1519</v>
      </c>
      <c r="J56" s="1633" t="s">
        <v>3065</v>
      </c>
      <c r="K56" s="1604" t="s">
        <v>1520</v>
      </c>
      <c r="L56" s="1607" t="str">
        <f ca="1">IF(L48&lt;J51,"——",L48-J53)</f>
        <v>——</v>
      </c>
      <c r="O56" s="1601" t="s">
        <v>1008</v>
      </c>
      <c r="P56" s="1602" t="s">
        <v>1493</v>
      </c>
      <c r="Q56" s="1603">
        <f ca="1">C40+J29</f>
        <v>268626</v>
      </c>
      <c r="R56" s="1603" t="s">
        <v>1494</v>
      </c>
    </row>
    <row r="57" spans="1:18" s="1567" customFormat="1" ht="24.75" thickBot="1">
      <c r="A57" s="1634"/>
      <c r="B57" s="1078" t="s">
        <v>1443</v>
      </c>
      <c r="C57" s="242">
        <f ca="1">C29</f>
        <v>32369</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19" t="s">
        <v>998</v>
      </c>
      <c r="B58" s="1086" t="s">
        <v>1389</v>
      </c>
      <c r="C58" s="320">
        <f ca="1">ROUND(C59+C64+C65+C66,0)</f>
        <v>1356</v>
      </c>
      <c r="D58" s="1088" t="s">
        <v>1390</v>
      </c>
      <c r="E58" s="1089"/>
      <c r="F58" s="1090"/>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0" t="s">
        <v>1003</v>
      </c>
      <c r="B59" s="1078" t="s">
        <v>1394</v>
      </c>
      <c r="C59" s="2532">
        <f ca="1">ROUND(IF(AND(项目基本情况!B11="自然人",项目基本情况!B10="北京市"),C49*F59/(1+'数据-取费表'!C42),C60+C61+C62),0)</f>
        <v>288</v>
      </c>
      <c r="D59" s="1091" t="s">
        <v>1395</v>
      </c>
      <c r="E59" s="1092" t="s">
        <v>1396</v>
      </c>
      <c r="F59" s="2531">
        <f ca="1">IF(项目基本情况!B11="企业","——",IF('数据-取费表'!B10="住宅",IF(F49*F50*F51/12/(1+'数据-取费表'!F30)&gt;100000,4%,2.5%),IF(F49*F50*F51/12/(1+'数据-取费表'!F30)&gt;100000,12%,7%)))</f>
        <v>7.0000000000000007E-2</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0" t="s">
        <v>1002</v>
      </c>
      <c r="B60" s="1078" t="s">
        <v>1398</v>
      </c>
      <c r="C60" s="24">
        <f ca="1">IF(项目基本情况!B11="自然人","——",ROUND(C48*F60/(1+'数据-取费表'!C42),2))</f>
        <v>0</v>
      </c>
      <c r="D60" s="1092" t="s">
        <v>1399</v>
      </c>
      <c r="E60" s="1078" t="s">
        <v>1387</v>
      </c>
      <c r="F60" s="335">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0" t="s">
        <v>1457</v>
      </c>
      <c r="B61" s="1078" t="s">
        <v>1458</v>
      </c>
      <c r="C61" s="24">
        <f ca="1">IF(项目基本情况!B11="自然人","——",IF(D61="按租金收入计税",ROUND(C48*F61,2),IF(D61="按房产原值计税",ROUND(C57*F61*0.7,2),INDIRECT("'数据-取费表'!Aj"&amp;$G$1))))</f>
        <v>271.89999999999998</v>
      </c>
      <c r="D61" s="1553" t="s">
        <v>1403</v>
      </c>
      <c r="E61" s="1078" t="s">
        <v>1459</v>
      </c>
      <c r="F61" s="326">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0" t="s">
        <v>1460</v>
      </c>
      <c r="B62" s="1077" t="s">
        <v>1461</v>
      </c>
      <c r="C62" s="25">
        <f ca="1">IF(项目基本情况!B11="自然人","——",ROUND(F62*F63/10000,2))</f>
        <v>15.73</v>
      </c>
      <c r="D62" s="1093" t="s">
        <v>1462</v>
      </c>
      <c r="E62" s="1078" t="s">
        <v>1463</v>
      </c>
      <c r="F62" s="329">
        <f t="shared" si="0"/>
        <v>30</v>
      </c>
      <c r="I62" s="1645" t="s">
        <v>1535</v>
      </c>
      <c r="J62" s="1646" t="s">
        <v>1536</v>
      </c>
      <c r="K62" s="1646" t="s">
        <v>1537</v>
      </c>
      <c r="L62" s="1646" t="s">
        <v>1538</v>
      </c>
      <c r="M62" s="1647" t="s">
        <v>1539</v>
      </c>
      <c r="O62" s="1601" t="s">
        <v>1014</v>
      </c>
      <c r="P62" s="1602" t="s">
        <v>1540</v>
      </c>
      <c r="Q62" s="1603">
        <f ca="1">Q56+Q57</f>
        <v>268626</v>
      </c>
      <c r="R62" s="1603" t="s">
        <v>1015</v>
      </c>
    </row>
    <row r="63" spans="1:18" s="1567" customFormat="1" ht="13.5" thickBot="1">
      <c r="A63" s="330"/>
      <c r="B63" s="1084"/>
      <c r="C63" s="29"/>
      <c r="D63" s="1094"/>
      <c r="E63" s="1078" t="s">
        <v>1464</v>
      </c>
      <c r="F63" s="307">
        <f t="shared" ca="1" si="0"/>
        <v>5242.4799999999996</v>
      </c>
      <c r="I63" s="1645" t="s">
        <v>1541</v>
      </c>
      <c r="J63" s="1646">
        <v>70</v>
      </c>
      <c r="K63" s="1646">
        <v>50</v>
      </c>
      <c r="L63" s="1646">
        <v>80</v>
      </c>
      <c r="M63" s="1648">
        <v>0.02</v>
      </c>
      <c r="O63" s="1586" t="s">
        <v>1542</v>
      </c>
      <c r="P63" s="1564"/>
      <c r="Q63" s="1564"/>
      <c r="R63" s="1564"/>
    </row>
    <row r="64" spans="1:18" s="1567" customFormat="1" ht="13.5" thickBot="1">
      <c r="A64" s="1110" t="s">
        <v>1465</v>
      </c>
      <c r="B64" s="1078" t="s">
        <v>1466</v>
      </c>
      <c r="C64" s="24">
        <f ca="1">ROUND(C57*F64,1)</f>
        <v>971.1</v>
      </c>
      <c r="D64" s="1092" t="s">
        <v>1467</v>
      </c>
      <c r="E64" s="1078" t="s">
        <v>1459</v>
      </c>
      <c r="F64" s="332">
        <f t="shared" ca="1" si="0"/>
        <v>0.03</v>
      </c>
      <c r="I64" s="1645" t="s">
        <v>1543</v>
      </c>
      <c r="J64" s="1646">
        <v>50</v>
      </c>
      <c r="K64" s="1646">
        <v>35</v>
      </c>
      <c r="L64" s="1646">
        <v>60</v>
      </c>
      <c r="M64" s="1647">
        <v>0</v>
      </c>
      <c r="O64" s="1594" t="s">
        <v>1487</v>
      </c>
      <c r="P64" s="1595" t="s">
        <v>1488</v>
      </c>
      <c r="Q64" s="1596" t="s">
        <v>1489</v>
      </c>
      <c r="R64" s="1596" t="s">
        <v>1490</v>
      </c>
    </row>
    <row r="65" spans="1:18" s="1567" customFormat="1" ht="13.5" thickBot="1">
      <c r="A65" s="1110" t="s">
        <v>1468</v>
      </c>
      <c r="B65" s="1078" t="s">
        <v>1418</v>
      </c>
      <c r="C65" s="24">
        <f ca="1">ROUND(C56*F65,1)</f>
        <v>97.1</v>
      </c>
      <c r="D65" s="1092" t="s">
        <v>1419</v>
      </c>
      <c r="E65" s="1078" t="s">
        <v>1420</v>
      </c>
      <c r="F65" s="334">
        <f t="shared" ca="1" si="0"/>
        <v>3.0000000000000001E-3</v>
      </c>
      <c r="I65" s="1645" t="s">
        <v>1544</v>
      </c>
      <c r="J65" s="1646">
        <v>40</v>
      </c>
      <c r="K65" s="1646">
        <v>30</v>
      </c>
      <c r="L65" s="1646">
        <v>50</v>
      </c>
      <c r="M65" s="1648">
        <v>0.02</v>
      </c>
      <c r="O65" s="1601" t="s">
        <v>1008</v>
      </c>
      <c r="P65" s="1602" t="s">
        <v>1545</v>
      </c>
      <c r="Q65" s="1603">
        <f ca="1">C40+J29</f>
        <v>268626</v>
      </c>
      <c r="R65" s="1603" t="s">
        <v>1494</v>
      </c>
    </row>
    <row r="66" spans="1:18" s="1567" customFormat="1" ht="16.5" thickBot="1">
      <c r="A66" s="1110" t="s">
        <v>1469</v>
      </c>
      <c r="B66" s="1078" t="s">
        <v>1404</v>
      </c>
      <c r="C66" s="24">
        <f ca="1">ROUND(C48*F66,1)</f>
        <v>0</v>
      </c>
      <c r="D66" s="1092" t="s">
        <v>1470</v>
      </c>
      <c r="E66" s="1078" t="s">
        <v>1387</v>
      </c>
      <c r="F66" s="316">
        <f t="shared" ca="1" si="0"/>
        <v>0.03</v>
      </c>
      <c r="O66" s="1601" t="s">
        <v>1009</v>
      </c>
      <c r="P66" s="1602" t="s">
        <v>1523</v>
      </c>
      <c r="Q66" s="1603">
        <f ca="1">L60</f>
        <v>0</v>
      </c>
      <c r="R66" s="1603" t="s">
        <v>1546</v>
      </c>
    </row>
    <row r="67" spans="1:18" s="1567" customFormat="1" ht="16.5" thickBot="1">
      <c r="A67" s="1085" t="s">
        <v>999</v>
      </c>
      <c r="B67" s="1095" t="s">
        <v>1428</v>
      </c>
      <c r="C67" s="320">
        <f ca="1">C48-C58</f>
        <v>-1356</v>
      </c>
      <c r="D67" s="1091" t="s">
        <v>1429</v>
      </c>
      <c r="E67" s="1096"/>
      <c r="F67" s="1097"/>
      <c r="O67" s="1611" t="s">
        <v>1010</v>
      </c>
      <c r="P67" s="1602" t="s">
        <v>1527</v>
      </c>
      <c r="Q67" s="1649">
        <f ca="1">L51</f>
        <v>224116</v>
      </c>
      <c r="R67" s="1603" t="s">
        <v>1547</v>
      </c>
    </row>
    <row r="68" spans="1:18" s="1567" customFormat="1" ht="16.5" thickBot="1">
      <c r="A68" s="1075" t="s">
        <v>1000</v>
      </c>
      <c r="B68" s="1076" t="s">
        <v>1450</v>
      </c>
      <c r="C68" s="305">
        <f ca="1">ROUND(C67*(1-((1+F70)/(1+F68))^F69)/(F68-F70),0)</f>
        <v>-18842</v>
      </c>
      <c r="D68" s="1093" t="s">
        <v>1434</v>
      </c>
      <c r="E68" s="1078" t="s">
        <v>1435</v>
      </c>
      <c r="F68" s="316">
        <f ca="1">F40</f>
        <v>0.06</v>
      </c>
      <c r="O68" s="1611" t="s">
        <v>1011</v>
      </c>
      <c r="P68" s="1650" t="s">
        <v>1548</v>
      </c>
      <c r="Q68" s="1603">
        <f ca="1">ROUND(Q69-Q70*Q71,0)</f>
        <v>11840</v>
      </c>
      <c r="R68" s="1603" t="s">
        <v>1019</v>
      </c>
    </row>
    <row r="69" spans="1:18" s="1567" customFormat="1" ht="13.5" thickBot="1">
      <c r="A69" s="1079"/>
      <c r="B69" s="1080"/>
      <c r="C69" s="310"/>
      <c r="D69" s="1098" t="s">
        <v>1438</v>
      </c>
      <c r="E69" s="1078" t="s">
        <v>1439</v>
      </c>
      <c r="F69" s="337">
        <f ca="1">F41</f>
        <v>30.791</v>
      </c>
      <c r="O69" s="1611" t="s">
        <v>1016</v>
      </c>
      <c r="P69" s="1650" t="s">
        <v>1549</v>
      </c>
      <c r="Q69" s="1603">
        <f ca="1">C39</f>
        <v>14591</v>
      </c>
      <c r="R69" s="1603" t="s">
        <v>1494</v>
      </c>
    </row>
    <row r="70" spans="1:18" s="1567" customFormat="1" ht="13.5" thickBot="1">
      <c r="A70" s="1082"/>
      <c r="B70" s="1083"/>
      <c r="C70" s="314"/>
      <c r="D70" s="1094"/>
      <c r="E70" s="1078" t="s">
        <v>1442</v>
      </c>
      <c r="F70" s="1182"/>
      <c r="O70" s="1611" t="s">
        <v>1017</v>
      </c>
      <c r="P70" s="1650" t="s">
        <v>1550</v>
      </c>
      <c r="Q70" s="1603">
        <f ca="1">C13</f>
        <v>32369</v>
      </c>
      <c r="R70" s="1603" t="s">
        <v>1494</v>
      </c>
    </row>
    <row r="71" spans="1:18" s="1567" customFormat="1" ht="13.5" thickBot="1">
      <c r="A71" s="1099" t="s">
        <v>1001</v>
      </c>
      <c r="B71" s="1100" t="s">
        <v>1452</v>
      </c>
      <c r="C71" s="340">
        <f ca="1">ROUND(C68*10000/F71,0)</f>
        <v>-4175</v>
      </c>
      <c r="D71" s="1101" t="s">
        <v>1453</v>
      </c>
      <c r="E71" s="1102" t="s">
        <v>1454</v>
      </c>
      <c r="F71" s="343">
        <f ca="1">F43</f>
        <v>45131.9</v>
      </c>
      <c r="O71" s="1611" t="s">
        <v>1018</v>
      </c>
      <c r="P71" s="1650" t="s">
        <v>1551</v>
      </c>
      <c r="Q71" s="1614">
        <f ca="1">C76</f>
        <v>8.5000000000000006E-2</v>
      </c>
      <c r="R71" s="1603"/>
    </row>
    <row r="72" spans="1:18" s="1567" customFormat="1" ht="13.5" thickBot="1">
      <c r="B72" s="732"/>
      <c r="C72" s="732"/>
      <c r="O72" s="1611" t="s">
        <v>1012</v>
      </c>
      <c r="P72" s="1602" t="s">
        <v>1529</v>
      </c>
      <c r="Q72" s="1614">
        <f>L52</f>
        <v>0</v>
      </c>
      <c r="R72" s="1603"/>
    </row>
    <row r="73" spans="1:18" ht="16.5" thickBot="1">
      <c r="A73" s="1567"/>
      <c r="B73" s="732"/>
      <c r="C73" s="732"/>
      <c r="D73" s="1567"/>
      <c r="E73" s="1567"/>
      <c r="F73" s="1567"/>
      <c r="O73" s="1611" t="s">
        <v>1013</v>
      </c>
      <c r="P73" s="1602" t="s">
        <v>1532</v>
      </c>
      <c r="Q73" s="1603" t="e">
        <f ca="1">L58</f>
        <v>#DIV/0!</v>
      </c>
      <c r="R73" s="1603" t="s">
        <v>1533</v>
      </c>
    </row>
    <row r="74" spans="1:18" ht="13.5" thickBot="1">
      <c r="A74" s="1567"/>
      <c r="B74" s="277"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4" t="s">
        <v>1471</v>
      </c>
      <c r="C75" s="345">
        <f ca="1">ROUND(C13*C76,0)</f>
        <v>2751</v>
      </c>
      <c r="D75" s="1567"/>
      <c r="E75" s="1567"/>
      <c r="F75" s="1567"/>
      <c r="K75" s="1585"/>
      <c r="L75" s="1567"/>
      <c r="O75" s="1601" t="s">
        <v>1014</v>
      </c>
      <c r="P75" s="1602" t="s">
        <v>1514</v>
      </c>
      <c r="Q75" s="1603">
        <f ca="1">Q65+Q66</f>
        <v>268626</v>
      </c>
      <c r="R75" s="1603" t="s">
        <v>1015</v>
      </c>
    </row>
    <row r="76" spans="1:18">
      <c r="B76" s="346" t="s">
        <v>1472</v>
      </c>
      <c r="C76" s="347">
        <f ca="1">INDIRECT("'数据-取费表'!j"&amp;$G$1)</f>
        <v>8.5000000000000006E-2</v>
      </c>
      <c r="I76" s="1567"/>
      <c r="J76" s="1567"/>
      <c r="K76" s="1585"/>
      <c r="L76" s="1567"/>
    </row>
    <row r="77" spans="1:18">
      <c r="B77" s="348" t="s">
        <v>1473</v>
      </c>
      <c r="C77" s="349"/>
      <c r="I77" s="1567"/>
      <c r="J77" s="1567"/>
      <c r="K77" s="1585"/>
      <c r="L77" s="1567"/>
    </row>
    <row r="78" spans="1:18">
      <c r="B78" s="274" t="s">
        <v>1474</v>
      </c>
      <c r="C78" s="350"/>
    </row>
    <row r="79" spans="1:18">
      <c r="B79" s="344" t="s">
        <v>1475</v>
      </c>
      <c r="C79" s="278">
        <f ca="1">1-C80</f>
        <v>0.81099999999999994</v>
      </c>
    </row>
    <row r="80" spans="1:18">
      <c r="B80" s="344" t="s">
        <v>1476</v>
      </c>
      <c r="C80" s="278">
        <f ca="1">ROUND(C75/C39,3)</f>
        <v>0.189</v>
      </c>
    </row>
    <row r="81" spans="2:3">
      <c r="B81" s="274" t="s">
        <v>1477</v>
      </c>
      <c r="C81" s="242"/>
    </row>
    <row r="82" spans="2:3">
      <c r="B82" s="277" t="s">
        <v>1478</v>
      </c>
      <c r="C82" s="279">
        <f ca="1">1-C83</f>
        <v>0.88</v>
      </c>
    </row>
    <row r="83" spans="2:3">
      <c r="B83" s="277" t="s">
        <v>1479</v>
      </c>
      <c r="C83" s="278">
        <f ca="1">ROUND(C13/C40,3)</f>
        <v>0.12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90" zoomScaleNormal="70" zoomScaleSheetLayoutView="90" workbookViewId="0">
      <selection activeCell="K1" sqref="K1"/>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51" customWidth="1"/>
    <col min="12" max="12" width="16.375" style="262" customWidth="1"/>
    <col min="13" max="13" width="13" style="262"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2"/>
  </cols>
  <sheetData>
    <row r="1" spans="1:37" s="297" customFormat="1" ht="21">
      <c r="A1" s="1558" t="s">
        <v>1554</v>
      </c>
      <c r="B1" s="719"/>
      <c r="C1" s="1562" t="s">
        <v>3096</v>
      </c>
      <c r="D1" s="1545"/>
      <c r="E1" s="1546" t="s">
        <v>1352</v>
      </c>
      <c r="F1" s="1190">
        <f ca="1">J53</f>
        <v>30.791</v>
      </c>
      <c r="G1" s="1561">
        <f>MATCH(C1,'数据-取费表'!A6:A16,0)+5</f>
        <v>7</v>
      </c>
      <c r="H1" s="2919"/>
      <c r="I1" s="2920"/>
      <c r="J1" s="2920"/>
      <c r="K1" s="2921"/>
      <c r="L1" s="2920"/>
      <c r="M1" s="2920"/>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1480</v>
      </c>
      <c r="B2" s="1569">
        <f ca="1">C40+J29+L46</f>
        <v>395566</v>
      </c>
      <c r="C2" s="1570" t="s">
        <v>1481</v>
      </c>
      <c r="D2" s="1570"/>
      <c r="E2" s="1571"/>
      <c r="F2" s="1572"/>
      <c r="G2" s="2933"/>
      <c r="H2" s="2922"/>
      <c r="I2" s="2922"/>
      <c r="J2" s="2922"/>
      <c r="K2" s="2923"/>
      <c r="L2" s="2922"/>
      <c r="M2" s="2922"/>
    </row>
    <row r="3" spans="1:37" ht="18" customHeight="1" thickBot="1">
      <c r="A3" s="1573" t="s">
        <v>1482</v>
      </c>
      <c r="B3" s="1574">
        <f ca="1">IF(ISERROR(B2*10000/F43),0,ROUND(B2*10000/F43,0))</f>
        <v>59515</v>
      </c>
      <c r="C3" s="1570" t="s">
        <v>1483</v>
      </c>
      <c r="D3" s="1570"/>
      <c r="E3" s="1571"/>
      <c r="F3" s="1572"/>
      <c r="G3" s="2933"/>
      <c r="H3" s="689" t="s">
        <v>1553</v>
      </c>
      <c r="I3" s="1565"/>
      <c r="J3" s="1565"/>
      <c r="K3" s="1566"/>
      <c r="L3" s="1565"/>
      <c r="M3" s="1565"/>
    </row>
    <row r="4" spans="1:37" ht="18" customHeight="1">
      <c r="A4" s="299" t="s">
        <v>1361</v>
      </c>
      <c r="B4" s="300" t="s">
        <v>1362</v>
      </c>
      <c r="C4" s="300" t="s">
        <v>1363</v>
      </c>
      <c r="D4" s="300" t="s">
        <v>1364</v>
      </c>
      <c r="E4" s="301" t="s">
        <v>1365</v>
      </c>
      <c r="F4" s="302"/>
      <c r="G4" s="1567"/>
      <c r="H4" s="299" t="s">
        <v>1361</v>
      </c>
      <c r="I4" s="300" t="s">
        <v>1362</v>
      </c>
      <c r="J4" s="300" t="s">
        <v>1363</v>
      </c>
      <c r="K4" s="300" t="s">
        <v>1364</v>
      </c>
      <c r="L4" s="301" t="s">
        <v>1365</v>
      </c>
      <c r="M4" s="302"/>
    </row>
    <row r="5" spans="1:37" ht="18" customHeight="1">
      <c r="A5" s="303">
        <v>1</v>
      </c>
      <c r="B5" s="304" t="s">
        <v>1366</v>
      </c>
      <c r="C5" s="1199">
        <f ca="1">C6+C10+C12</f>
        <v>25618</v>
      </c>
      <c r="D5" s="1547" t="s">
        <v>1367</v>
      </c>
      <c r="E5" s="1200"/>
      <c r="F5" s="1201"/>
      <c r="G5" s="1567"/>
      <c r="H5" s="303">
        <v>1</v>
      </c>
      <c r="I5" s="304" t="s">
        <v>1366</v>
      </c>
      <c r="J5" s="1199">
        <f ca="1">J6+J10+J12</f>
        <v>0</v>
      </c>
      <c r="K5" s="1547" t="s">
        <v>1367</v>
      </c>
      <c r="L5" s="1200"/>
      <c r="M5" s="1201"/>
    </row>
    <row r="6" spans="1:37" ht="18" customHeight="1">
      <c r="A6" s="1198" t="s">
        <v>1003</v>
      </c>
      <c r="B6" s="3349" t="s">
        <v>1368</v>
      </c>
      <c r="C6" s="1203">
        <f ca="1">ROUND(F6*F8*F7*(1-F9)/10000,0)</f>
        <v>25618</v>
      </c>
      <c r="D6" s="158" t="s">
        <v>2849</v>
      </c>
      <c r="E6" s="306" t="s">
        <v>1370</v>
      </c>
      <c r="F6" s="307">
        <f ca="1">INDIRECT("'数据-取费表'!u"&amp;$G$1)</f>
        <v>12</v>
      </c>
      <c r="G6" s="1567"/>
      <c r="H6" s="1198" t="s">
        <v>1003</v>
      </c>
      <c r="I6" s="3349" t="s">
        <v>1368</v>
      </c>
      <c r="J6" s="305">
        <f ca="1">ROUND(M6*M8*M7*(1-M9)/10000,0)</f>
        <v>0</v>
      </c>
      <c r="K6" s="158" t="s">
        <v>2848</v>
      </c>
      <c r="L6" s="306" t="s">
        <v>1370</v>
      </c>
      <c r="M6" s="307">
        <f ca="1">INDIRECT("'数据-取费表'!z"&amp;$G$1)</f>
        <v>0</v>
      </c>
    </row>
    <row r="7" spans="1:37" ht="18" customHeight="1">
      <c r="A7" s="1202"/>
      <c r="B7" s="3350"/>
      <c r="C7" s="1204"/>
      <c r="D7" s="311"/>
      <c r="E7" s="3071" t="s">
        <v>1371</v>
      </c>
      <c r="F7" s="307">
        <f ca="1">IF(INDIRECT("'数据-取费表'!ah"&amp;$G$1)="",INDIRECT("'数据-取费表'!k"&amp;$G$1),INDIRECT("'数据-取费表'!ah"&amp;$G$1))</f>
        <v>66464.97</v>
      </c>
      <c r="G7" s="1567"/>
      <c r="H7" s="308"/>
      <c r="I7" s="3350"/>
      <c r="J7" s="310"/>
      <c r="K7" s="311"/>
      <c r="L7" s="306" t="s">
        <v>1371</v>
      </c>
      <c r="M7" s="307">
        <f ca="1">F7</f>
        <v>66464.97</v>
      </c>
    </row>
    <row r="8" spans="1:37" ht="18" customHeight="1">
      <c r="A8" s="308"/>
      <c r="B8" s="3350"/>
      <c r="C8" s="310"/>
      <c r="D8" s="311"/>
      <c r="E8" s="306" t="s">
        <v>1372</v>
      </c>
      <c r="F8" s="307">
        <f ca="1">INDIRECT("'数据-取费表'!ai"&amp;$G$1)</f>
        <v>365</v>
      </c>
      <c r="G8" s="1567"/>
      <c r="H8" s="308"/>
      <c r="I8" s="3350"/>
      <c r="J8" s="310"/>
      <c r="K8" s="311"/>
      <c r="L8" s="306" t="s">
        <v>1372</v>
      </c>
      <c r="M8" s="307">
        <f ca="1">INDIRECT("'数据-取费表'!ai"&amp;$G$1)</f>
        <v>365</v>
      </c>
    </row>
    <row r="9" spans="1:37" ht="18" customHeight="1">
      <c r="A9" s="308"/>
      <c r="B9" s="3351"/>
      <c r="C9" s="310"/>
      <c r="D9" s="311"/>
      <c r="E9" s="306" t="s">
        <v>1373</v>
      </c>
      <c r="F9" s="316">
        <f ca="1">INDIRECT("'数据-取费表'!w"&amp;$G$1)</f>
        <v>0.12</v>
      </c>
      <c r="G9" s="1567"/>
      <c r="H9" s="308"/>
      <c r="I9" s="3351"/>
      <c r="J9" s="310"/>
      <c r="K9" s="311"/>
      <c r="L9" s="317" t="s">
        <v>1373</v>
      </c>
      <c r="M9" s="318">
        <f ca="1">INDIRECT("'数据-取费表'!ab"&amp;$G$1)</f>
        <v>0</v>
      </c>
    </row>
    <row r="10" spans="1:37" ht="18" customHeight="1">
      <c r="A10" s="1198" t="s">
        <v>1007</v>
      </c>
      <c r="B10" s="1548" t="s">
        <v>1374</v>
      </c>
      <c r="C10" s="320">
        <f ca="1">ROUND(IF(F10="押一",C6/12*F11,IF(F10="押二",C6/12*2*F11,IF(F10="押三",C6/12*3*F11,C11*F11))),0)</f>
        <v>0</v>
      </c>
      <c r="D10" s="1549" t="s">
        <v>2857</v>
      </c>
      <c r="E10" s="317" t="s">
        <v>1375</v>
      </c>
      <c r="F10" s="1273" t="s">
        <v>3086</v>
      </c>
      <c r="G10" s="1567"/>
      <c r="H10" s="1198" t="s">
        <v>1007</v>
      </c>
      <c r="I10" s="1548" t="s">
        <v>1374</v>
      </c>
      <c r="J10" s="305">
        <f ca="1">ROUND(IF(M10="押一",J6/12*M11,IF(M10="押二",J6/12*2*M11,IF(M10="押三",J6/12*3*M11,J11*M11))),0)</f>
        <v>0</v>
      </c>
      <c r="K10" s="1549" t="s">
        <v>2856</v>
      </c>
      <c r="L10" s="317" t="s">
        <v>1375</v>
      </c>
      <c r="M10" s="1273" t="s">
        <v>1376</v>
      </c>
    </row>
    <row r="11" spans="1:37" ht="18" customHeight="1">
      <c r="A11" s="312"/>
      <c r="B11" s="1550" t="s">
        <v>1353</v>
      </c>
      <c r="C11" s="1087"/>
      <c r="D11" s="1551"/>
      <c r="E11" s="317" t="s">
        <v>1377</v>
      </c>
      <c r="F11" s="318">
        <f ca="1">'数据-取费表'!B39</f>
        <v>1.4999999999999999E-2</v>
      </c>
      <c r="G11" s="1567"/>
      <c r="H11" s="1206"/>
      <c r="I11" s="1550" t="s">
        <v>1353</v>
      </c>
      <c r="J11" s="1087"/>
      <c r="K11" s="690"/>
      <c r="L11" s="317" t="s">
        <v>1377</v>
      </c>
      <c r="M11" s="968">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4">
        <f ca="1">ROUND(C29*F13,0)</f>
        <v>47670</v>
      </c>
      <c r="D13" s="3063" t="s">
        <v>1380</v>
      </c>
      <c r="E13" s="3063" t="s">
        <v>1381</v>
      </c>
      <c r="F13" s="1239">
        <f ca="1">INDIRECT("'数据-取费表'!y"&amp;$G$1)</f>
        <v>1</v>
      </c>
      <c r="G13" s="1567"/>
      <c r="H13" s="1236">
        <v>2</v>
      </c>
      <c r="I13" s="1237" t="s">
        <v>1379</v>
      </c>
      <c r="J13" s="1197">
        <f ca="1">ROUND(J14*J15,0)</f>
        <v>0</v>
      </c>
      <c r="K13" s="1244" t="s">
        <v>1380</v>
      </c>
      <c r="L13" s="1575"/>
      <c r="M13" s="1576"/>
    </row>
    <row r="14" spans="1:37" ht="18" customHeight="1">
      <c r="A14" s="1110" t="s">
        <v>1002</v>
      </c>
      <c r="B14" s="306" t="s">
        <v>1382</v>
      </c>
      <c r="C14" s="322">
        <f ca="1">INDIRECT("'数据-取费表'!m"&amp;$G$1)+INDIRECT("'数据-取费表'!t"&amp;$G$1)</f>
        <v>29909</v>
      </c>
      <c r="D14" s="3067" t="s">
        <v>1383</v>
      </c>
      <c r="E14" s="3065"/>
      <c r="F14" s="323"/>
      <c r="G14" s="1567"/>
      <c r="H14" s="1110" t="s">
        <v>1003</v>
      </c>
      <c r="I14" s="306" t="s">
        <v>1384</v>
      </c>
      <c r="J14" s="24">
        <f ca="1">C29</f>
        <v>47670</v>
      </c>
      <c r="K14" s="3070"/>
      <c r="L14" s="913"/>
      <c r="M14" s="914"/>
    </row>
    <row r="15" spans="1:37" s="1580" customFormat="1" ht="18" customHeight="1" thickBot="1">
      <c r="A15" s="1110" t="s">
        <v>1004</v>
      </c>
      <c r="B15" s="306" t="s">
        <v>1385</v>
      </c>
      <c r="C15" s="24">
        <f ca="1">ROUND(C14*F15,0)</f>
        <v>1495</v>
      </c>
      <c r="D15" s="3064" t="s">
        <v>1386</v>
      </c>
      <c r="E15" s="3064" t="s">
        <v>1387</v>
      </c>
      <c r="F15" s="325">
        <f>'数据-取费表'!B33</f>
        <v>0.05</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1354</v>
      </c>
      <c r="B16" s="306" t="s">
        <v>1388</v>
      </c>
      <c r="C16" s="24">
        <f ca="1">ROUND(INDIRECT("'数据-取费表'!m"&amp;$G$1)*F16,0)</f>
        <v>0</v>
      </c>
      <c r="D16" s="306" t="s">
        <v>1386</v>
      </c>
      <c r="E16" s="306" t="s">
        <v>1387</v>
      </c>
      <c r="F16" s="326">
        <f ca="1">IF(INDIRECT("'数据-取费表'!c"&amp;$G$1)="住宅",'数据-取费表'!B34,0)</f>
        <v>0</v>
      </c>
      <c r="G16" s="1567"/>
      <c r="H16" s="1236" t="s">
        <v>998</v>
      </c>
      <c r="I16" s="1237" t="s">
        <v>1389</v>
      </c>
      <c r="J16" s="314">
        <f ca="1">ROUND(J17+J22+J23+J24,0)</f>
        <v>1854</v>
      </c>
      <c r="K16" s="1244" t="s">
        <v>1390</v>
      </c>
      <c r="L16" s="3068"/>
      <c r="M16" s="1201"/>
    </row>
    <row r="17" spans="1:37" s="1580" customFormat="1" ht="18" customHeight="1">
      <c r="A17" s="1110" t="s">
        <v>1355</v>
      </c>
      <c r="B17" s="306" t="s">
        <v>1391</v>
      </c>
      <c r="C17" s="24">
        <f ca="1">ROUND(F17*(F43+INDIRECT("'数据-取费表'!S"&amp;$G$1))/10000,0)</f>
        <v>1994</v>
      </c>
      <c r="D17" s="306" t="s">
        <v>1392</v>
      </c>
      <c r="E17" s="306" t="s">
        <v>1393</v>
      </c>
      <c r="F17" s="26">
        <f>'数据-取费表'!B35</f>
        <v>300</v>
      </c>
      <c r="G17" s="1579"/>
      <c r="H17" s="1110" t="s">
        <v>1003</v>
      </c>
      <c r="I17" s="306" t="s">
        <v>1394</v>
      </c>
      <c r="J17" s="2532">
        <f ca="1">ROUND(IF(AND(项目基本情况!B11="自然人",项目基本情况!B10="北京市"),J6*M17/(1+'数据-取费表'!C42),J18+J19+J20),0)</f>
        <v>424</v>
      </c>
      <c r="K17" s="3067" t="s">
        <v>1395</v>
      </c>
      <c r="L17" s="3066" t="s">
        <v>1396</v>
      </c>
      <c r="M17" s="2531">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1356</v>
      </c>
      <c r="B18" s="306" t="s">
        <v>1397</v>
      </c>
      <c r="C18" s="24">
        <f ca="1">ROUND(C14*F18,0)</f>
        <v>449</v>
      </c>
      <c r="D18" s="306" t="s">
        <v>1386</v>
      </c>
      <c r="E18" s="306" t="s">
        <v>1387</v>
      </c>
      <c r="F18" s="326">
        <f>'数据-取费表'!B36</f>
        <v>1.4999999999999999E-2</v>
      </c>
      <c r="G18" s="1579"/>
      <c r="H18" s="1110" t="s">
        <v>1002</v>
      </c>
      <c r="I18" s="306" t="s">
        <v>1398</v>
      </c>
      <c r="J18" s="24">
        <f ca="1">ROUND(J6*M18/(1+'数据-取费表'!C42),2)</f>
        <v>0</v>
      </c>
      <c r="K18" s="3066" t="s">
        <v>1399</v>
      </c>
      <c r="L18" s="306" t="s">
        <v>1387</v>
      </c>
      <c r="M18" s="326">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1003</v>
      </c>
      <c r="B19" s="306" t="s">
        <v>1400</v>
      </c>
      <c r="C19" s="24">
        <f ca="1">SUM(C14:C18)</f>
        <v>33847</v>
      </c>
      <c r="D19" s="134" t="s">
        <v>1401</v>
      </c>
      <c r="E19" s="3073"/>
      <c r="F19" s="26"/>
      <c r="G19" s="1567"/>
      <c r="H19" s="1110" t="s">
        <v>1004</v>
      </c>
      <c r="I19" s="306" t="s">
        <v>1402</v>
      </c>
      <c r="J19" s="24">
        <f ca="1">IF(K19="按租金收入计税",ROUND(J6*M19/(1+'数据-取费表'!C42),2),ROUND(C29*M19*0.7,2))</f>
        <v>400.43</v>
      </c>
      <c r="K19" s="1553" t="s">
        <v>1403</v>
      </c>
      <c r="L19" s="306" t="s">
        <v>1387</v>
      </c>
      <c r="M19" s="326">
        <f>IF(K19="按租金收入计税",'数据-取费表'!B51,'数据-取费表'!B50)</f>
        <v>1.2E-2</v>
      </c>
    </row>
    <row r="20" spans="1:37" s="1580" customFormat="1" ht="18" customHeight="1">
      <c r="A20" s="1110" t="s">
        <v>1007</v>
      </c>
      <c r="B20" s="306" t="s">
        <v>1404</v>
      </c>
      <c r="C20" s="24">
        <f ca="1">ROUND(C19*F20,0)</f>
        <v>677</v>
      </c>
      <c r="D20" s="327" t="s">
        <v>1405</v>
      </c>
      <c r="E20" s="306" t="s">
        <v>1387</v>
      </c>
      <c r="F20" s="326">
        <f>'数据-取费表'!B37</f>
        <v>0.02</v>
      </c>
      <c r="G20" s="1579"/>
      <c r="H20" s="1110" t="s">
        <v>1354</v>
      </c>
      <c r="I20" s="158" t="s">
        <v>1406</v>
      </c>
      <c r="J20" s="25">
        <f ca="1">ROUND(M20*M21/10000,2)</f>
        <v>23.16</v>
      </c>
      <c r="K20" s="328" t="s">
        <v>1407</v>
      </c>
      <c r="L20" s="306" t="s">
        <v>1408</v>
      </c>
      <c r="M20" s="329">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1043</v>
      </c>
      <c r="B21" s="306" t="s">
        <v>1409</v>
      </c>
      <c r="C21" s="24" t="s">
        <v>18</v>
      </c>
      <c r="D21" s="327" t="s">
        <v>1410</v>
      </c>
      <c r="E21" s="306" t="s">
        <v>1411</v>
      </c>
      <c r="F21" s="326">
        <f>'数据-取费表'!B38</f>
        <v>0.02</v>
      </c>
      <c r="G21" s="1579"/>
      <c r="H21" s="330"/>
      <c r="I21" s="315"/>
      <c r="J21" s="29"/>
      <c r="K21" s="331"/>
      <c r="L21" s="306" t="s">
        <v>1412</v>
      </c>
      <c r="M21" s="307">
        <f ca="1">INDIRECT("'数据-取费表'!r"&amp;$G$1)</f>
        <v>7720.51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1357</v>
      </c>
      <c r="B22" s="306" t="s">
        <v>1413</v>
      </c>
      <c r="C22" s="24"/>
      <c r="D22" s="134" t="str">
        <f>IF(F23&lt;=1,"单利计息。","复利计息。")&amp;"建造成本、管理费用、销售费用产生的利息。"</f>
        <v>复利计息。建造成本、管理费用、销售费用产生的利息。</v>
      </c>
      <c r="E22" s="3073"/>
      <c r="F22" s="26"/>
      <c r="G22" s="1567"/>
      <c r="H22" s="1110" t="s">
        <v>1007</v>
      </c>
      <c r="I22" s="306" t="s">
        <v>1414</v>
      </c>
      <c r="J22" s="24">
        <f ca="1">ROUND(J14*M22,1)</f>
        <v>1430.1</v>
      </c>
      <c r="K22" s="3066" t="s">
        <v>1415</v>
      </c>
      <c r="L22" s="306" t="s">
        <v>1387</v>
      </c>
      <c r="M22" s="332">
        <f ca="1">INDIRECT("'数据-取费表'!Ak"&amp;$G$1)</f>
        <v>0.03</v>
      </c>
    </row>
    <row r="23" spans="1:37" s="1580" customFormat="1" ht="18" customHeight="1">
      <c r="A23" s="1110" t="s">
        <v>1002</v>
      </c>
      <c r="B23" s="306" t="s">
        <v>1416</v>
      </c>
      <c r="C23" s="24">
        <f ca="1">IF('数据-取费表'!B22&lt;=1,ROUND(C19*F24*F23/2,0)+ROUND(C20*F24*F23/2,0),ROUND(C19*(POWER((1+F24),F23/2)-1),0)+ROUND(C20*(POWER((1+F24),F23/2)-1),0))</f>
        <v>2489</v>
      </c>
      <c r="D23" s="333" t="str">
        <f>IF(F23&lt;=1,"(建造成本+管理费用)×利率×(建设周期÷2)","(建造成本+管理费用)×((1+利率)^(建设周期÷2)-1)")</f>
        <v>(建造成本+管理费用)×((1+利率)^(建设周期÷2)-1)</v>
      </c>
      <c r="E23" s="306" t="s">
        <v>1417</v>
      </c>
      <c r="F23" s="329">
        <f>'数据-取费表'!B20</f>
        <v>3</v>
      </c>
      <c r="G23" s="1579"/>
      <c r="H23" s="1110" t="s">
        <v>1043</v>
      </c>
      <c r="I23" s="306" t="s">
        <v>1418</v>
      </c>
      <c r="J23" s="24">
        <f ca="1">ROUND(J13*M23,1)</f>
        <v>0</v>
      </c>
      <c r="K23" s="3066" t="s">
        <v>1419</v>
      </c>
      <c r="L23" s="306" t="s">
        <v>1387</v>
      </c>
      <c r="M23" s="334">
        <f ca="1">INDIRECT("'数据-取费表'!Al"&amp;$G$1)</f>
        <v>3.0000000000000001E-3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1421</v>
      </c>
      <c r="B24" s="306" t="s">
        <v>1422</v>
      </c>
      <c r="C24" s="24">
        <f ca="1">ROUND(IF('数据-取费表'!B22&lt;=1,F21*F24*F23/2,F21*(POWER((1+F24),F23/2)-1)),4)</f>
        <v>1.4E-3</v>
      </c>
      <c r="D24" s="333" t="str">
        <f>IF(F23&lt;=1,"销售费用×利率×(建设周期÷2)","销售费用×((1+利率)^(建设周期÷2)-1)")</f>
        <v>销售费用×((1+利率)^(建设周期÷2)-1)</v>
      </c>
      <c r="E24" s="306" t="s">
        <v>1423</v>
      </c>
      <c r="F24" s="335">
        <f ca="1">'数据-取费表'!B40</f>
        <v>4.7500000000000001E-2</v>
      </c>
      <c r="G24" s="1579"/>
      <c r="H24" s="1246" t="s">
        <v>1357</v>
      </c>
      <c r="I24" s="1247" t="s">
        <v>1404</v>
      </c>
      <c r="J24" s="1248">
        <f ca="1">ROUND(J5*M24,1)</f>
        <v>0</v>
      </c>
      <c r="K24" s="1249" t="s">
        <v>1424</v>
      </c>
      <c r="L24" s="1247" t="s">
        <v>1387</v>
      </c>
      <c r="M24" s="1243">
        <f ca="1">INDIRECT("'数据-取费表'!Am"&amp;$G$1)</f>
        <v>0.03</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0" t="s">
        <v>1425</v>
      </c>
      <c r="B25" s="306" t="s">
        <v>1426</v>
      </c>
      <c r="C25" s="24"/>
      <c r="D25" s="134" t="s">
        <v>1427</v>
      </c>
      <c r="E25" s="3073"/>
      <c r="F25" s="26"/>
      <c r="G25" s="1567"/>
      <c r="H25" s="1236" t="s">
        <v>999</v>
      </c>
      <c r="I25" s="1251" t="s">
        <v>1428</v>
      </c>
      <c r="J25" s="314">
        <f ca="1">J5-J16</f>
        <v>-1854</v>
      </c>
      <c r="K25" s="1252" t="s">
        <v>1429</v>
      </c>
      <c r="L25" s="1253"/>
      <c r="M25" s="1254"/>
    </row>
    <row r="26" spans="1:37">
      <c r="A26" s="1110" t="s">
        <v>1002</v>
      </c>
      <c r="B26" s="306" t="s">
        <v>1430</v>
      </c>
      <c r="C26" s="24">
        <f ca="1">ROUND((C19+C20)*F26,0)</f>
        <v>6905</v>
      </c>
      <c r="D26" s="327" t="s">
        <v>1431</v>
      </c>
      <c r="E26" s="317" t="s">
        <v>1432</v>
      </c>
      <c r="F26" s="316">
        <f ca="1">INDIRECT("'数据-取费表'!q"&amp;$G$1)</f>
        <v>0.2</v>
      </c>
      <c r="G26" s="1567"/>
      <c r="H26" s="303" t="s">
        <v>1000</v>
      </c>
      <c r="I26" s="304" t="s">
        <v>1433</v>
      </c>
      <c r="J26" s="305">
        <f ca="1">IF(J5&lt;&gt;0,ROUND(J25*(1-((1+M28)/(1+M26))^M27)/(M26-M28),0),0)</f>
        <v>0</v>
      </c>
      <c r="K26" s="328" t="s">
        <v>1434</v>
      </c>
      <c r="L26" s="306" t="s">
        <v>1435</v>
      </c>
      <c r="M26" s="316">
        <f ca="1">INDIRECT("'数据-取费表'!I"&amp;$G$1)</f>
        <v>0.06</v>
      </c>
    </row>
    <row r="27" spans="1:37" ht="18" customHeight="1">
      <c r="A27" s="1110" t="s">
        <v>1004</v>
      </c>
      <c r="B27" s="306" t="s">
        <v>1436</v>
      </c>
      <c r="C27" s="24">
        <f ca="1">ROUND(F21*F26,4)</f>
        <v>4.0000000000000001E-3</v>
      </c>
      <c r="D27" s="327" t="s">
        <v>1437</v>
      </c>
      <c r="E27" s="3064"/>
      <c r="F27" s="325"/>
      <c r="G27" s="1567"/>
      <c r="H27" s="308"/>
      <c r="I27" s="309"/>
      <c r="J27" s="310"/>
      <c r="K27" s="336" t="s">
        <v>1438</v>
      </c>
      <c r="L27" s="306" t="s">
        <v>1439</v>
      </c>
      <c r="M27" s="337">
        <f ca="1">INDIRECT("'数据-取费表'!ag"&amp;$G$1)</f>
        <v>0</v>
      </c>
    </row>
    <row r="28" spans="1:37" s="1580" customFormat="1" ht="18" customHeight="1">
      <c r="A28" s="1110" t="s">
        <v>1005</v>
      </c>
      <c r="B28" s="306" t="s">
        <v>1440</v>
      </c>
      <c r="C28" s="24">
        <f>ROUND(F28/(1+'数据-取费表'!C42),4)</f>
        <v>5.33E-2</v>
      </c>
      <c r="D28" s="327" t="s">
        <v>1441</v>
      </c>
      <c r="E28" s="306" t="s">
        <v>1387</v>
      </c>
      <c r="F28" s="326">
        <f>'数据-取费表'!B41</f>
        <v>5.6000000000000001E-2</v>
      </c>
      <c r="G28" s="1579"/>
      <c r="H28" s="312"/>
      <c r="I28" s="313"/>
      <c r="J28" s="314"/>
      <c r="K28" s="331"/>
      <c r="L28" s="306" t="s">
        <v>1442</v>
      </c>
      <c r="M28" s="316">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47670</v>
      </c>
      <c r="D29" s="1249"/>
      <c r="E29" s="1247"/>
      <c r="F29" s="1250"/>
      <c r="G29" s="1579"/>
      <c r="H29" s="338" t="s">
        <v>1001</v>
      </c>
      <c r="I29" s="339" t="s">
        <v>1444</v>
      </c>
      <c r="J29" s="340">
        <f ca="1">ROUND(J26/(1+F40)^F41,0)</f>
        <v>0</v>
      </c>
      <c r="K29" s="341" t="s">
        <v>1445</v>
      </c>
      <c r="L29" s="342"/>
      <c r="M29" s="343">
        <f ca="1">INDIRECT("'数据-取费表'!k"&amp;$G$1)</f>
        <v>66464.97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4">
        <f ca="1">ROUND(C31+C36+C37+C38,0)</f>
        <v>4132</v>
      </c>
      <c r="D30" s="1244" t="s">
        <v>1390</v>
      </c>
      <c r="E30" s="3068"/>
      <c r="F30" s="1201"/>
      <c r="G30" s="1567"/>
      <c r="H30" s="2924"/>
      <c r="I30" s="1581"/>
      <c r="J30" s="1582"/>
      <c r="K30" s="2699"/>
      <c r="L30" s="2925"/>
      <c r="M30" s="2926"/>
    </row>
    <row r="31" spans="1:37" ht="18" customHeight="1">
      <c r="A31" s="1110" t="s">
        <v>1003</v>
      </c>
      <c r="B31" s="306" t="s">
        <v>1394</v>
      </c>
      <c r="C31" s="2532">
        <f ca="1">ROUND(IF(AND(项目基本情况!B11="自然人",项目基本情况!B10="北京市"),C6*F31/(1+'数据-取费表'!C42),C32+C33+C34),0)</f>
        <v>1790</v>
      </c>
      <c r="D31" s="3067" t="s">
        <v>1395</v>
      </c>
      <c r="E31" s="3066" t="s">
        <v>1446</v>
      </c>
      <c r="F31" s="2531">
        <f ca="1">IF(项目基本情况!B11="企业","——",IF('数据-取费表'!B10="住宅",IF(F6*F7*F8/12/(1+'数据-取费表'!F30)&gt;100000,4%,2.5%),IF(F6*F7*F8/12/(1+'数据-取费表'!F30)&gt;100000,12%,7%)))</f>
        <v>0.12</v>
      </c>
      <c r="G31" s="1567"/>
      <c r="H31" s="3037" t="s">
        <v>3057</v>
      </c>
      <c r="I31" s="1581"/>
      <c r="J31" s="1582"/>
      <c r="K31" s="2699"/>
      <c r="L31" s="2925"/>
      <c r="M31" s="2926"/>
    </row>
    <row r="32" spans="1:37" ht="18" customHeight="1">
      <c r="A32" s="1110" t="s">
        <v>1002</v>
      </c>
      <c r="B32" s="306" t="s">
        <v>1398</v>
      </c>
      <c r="C32" s="24">
        <f ca="1">IF(项目基本情况!B11="自然人","——",ROUND(C6*F32/(1+'数据-取费表'!C42),2))</f>
        <v>1366.29</v>
      </c>
      <c r="D32" s="3066" t="s">
        <v>1399</v>
      </c>
      <c r="E32" s="306" t="s">
        <v>1387</v>
      </c>
      <c r="F32" s="335">
        <f>'数据-取费表'!B41</f>
        <v>5.6000000000000001E-2</v>
      </c>
      <c r="G32" s="1567"/>
      <c r="H32" s="2924"/>
      <c r="I32" s="1581"/>
      <c r="J32" s="1582"/>
      <c r="K32" s="2699"/>
      <c r="L32" s="2925"/>
      <c r="M32" s="2926"/>
    </row>
    <row r="33" spans="1:18" ht="18" customHeight="1">
      <c r="A33" s="1110" t="s">
        <v>1004</v>
      </c>
      <c r="B33" s="306" t="s">
        <v>1402</v>
      </c>
      <c r="C33" s="24">
        <f ca="1">IF(项目基本情况!B11="自然人","——",IF(D33="按租金收入计税",ROUND(C6*F33/(1+'数据-取费表'!C42),2),IF(D33="按房产原值计税",ROUND(C29*F33*0.7,2),INDIRECT("'数据-取费表'!Aj"&amp;$G$1))))</f>
        <v>400.43</v>
      </c>
      <c r="D33" s="1553" t="s">
        <v>3087</v>
      </c>
      <c r="E33" s="306" t="s">
        <v>1387</v>
      </c>
      <c r="F33" s="326">
        <f>IF(D33="按票据","——",IF(D33="按租金收入计税",'数据-取费表'!B51,'数据-取费表'!B50))</f>
        <v>1.2E-2</v>
      </c>
      <c r="G33" s="1567"/>
      <c r="H33" s="2927"/>
      <c r="I33" s="1581"/>
      <c r="J33" s="1582"/>
      <c r="K33" s="2928"/>
      <c r="L33" s="2927"/>
      <c r="M33" s="2927"/>
    </row>
    <row r="34" spans="1:18" ht="18" customHeight="1">
      <c r="A34" s="1198" t="s">
        <v>1354</v>
      </c>
      <c r="B34" s="158" t="s">
        <v>1406</v>
      </c>
      <c r="C34" s="25">
        <f ca="1">IF(项目基本情况!B11="自然人","——",ROUND(F34*F35/10000,2))</f>
        <v>23.16</v>
      </c>
      <c r="D34" s="328" t="s">
        <v>1407</v>
      </c>
      <c r="E34" s="306" t="s">
        <v>1408</v>
      </c>
      <c r="F34" s="329">
        <f>'数据-取费表'!B52</f>
        <v>30</v>
      </c>
      <c r="G34" s="1567"/>
      <c r="H34" s="2924"/>
      <c r="I34" s="1581"/>
      <c r="J34" s="1582"/>
      <c r="K34" s="2929"/>
      <c r="L34" s="2930"/>
      <c r="M34" s="2930"/>
    </row>
    <row r="35" spans="1:18" ht="18" customHeight="1">
      <c r="A35" s="1260"/>
      <c r="B35" s="1258"/>
      <c r="C35" s="29"/>
      <c r="D35" s="331"/>
      <c r="E35" s="306" t="s">
        <v>1412</v>
      </c>
      <c r="F35" s="307">
        <f ca="1">INDIRECT("'数据-取费表'!r"&amp;$G$1)</f>
        <v>7720.51</v>
      </c>
      <c r="G35" s="1567"/>
      <c r="H35" s="2924"/>
      <c r="I35" s="1581"/>
      <c r="J35" s="1582"/>
      <c r="K35" s="2928"/>
      <c r="L35" s="2927"/>
      <c r="M35" s="2927"/>
    </row>
    <row r="36" spans="1:18" ht="18" customHeight="1">
      <c r="A36" s="1259" t="s">
        <v>1007</v>
      </c>
      <c r="B36" s="306" t="s">
        <v>1414</v>
      </c>
      <c r="C36" s="24">
        <f ca="1">ROUND(C29*F36,1)</f>
        <v>1430.1</v>
      </c>
      <c r="D36" s="3066" t="s">
        <v>1447</v>
      </c>
      <c r="E36" s="306" t="s">
        <v>1387</v>
      </c>
      <c r="F36" s="332">
        <f ca="1">INDIRECT("'数据-取费表'!Ak"&amp;$G$1)</f>
        <v>0.03</v>
      </c>
      <c r="G36" s="1567"/>
      <c r="H36" s="2927"/>
      <c r="I36" s="1581"/>
      <c r="J36" s="1582"/>
      <c r="K36" s="2768"/>
      <c r="L36" s="2927"/>
      <c r="M36" s="2927"/>
    </row>
    <row r="37" spans="1:18" ht="18" customHeight="1">
      <c r="A37" s="1110" t="s">
        <v>1043</v>
      </c>
      <c r="B37" s="306" t="s">
        <v>1418</v>
      </c>
      <c r="C37" s="24">
        <f ca="1">ROUND(C13*F37,1)</f>
        <v>143</v>
      </c>
      <c r="D37" s="3066" t="s">
        <v>1419</v>
      </c>
      <c r="E37" s="306" t="s">
        <v>1387</v>
      </c>
      <c r="F37" s="334">
        <f ca="1">INDIRECT("'数据-取费表'!Al"&amp;$G$1)</f>
        <v>3.0000000000000001E-3</v>
      </c>
      <c r="G37" s="1567"/>
      <c r="H37" s="2927"/>
      <c r="I37" s="1581"/>
      <c r="J37" s="1582"/>
      <c r="K37" s="2768"/>
      <c r="L37" s="2927"/>
      <c r="M37" s="2927"/>
    </row>
    <row r="38" spans="1:18" ht="18" customHeight="1" thickBot="1">
      <c r="A38" s="1246" t="s">
        <v>1357</v>
      </c>
      <c r="B38" s="1247" t="s">
        <v>1404</v>
      </c>
      <c r="C38" s="1248">
        <f ca="1">ROUND(C5*F38,1)</f>
        <v>768.5</v>
      </c>
      <c r="D38" s="1249" t="s">
        <v>1424</v>
      </c>
      <c r="E38" s="1247" t="s">
        <v>1387</v>
      </c>
      <c r="F38" s="1243">
        <f ca="1">INDIRECT("'数据-取费表'!Am"&amp;$G$1)</f>
        <v>0.03</v>
      </c>
      <c r="G38" s="1567"/>
      <c r="H38" s="2927"/>
      <c r="I38" s="1581"/>
      <c r="J38" s="1582"/>
      <c r="K38" s="2931"/>
      <c r="L38" s="2927"/>
      <c r="M38" s="2927"/>
    </row>
    <row r="39" spans="1:18" ht="24.6" customHeight="1" thickTop="1">
      <c r="A39" s="1236" t="s">
        <v>999</v>
      </c>
      <c r="B39" s="1251" t="s">
        <v>1448</v>
      </c>
      <c r="C39" s="314">
        <f ca="1">C5-C30</f>
        <v>21486</v>
      </c>
      <c r="D39" s="1252" t="s">
        <v>1429</v>
      </c>
      <c r="E39" s="1253"/>
      <c r="F39" s="1254"/>
      <c r="G39" s="1567"/>
      <c r="H39" s="2927"/>
      <c r="I39" s="1581"/>
      <c r="J39" s="1582"/>
      <c r="K39" s="2931"/>
      <c r="L39" s="2927"/>
      <c r="M39" s="2927"/>
    </row>
    <row r="40" spans="1:18" ht="18" customHeight="1">
      <c r="A40" s="303" t="s">
        <v>1000</v>
      </c>
      <c r="B40" s="304" t="s">
        <v>1450</v>
      </c>
      <c r="C40" s="305">
        <f ca="1">ROUND(C39*(1-((1+F42)/(1+F40))^F41)/(F40-F42),0)</f>
        <v>395566</v>
      </c>
      <c r="D40" s="328" t="s">
        <v>1434</v>
      </c>
      <c r="E40" s="306" t="s">
        <v>1435</v>
      </c>
      <c r="F40" s="316">
        <f ca="1">INDIRECT("'数据-取费表'!I"&amp;$G$1)</f>
        <v>0.06</v>
      </c>
      <c r="G40" s="1567"/>
      <c r="H40" s="1644"/>
      <c r="I40" s="1581"/>
      <c r="J40" s="1582"/>
      <c r="K40" s="2931"/>
      <c r="L40" s="1644"/>
      <c r="M40" s="1644"/>
    </row>
    <row r="41" spans="1:18" ht="18" customHeight="1">
      <c r="A41" s="308"/>
      <c r="B41" s="309"/>
      <c r="C41" s="310"/>
      <c r="D41" s="336" t="s">
        <v>1451</v>
      </c>
      <c r="E41" s="306" t="s">
        <v>1439</v>
      </c>
      <c r="F41" s="337">
        <f ca="1">IF(INDIRECT("'数据-取费表'!af"&amp;$G$1)=0,INDIRECT("'数据-取费表'!ae"&amp;$G$1),INDIRECT("'数据-取费表'!af"&amp;$G$1))</f>
        <v>30.791</v>
      </c>
      <c r="G41" s="1567"/>
      <c r="H41" s="1350"/>
      <c r="I41" s="1581"/>
      <c r="J41" s="1582"/>
      <c r="K41" s="2768"/>
      <c r="L41" s="1350"/>
      <c r="M41" s="1350"/>
    </row>
    <row r="42" spans="1:18" ht="18" customHeight="1">
      <c r="A42" s="312"/>
      <c r="B42" s="313"/>
      <c r="C42" s="314"/>
      <c r="D42" s="331"/>
      <c r="E42" s="306" t="s">
        <v>1442</v>
      </c>
      <c r="F42" s="316">
        <f ca="1">INDIRECT("'数据-取费表'!v"&amp;$G$1)</f>
        <v>2.5000000000000001E-2</v>
      </c>
      <c r="G42" s="1567"/>
      <c r="H42" s="1350"/>
      <c r="I42" s="1581"/>
      <c r="J42" s="1582"/>
      <c r="K42" s="2768"/>
      <c r="L42" s="1350"/>
      <c r="M42" s="1350"/>
    </row>
    <row r="43" spans="1:18" ht="18" customHeight="1" thickBot="1">
      <c r="A43" s="338" t="s">
        <v>1001</v>
      </c>
      <c r="B43" s="339" t="s">
        <v>1452</v>
      </c>
      <c r="C43" s="340">
        <f ca="1">ROUND(C40*10000/F43,0)</f>
        <v>59515</v>
      </c>
      <c r="D43" s="341" t="s">
        <v>1453</v>
      </c>
      <c r="E43" s="342" t="s">
        <v>1454</v>
      </c>
      <c r="F43" s="343">
        <f ca="1">INDIRECT("'数据-取费表'!k"&amp;$G$1)</f>
        <v>66464.97</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2"/>
      <c r="O45" s="2932" t="s">
        <v>1484</v>
      </c>
      <c r="P45" s="1644"/>
      <c r="Q45" s="1644"/>
      <c r="R45" s="1644"/>
    </row>
    <row r="46" spans="1:18" s="1567" customFormat="1" ht="13.5" thickBot="1">
      <c r="A46" s="1587" t="s">
        <v>1485</v>
      </c>
      <c r="C46" s="1588">
        <f ca="1">C68-C40</f>
        <v>-423315</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4" t="s">
        <v>1361</v>
      </c>
      <c r="B47" s="1106" t="s">
        <v>1362</v>
      </c>
      <c r="C47" s="1274" t="s">
        <v>1363</v>
      </c>
      <c r="D47" s="1106" t="s">
        <v>1364</v>
      </c>
      <c r="E47" s="1186" t="s">
        <v>1365</v>
      </c>
      <c r="F47" s="1187"/>
      <c r="G47" s="728"/>
      <c r="I47" s="1597" t="s">
        <v>1491</v>
      </c>
      <c r="J47" s="1598" t="s">
        <v>3088</v>
      </c>
      <c r="K47" s="1599" t="s">
        <v>1492</v>
      </c>
      <c r="L47" s="1600">
        <f ca="1">INDIRECT("'数据-取费表'!d"&amp;$G$1)</f>
        <v>50</v>
      </c>
      <c r="M47" s="1563" t="str">
        <f>IF(ISNUMBER(FIND("住宅",C1)),"住宅","非住宅")</f>
        <v>非住宅</v>
      </c>
      <c r="O47" s="1601" t="s">
        <v>1008</v>
      </c>
      <c r="P47" s="1602" t="s">
        <v>1493</v>
      </c>
      <c r="Q47" s="1603">
        <f ca="1">C40+J29</f>
        <v>395566</v>
      </c>
      <c r="R47" s="1603" t="s">
        <v>1494</v>
      </c>
    </row>
    <row r="48" spans="1:18" s="1567" customFormat="1" ht="28.5" thickBot="1">
      <c r="A48" s="1267" t="s">
        <v>1103</v>
      </c>
      <c r="B48" s="304" t="s">
        <v>1366</v>
      </c>
      <c r="C48" s="3072">
        <f ca="1">C49+C53+C55</f>
        <v>0</v>
      </c>
      <c r="D48" s="1269"/>
      <c r="E48" s="1270"/>
      <c r="F48" s="1090"/>
      <c r="G48" s="728"/>
      <c r="H48" s="729"/>
      <c r="I48" s="1604" t="s">
        <v>1495</v>
      </c>
      <c r="J48" s="1605" t="s">
        <v>3089</v>
      </c>
      <c r="K48" s="1606" t="s">
        <v>1496</v>
      </c>
      <c r="L48" s="1607">
        <f ca="1">INDIRECT("'数据-取费表'!f"&amp;$G$1)</f>
        <v>32.54</v>
      </c>
      <c r="O48" s="1601" t="s">
        <v>1009</v>
      </c>
      <c r="P48" s="1602" t="s">
        <v>1497</v>
      </c>
      <c r="Q48" s="1603" t="str">
        <f ca="1">J60</f>
        <v>0</v>
      </c>
      <c r="R48" s="1603" t="s">
        <v>1498</v>
      </c>
    </row>
    <row r="49" spans="1:18" s="1567" customFormat="1" ht="13.5" thickBot="1">
      <c r="A49" s="1103" t="s">
        <v>1104</v>
      </c>
      <c r="B49" s="1554" t="s">
        <v>1455</v>
      </c>
      <c r="C49" s="1271">
        <f ca="1">ROUND(F49*F51*F50*(1-F52)/10000,0)</f>
        <v>0</v>
      </c>
      <c r="D49" s="1183" t="s">
        <v>2850</v>
      </c>
      <c r="E49" s="1555" t="s">
        <v>1456</v>
      </c>
      <c r="F49" s="1188"/>
      <c r="G49" s="1608"/>
      <c r="H49" s="729"/>
      <c r="I49" s="1604" t="s">
        <v>1499</v>
      </c>
      <c r="J49" s="1609"/>
      <c r="K49" s="1606" t="s">
        <v>1500</v>
      </c>
      <c r="L49" s="1610"/>
      <c r="O49" s="1611" t="s">
        <v>1010</v>
      </c>
      <c r="P49" s="1602" t="s">
        <v>1501</v>
      </c>
      <c r="Q49" s="1603">
        <f ca="1">C29</f>
        <v>47670</v>
      </c>
      <c r="R49" s="1603" t="s">
        <v>1494</v>
      </c>
    </row>
    <row r="50" spans="1:18" s="1567" customFormat="1" ht="13.5" thickBot="1">
      <c r="A50" s="1104"/>
      <c r="B50" s="1107"/>
      <c r="C50" s="1275"/>
      <c r="D50" s="1081"/>
      <c r="E50" s="1184" t="s">
        <v>1371</v>
      </c>
      <c r="F50" s="1185">
        <f ca="1">F7</f>
        <v>66464.97</v>
      </c>
      <c r="H50" s="729"/>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5"/>
      <c r="B51" s="1107"/>
      <c r="C51" s="1108"/>
      <c r="D51" s="1081"/>
      <c r="E51" s="1109" t="s">
        <v>1372</v>
      </c>
      <c r="F51" s="307">
        <f ca="1">F8</f>
        <v>365</v>
      </c>
      <c r="I51" s="1615" t="s">
        <v>1505</v>
      </c>
      <c r="J51" s="1616">
        <f>IF(J49="",J50,J49+J50-YEAR('数据-取费表'!B2))</f>
        <v>60</v>
      </c>
      <c r="K51" s="1617" t="s">
        <v>1506</v>
      </c>
      <c r="L51" s="1618">
        <f ca="1">ROUND(-PV(INDIRECT("'数据-取费表'!h"&amp;$G$1),J51,(C39-C13*C76),0),0)</f>
        <v>330014</v>
      </c>
      <c r="M51" s="1619"/>
      <c r="O51" s="1611" t="s">
        <v>1012</v>
      </c>
      <c r="P51" s="1602" t="s">
        <v>1507</v>
      </c>
      <c r="Q51" s="1614">
        <f>J52</f>
        <v>0</v>
      </c>
      <c r="R51" s="1603"/>
    </row>
    <row r="52" spans="1:18" s="1567" customFormat="1" ht="13.5" thickBot="1">
      <c r="A52" s="1105"/>
      <c r="B52" s="1107"/>
      <c r="C52" s="1108"/>
      <c r="D52" s="1081"/>
      <c r="E52" s="1109" t="s">
        <v>1373</v>
      </c>
      <c r="F52" s="1182"/>
      <c r="I52" s="1620" t="s">
        <v>1508</v>
      </c>
      <c r="J52" s="1621"/>
      <c r="K52" s="1620" t="s">
        <v>1509</v>
      </c>
      <c r="L52" s="1621"/>
      <c r="O52" s="1611" t="s">
        <v>1013</v>
      </c>
      <c r="P52" s="1602" t="s">
        <v>1510</v>
      </c>
      <c r="Q52" s="1603">
        <f ca="1">J53</f>
        <v>30.791</v>
      </c>
      <c r="R52" s="1603" t="s">
        <v>1511</v>
      </c>
    </row>
    <row r="53" spans="1:18" s="1567" customFormat="1" ht="24.75" thickBot="1">
      <c r="A53" s="1311" t="s">
        <v>1105</v>
      </c>
      <c r="B53" s="1556" t="s">
        <v>1374</v>
      </c>
      <c r="C53" s="320">
        <f ca="1">ROUND(IF(F53="押一",C49/12*F11,IF(F53="押二",C49/12*2*F11,IF(F53="押三",C49/12*3*F11,C54*F11))),0)</f>
        <v>0</v>
      </c>
      <c r="D53" s="1549" t="s">
        <v>2856</v>
      </c>
      <c r="E53" s="317" t="s">
        <v>1375</v>
      </c>
      <c r="F53" s="1273"/>
      <c r="I53" s="1622" t="s">
        <v>1512</v>
      </c>
      <c r="J53" s="2384">
        <f ca="1">IF(M47="住宅",IF(D1="——",MAX(J51,L48),MAX(J51,L48-'数据-取费表'!B24)),IF(D1="——",MIN(J51,L48),MIN(J51,L48-'数据-取费表'!B24)))</f>
        <v>30.791</v>
      </c>
      <c r="K53" s="3347" t="s">
        <v>1513</v>
      </c>
      <c r="L53" s="3348"/>
      <c r="O53" s="1601" t="s">
        <v>1014</v>
      </c>
      <c r="P53" s="1602" t="s">
        <v>1514</v>
      </c>
      <c r="Q53" s="1603">
        <f ca="1">Q47+Q48</f>
        <v>395566</v>
      </c>
      <c r="R53" s="1603" t="s">
        <v>1015</v>
      </c>
    </row>
    <row r="54" spans="1:18" s="1567" customFormat="1" ht="13.5" thickBot="1">
      <c r="A54" s="1312"/>
      <c r="B54" s="1550" t="s">
        <v>1353</v>
      </c>
      <c r="C54" s="1087"/>
      <c r="D54" s="1549"/>
      <c r="E54" s="3069"/>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0" t="s">
        <v>1043</v>
      </c>
      <c r="B55" s="1552" t="s">
        <v>1378</v>
      </c>
      <c r="C55" s="1241"/>
      <c r="D55" s="1549"/>
      <c r="E55" s="3069"/>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5">
        <v>2</v>
      </c>
      <c r="B56" s="1086" t="s">
        <v>1379</v>
      </c>
      <c r="C56" s="236">
        <f ca="1">C13</f>
        <v>47670</v>
      </c>
      <c r="D56" s="1630"/>
      <c r="E56" s="1631"/>
      <c r="F56" s="1623"/>
      <c r="I56" s="1632" t="s">
        <v>1519</v>
      </c>
      <c r="J56" s="1633" t="s">
        <v>3065</v>
      </c>
      <c r="K56" s="1604" t="s">
        <v>1520</v>
      </c>
      <c r="L56" s="1607" t="str">
        <f ca="1">IF(L48&lt;J51,"——",L48-J53)</f>
        <v>——</v>
      </c>
      <c r="O56" s="1601" t="s">
        <v>1008</v>
      </c>
      <c r="P56" s="1602" t="s">
        <v>1493</v>
      </c>
      <c r="Q56" s="1603">
        <f ca="1">C40+J29</f>
        <v>395566</v>
      </c>
      <c r="R56" s="1603" t="s">
        <v>1494</v>
      </c>
    </row>
    <row r="57" spans="1:18" s="1567" customFormat="1" ht="24.75" thickBot="1">
      <c r="A57" s="1634"/>
      <c r="B57" s="1078" t="s">
        <v>1443</v>
      </c>
      <c r="C57" s="242">
        <f ca="1">C29</f>
        <v>47670</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19" t="s">
        <v>998</v>
      </c>
      <c r="B58" s="1086" t="s">
        <v>1389</v>
      </c>
      <c r="C58" s="320">
        <f ca="1">ROUND(C59+C64+C65+C66,0)</f>
        <v>1997</v>
      </c>
      <c r="D58" s="1088" t="s">
        <v>1390</v>
      </c>
      <c r="E58" s="1089"/>
      <c r="F58" s="1090"/>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0" t="s">
        <v>1003</v>
      </c>
      <c r="B59" s="1078" t="s">
        <v>1394</v>
      </c>
      <c r="C59" s="2532">
        <f ca="1">ROUND(IF(AND(项目基本情况!B11="自然人",项目基本情况!B10="北京市"),C49*F59/(1+'数据-取费表'!C42),C60+C61+C62),0)</f>
        <v>424</v>
      </c>
      <c r="D59" s="1091" t="s">
        <v>1395</v>
      </c>
      <c r="E59" s="1092" t="s">
        <v>1396</v>
      </c>
      <c r="F59" s="2531">
        <f ca="1">IF(项目基本情况!B11="企业","——",IF('数据-取费表'!B10="住宅",IF(F49*F50*F51/12/(1+'数据-取费表'!F30)&gt;100000,4%,2.5%),IF(F49*F50*F51/12/(1+'数据-取费表'!F30)&gt;100000,12%,7%)))</f>
        <v>7.0000000000000007E-2</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0" t="s">
        <v>1002</v>
      </c>
      <c r="B60" s="1078" t="s">
        <v>1398</v>
      </c>
      <c r="C60" s="24">
        <f ca="1">IF(项目基本情况!B11="自然人","——",ROUND(C48*F60/(1+'数据-取费表'!C42),2))</f>
        <v>0</v>
      </c>
      <c r="D60" s="1092" t="s">
        <v>1399</v>
      </c>
      <c r="E60" s="1078" t="s">
        <v>1387</v>
      </c>
      <c r="F60" s="335">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0" t="s">
        <v>1457</v>
      </c>
      <c r="B61" s="1078" t="s">
        <v>1402</v>
      </c>
      <c r="C61" s="24">
        <f ca="1">IF(项目基本情况!B11="自然人","——",IF(D61="按租金收入计税",ROUND(C48*F61,2),IF(D61="按房产原值计税",ROUND(C57*F61*0.7,2),INDIRECT("'数据-取费表'!Aj"&amp;$G$1))))</f>
        <v>400.43</v>
      </c>
      <c r="D61" s="1553" t="s">
        <v>1403</v>
      </c>
      <c r="E61" s="1078" t="s">
        <v>1387</v>
      </c>
      <c r="F61" s="326">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0" t="s">
        <v>1460</v>
      </c>
      <c r="B62" s="1077" t="s">
        <v>1406</v>
      </c>
      <c r="C62" s="25">
        <f ca="1">IF(项目基本情况!B11="自然人","——",ROUND(F62*F63/10000,2))</f>
        <v>23.16</v>
      </c>
      <c r="D62" s="1093" t="s">
        <v>1407</v>
      </c>
      <c r="E62" s="1078" t="s">
        <v>1408</v>
      </c>
      <c r="F62" s="329">
        <f t="shared" si="0"/>
        <v>30</v>
      </c>
      <c r="I62" s="1645" t="s">
        <v>1535</v>
      </c>
      <c r="J62" s="1646" t="s">
        <v>1536</v>
      </c>
      <c r="K62" s="1646" t="s">
        <v>1537</v>
      </c>
      <c r="L62" s="1646" t="s">
        <v>1538</v>
      </c>
      <c r="M62" s="1647" t="s">
        <v>1539</v>
      </c>
      <c r="O62" s="1601" t="s">
        <v>1014</v>
      </c>
      <c r="P62" s="1602" t="s">
        <v>1540</v>
      </c>
      <c r="Q62" s="1603">
        <f ca="1">Q56+Q57</f>
        <v>395566</v>
      </c>
      <c r="R62" s="1603" t="s">
        <v>1015</v>
      </c>
    </row>
    <row r="63" spans="1:18" s="1567" customFormat="1" ht="13.5" thickBot="1">
      <c r="A63" s="330"/>
      <c r="B63" s="1084"/>
      <c r="C63" s="29"/>
      <c r="D63" s="1094"/>
      <c r="E63" s="1078" t="s">
        <v>1412</v>
      </c>
      <c r="F63" s="307">
        <f t="shared" ca="1" si="0"/>
        <v>7720.51</v>
      </c>
      <c r="I63" s="1645" t="s">
        <v>1541</v>
      </c>
      <c r="J63" s="1646">
        <v>70</v>
      </c>
      <c r="K63" s="1646">
        <v>50</v>
      </c>
      <c r="L63" s="1646">
        <v>80</v>
      </c>
      <c r="M63" s="1648">
        <v>0.02</v>
      </c>
      <c r="O63" s="1586" t="s">
        <v>1542</v>
      </c>
      <c r="P63" s="1564"/>
      <c r="Q63" s="1564"/>
      <c r="R63" s="1564"/>
    </row>
    <row r="64" spans="1:18" s="1567" customFormat="1" ht="13.5" thickBot="1">
      <c r="A64" s="1110" t="s">
        <v>1007</v>
      </c>
      <c r="B64" s="1078" t="s">
        <v>1466</v>
      </c>
      <c r="C64" s="24">
        <f ca="1">ROUND(C57*F64,1)</f>
        <v>1430.1</v>
      </c>
      <c r="D64" s="1092" t="s">
        <v>1467</v>
      </c>
      <c r="E64" s="1078" t="s">
        <v>1387</v>
      </c>
      <c r="F64" s="332">
        <f t="shared" ca="1" si="0"/>
        <v>0.03</v>
      </c>
      <c r="I64" s="1645" t="s">
        <v>1543</v>
      </c>
      <c r="J64" s="1646">
        <v>50</v>
      </c>
      <c r="K64" s="1646">
        <v>35</v>
      </c>
      <c r="L64" s="1646">
        <v>60</v>
      </c>
      <c r="M64" s="1647">
        <v>0</v>
      </c>
      <c r="O64" s="1594" t="s">
        <v>1487</v>
      </c>
      <c r="P64" s="1595" t="s">
        <v>1488</v>
      </c>
      <c r="Q64" s="1596" t="s">
        <v>1489</v>
      </c>
      <c r="R64" s="1596" t="s">
        <v>1490</v>
      </c>
    </row>
    <row r="65" spans="1:18" s="1567" customFormat="1" ht="13.5" thickBot="1">
      <c r="A65" s="1110" t="s">
        <v>1468</v>
      </c>
      <c r="B65" s="1078" t="s">
        <v>1418</v>
      </c>
      <c r="C65" s="24">
        <f ca="1">ROUND(C56*F65,1)</f>
        <v>143</v>
      </c>
      <c r="D65" s="1092" t="s">
        <v>1419</v>
      </c>
      <c r="E65" s="1078" t="s">
        <v>1387</v>
      </c>
      <c r="F65" s="334">
        <f t="shared" ca="1" si="0"/>
        <v>3.0000000000000001E-3</v>
      </c>
      <c r="I65" s="1645" t="s">
        <v>1544</v>
      </c>
      <c r="J65" s="1646">
        <v>40</v>
      </c>
      <c r="K65" s="1646">
        <v>30</v>
      </c>
      <c r="L65" s="1646">
        <v>50</v>
      </c>
      <c r="M65" s="1648">
        <v>0.02</v>
      </c>
      <c r="O65" s="1601" t="s">
        <v>1008</v>
      </c>
      <c r="P65" s="1602" t="s">
        <v>1493</v>
      </c>
      <c r="Q65" s="1603">
        <f ca="1">C40+J29</f>
        <v>395566</v>
      </c>
      <c r="R65" s="1603" t="s">
        <v>1494</v>
      </c>
    </row>
    <row r="66" spans="1:18" s="1567" customFormat="1" ht="16.5" thickBot="1">
      <c r="A66" s="1110" t="s">
        <v>1469</v>
      </c>
      <c r="B66" s="1078" t="s">
        <v>1404</v>
      </c>
      <c r="C66" s="24">
        <f ca="1">ROUND(C48*F66,1)</f>
        <v>0</v>
      </c>
      <c r="D66" s="1092" t="s">
        <v>1424</v>
      </c>
      <c r="E66" s="1078" t="s">
        <v>1387</v>
      </c>
      <c r="F66" s="316">
        <f t="shared" ca="1" si="0"/>
        <v>0.03</v>
      </c>
      <c r="O66" s="1601" t="s">
        <v>1009</v>
      </c>
      <c r="P66" s="1602" t="s">
        <v>1523</v>
      </c>
      <c r="Q66" s="1603">
        <f ca="1">L60</f>
        <v>0</v>
      </c>
      <c r="R66" s="1603" t="s">
        <v>1546</v>
      </c>
    </row>
    <row r="67" spans="1:18" s="1567" customFormat="1" ht="16.5" thickBot="1">
      <c r="A67" s="1085" t="s">
        <v>999</v>
      </c>
      <c r="B67" s="1095" t="s">
        <v>1428</v>
      </c>
      <c r="C67" s="320">
        <f ca="1">C48-C58</f>
        <v>-1997</v>
      </c>
      <c r="D67" s="1091" t="s">
        <v>1429</v>
      </c>
      <c r="E67" s="1096"/>
      <c r="F67" s="1097"/>
      <c r="O67" s="1611" t="s">
        <v>1010</v>
      </c>
      <c r="P67" s="1602" t="s">
        <v>1527</v>
      </c>
      <c r="Q67" s="1649">
        <f ca="1">L51</f>
        <v>330014</v>
      </c>
      <c r="R67" s="1603" t="s">
        <v>1547</v>
      </c>
    </row>
    <row r="68" spans="1:18" s="1567" customFormat="1" ht="16.5" thickBot="1">
      <c r="A68" s="1075" t="s">
        <v>1000</v>
      </c>
      <c r="B68" s="1076" t="s">
        <v>1450</v>
      </c>
      <c r="C68" s="305">
        <f ca="1">ROUND(C67*(1-((1+F70)/(1+F68))^F69)/(F68-F70),0)</f>
        <v>-27749</v>
      </c>
      <c r="D68" s="1093" t="s">
        <v>1434</v>
      </c>
      <c r="E68" s="1078" t="s">
        <v>1435</v>
      </c>
      <c r="F68" s="316">
        <f ca="1">F40</f>
        <v>0.06</v>
      </c>
      <c r="O68" s="1611" t="s">
        <v>1011</v>
      </c>
      <c r="P68" s="1650" t="s">
        <v>1548</v>
      </c>
      <c r="Q68" s="1603">
        <f ca="1">ROUND(Q69-Q70*Q71,0)</f>
        <v>17434</v>
      </c>
      <c r="R68" s="1603" t="s">
        <v>1019</v>
      </c>
    </row>
    <row r="69" spans="1:18" s="1567" customFormat="1" ht="13.5" thickBot="1">
      <c r="A69" s="1079"/>
      <c r="B69" s="1080"/>
      <c r="C69" s="310"/>
      <c r="D69" s="1098" t="s">
        <v>1438</v>
      </c>
      <c r="E69" s="1078" t="s">
        <v>1439</v>
      </c>
      <c r="F69" s="337">
        <f ca="1">F41</f>
        <v>30.791</v>
      </c>
      <c r="O69" s="1611" t="s">
        <v>1016</v>
      </c>
      <c r="P69" s="1650" t="s">
        <v>1549</v>
      </c>
      <c r="Q69" s="1603">
        <f ca="1">C39</f>
        <v>21486</v>
      </c>
      <c r="R69" s="1603" t="s">
        <v>1494</v>
      </c>
    </row>
    <row r="70" spans="1:18" s="1567" customFormat="1" ht="13.5" thickBot="1">
      <c r="A70" s="1082"/>
      <c r="B70" s="1083"/>
      <c r="C70" s="314"/>
      <c r="D70" s="1094"/>
      <c r="E70" s="1078" t="s">
        <v>1442</v>
      </c>
      <c r="F70" s="1182"/>
      <c r="O70" s="1611" t="s">
        <v>1017</v>
      </c>
      <c r="P70" s="1650" t="s">
        <v>1550</v>
      </c>
      <c r="Q70" s="1603">
        <f ca="1">C13</f>
        <v>47670</v>
      </c>
      <c r="R70" s="1603" t="s">
        <v>1494</v>
      </c>
    </row>
    <row r="71" spans="1:18" s="1567" customFormat="1" ht="13.5" thickBot="1">
      <c r="A71" s="1099" t="s">
        <v>1001</v>
      </c>
      <c r="B71" s="1100" t="s">
        <v>1452</v>
      </c>
      <c r="C71" s="340">
        <f ca="1">ROUND(C68*10000/F71,0)</f>
        <v>-4175</v>
      </c>
      <c r="D71" s="1101" t="s">
        <v>1453</v>
      </c>
      <c r="E71" s="1102" t="s">
        <v>1454</v>
      </c>
      <c r="F71" s="343">
        <f ca="1">F43</f>
        <v>66464.97</v>
      </c>
      <c r="O71" s="1611" t="s">
        <v>1018</v>
      </c>
      <c r="P71" s="1650" t="s">
        <v>1551</v>
      </c>
      <c r="Q71" s="1614">
        <f ca="1">C76</f>
        <v>8.5000000000000006E-2</v>
      </c>
      <c r="R71" s="1603"/>
    </row>
    <row r="72" spans="1:18" s="1567" customFormat="1" ht="13.5" thickBot="1">
      <c r="B72" s="732"/>
      <c r="C72" s="732"/>
      <c r="O72" s="1611" t="s">
        <v>1012</v>
      </c>
      <c r="P72" s="1602" t="s">
        <v>1529</v>
      </c>
      <c r="Q72" s="1614">
        <f>L52</f>
        <v>0</v>
      </c>
      <c r="R72" s="1603"/>
    </row>
    <row r="73" spans="1:18" ht="16.5" thickBot="1">
      <c r="A73" s="1567"/>
      <c r="B73" s="732"/>
      <c r="C73" s="732"/>
      <c r="D73" s="1567"/>
      <c r="E73" s="1567"/>
      <c r="F73" s="1567"/>
      <c r="O73" s="1611" t="s">
        <v>1013</v>
      </c>
      <c r="P73" s="1602" t="s">
        <v>1532</v>
      </c>
      <c r="Q73" s="1603" t="e">
        <f ca="1">L58</f>
        <v>#DIV/0!</v>
      </c>
      <c r="R73" s="1603" t="s">
        <v>1533</v>
      </c>
    </row>
    <row r="74" spans="1:18" ht="13.5" thickBot="1">
      <c r="A74" s="1567"/>
      <c r="B74" s="277"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4" t="s">
        <v>1471</v>
      </c>
      <c r="C75" s="345">
        <f ca="1">ROUND(C13*C76,0)</f>
        <v>4052</v>
      </c>
      <c r="D75" s="1567"/>
      <c r="E75" s="1567"/>
      <c r="F75" s="1567"/>
      <c r="K75" s="1585"/>
      <c r="L75" s="1567"/>
      <c r="O75" s="1601" t="s">
        <v>1014</v>
      </c>
      <c r="P75" s="1602" t="s">
        <v>1514</v>
      </c>
      <c r="Q75" s="1603">
        <f ca="1">Q65+Q66</f>
        <v>395566</v>
      </c>
      <c r="R75" s="1603" t="s">
        <v>1015</v>
      </c>
    </row>
    <row r="76" spans="1:18">
      <c r="B76" s="346" t="s">
        <v>1472</v>
      </c>
      <c r="C76" s="347">
        <f ca="1">INDIRECT("'数据-取费表'!j"&amp;$G$1)</f>
        <v>8.5000000000000006E-2</v>
      </c>
      <c r="I76" s="1567"/>
      <c r="J76" s="1567"/>
      <c r="K76" s="1585"/>
      <c r="L76" s="1567"/>
    </row>
    <row r="77" spans="1:18">
      <c r="B77" s="348" t="s">
        <v>1473</v>
      </c>
      <c r="C77" s="349"/>
      <c r="I77" s="1567"/>
      <c r="J77" s="1567"/>
      <c r="K77" s="1585"/>
      <c r="L77" s="1567"/>
    </row>
    <row r="78" spans="1:18">
      <c r="B78" s="274" t="s">
        <v>1474</v>
      </c>
      <c r="C78" s="350"/>
    </row>
    <row r="79" spans="1:18">
      <c r="B79" s="344" t="s">
        <v>1475</v>
      </c>
      <c r="C79" s="278">
        <f ca="1">1-C80</f>
        <v>0.81099999999999994</v>
      </c>
    </row>
    <row r="80" spans="1:18">
      <c r="B80" s="344" t="s">
        <v>1476</v>
      </c>
      <c r="C80" s="278">
        <f ca="1">ROUND(C75/C39,3)</f>
        <v>0.189</v>
      </c>
    </row>
    <row r="81" spans="2:3">
      <c r="B81" s="274" t="s">
        <v>1477</v>
      </c>
      <c r="C81" s="242"/>
    </row>
    <row r="82" spans="2:3">
      <c r="B82" s="277" t="s">
        <v>1478</v>
      </c>
      <c r="C82" s="279">
        <f ca="1">1-C83</f>
        <v>0.879</v>
      </c>
    </row>
    <row r="83" spans="2:3">
      <c r="B83" s="277" t="s">
        <v>1479</v>
      </c>
      <c r="C83" s="278">
        <f ca="1">ROUND(C13/C40,3)</f>
        <v>0.121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4" sqref="C14"/>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51" customWidth="1"/>
    <col min="12" max="12" width="16.375" style="262" customWidth="1"/>
    <col min="13" max="13" width="13" style="262"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2"/>
  </cols>
  <sheetData>
    <row r="1" spans="1:37" s="297" customFormat="1" ht="21">
      <c r="A1" s="1558" t="s">
        <v>1554</v>
      </c>
      <c r="B1" s="719"/>
      <c r="C1" s="1562" t="s">
        <v>1343</v>
      </c>
      <c r="D1" s="1545"/>
      <c r="E1" s="1546" t="s">
        <v>1352</v>
      </c>
      <c r="F1" s="1190">
        <f ca="1">J53</f>
        <v>20.781000000000002</v>
      </c>
      <c r="G1" s="1561">
        <f>MATCH(C1,'数据-取费表'!A6:A16,0)+5</f>
        <v>9</v>
      </c>
      <c r="H1" s="2919"/>
      <c r="I1" s="2920"/>
      <c r="J1" s="2920"/>
      <c r="K1" s="2921"/>
      <c r="L1" s="2920"/>
      <c r="M1" s="2920"/>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1480</v>
      </c>
      <c r="B2" s="1569">
        <f ca="1">C40+J29+L46</f>
        <v>17034</v>
      </c>
      <c r="C2" s="1570" t="s">
        <v>1481</v>
      </c>
      <c r="D2" s="1570"/>
      <c r="E2" s="1571"/>
      <c r="F2" s="1572"/>
      <c r="G2" s="2933"/>
      <c r="H2" s="2922"/>
      <c r="I2" s="2922"/>
      <c r="J2" s="2922"/>
      <c r="K2" s="2923"/>
      <c r="L2" s="2922"/>
      <c r="M2" s="2922"/>
    </row>
    <row r="3" spans="1:37" ht="18" customHeight="1" thickBot="1">
      <c r="A3" s="1573" t="s">
        <v>1482</v>
      </c>
      <c r="B3" s="1574">
        <f ca="1">IF(ISERROR(B2*10000/F43),0,ROUND(B2*10000/F43,0))</f>
        <v>24223</v>
      </c>
      <c r="C3" s="1570" t="s">
        <v>1483</v>
      </c>
      <c r="D3" s="1570"/>
      <c r="E3" s="1571"/>
      <c r="F3" s="1572"/>
      <c r="G3" s="2933"/>
      <c r="H3" s="689" t="s">
        <v>1553</v>
      </c>
      <c r="I3" s="1565"/>
      <c r="J3" s="1565"/>
      <c r="K3" s="1566"/>
      <c r="L3" s="1565"/>
      <c r="M3" s="1565"/>
    </row>
    <row r="4" spans="1:37" ht="18" customHeight="1">
      <c r="A4" s="299" t="s">
        <v>1361</v>
      </c>
      <c r="B4" s="300" t="s">
        <v>1362</v>
      </c>
      <c r="C4" s="300" t="s">
        <v>1363</v>
      </c>
      <c r="D4" s="300" t="s">
        <v>1364</v>
      </c>
      <c r="E4" s="301" t="s">
        <v>1365</v>
      </c>
      <c r="F4" s="302"/>
      <c r="G4" s="1567"/>
      <c r="H4" s="299" t="s">
        <v>1361</v>
      </c>
      <c r="I4" s="300" t="s">
        <v>1362</v>
      </c>
      <c r="J4" s="300" t="s">
        <v>1363</v>
      </c>
      <c r="K4" s="300" t="s">
        <v>1364</v>
      </c>
      <c r="L4" s="301" t="s">
        <v>1365</v>
      </c>
      <c r="M4" s="302"/>
    </row>
    <row r="5" spans="1:37" ht="18" customHeight="1">
      <c r="A5" s="303">
        <v>1</v>
      </c>
      <c r="B5" s="304" t="s">
        <v>1366</v>
      </c>
      <c r="C5" s="1199">
        <f ca="1">C6+C10+C12</f>
        <v>1581</v>
      </c>
      <c r="D5" s="1547" t="s">
        <v>1367</v>
      </c>
      <c r="E5" s="1200"/>
      <c r="F5" s="1201"/>
      <c r="G5" s="1567"/>
      <c r="H5" s="303">
        <v>1</v>
      </c>
      <c r="I5" s="304" t="s">
        <v>1366</v>
      </c>
      <c r="J5" s="1199">
        <f ca="1">J6+J10+J12</f>
        <v>0</v>
      </c>
      <c r="K5" s="1547" t="s">
        <v>1367</v>
      </c>
      <c r="L5" s="1200"/>
      <c r="M5" s="1201"/>
    </row>
    <row r="6" spans="1:37" ht="18" customHeight="1">
      <c r="A6" s="1198" t="s">
        <v>1003</v>
      </c>
      <c r="B6" s="3349" t="s">
        <v>1368</v>
      </c>
      <c r="C6" s="1203">
        <f ca="1">ROUND(F6*F8*F7*(1-F9)/10000,0)</f>
        <v>1581</v>
      </c>
      <c r="D6" s="158" t="s">
        <v>2849</v>
      </c>
      <c r="E6" s="306" t="s">
        <v>1370</v>
      </c>
      <c r="F6" s="307">
        <f ca="1">INDIRECT("'数据-取费表'!u"&amp;$G$1)</f>
        <v>7</v>
      </c>
      <c r="G6" s="1567"/>
      <c r="H6" s="1198" t="s">
        <v>1003</v>
      </c>
      <c r="I6" s="3349" t="s">
        <v>1368</v>
      </c>
      <c r="J6" s="305">
        <f ca="1">ROUND(M6*M8*M7*(1-M9)/10000,0)</f>
        <v>0</v>
      </c>
      <c r="K6" s="158" t="s">
        <v>2848</v>
      </c>
      <c r="L6" s="306" t="s">
        <v>1370</v>
      </c>
      <c r="M6" s="307">
        <f ca="1">INDIRECT("'数据-取费表'!z"&amp;$G$1)</f>
        <v>0</v>
      </c>
    </row>
    <row r="7" spans="1:37" ht="18" customHeight="1">
      <c r="A7" s="1202"/>
      <c r="B7" s="3350"/>
      <c r="C7" s="1204"/>
      <c r="D7" s="311"/>
      <c r="E7" s="3044" t="s">
        <v>1371</v>
      </c>
      <c r="F7" s="307">
        <f ca="1">IF(INDIRECT("'数据-取费表'!ah"&amp;$G$1)="",INDIRECT("'数据-取费表'!k"&amp;$G$1),INDIRECT("'数据-取费表'!ah"&amp;$G$1))</f>
        <v>7032.3</v>
      </c>
      <c r="G7" s="1567"/>
      <c r="H7" s="308"/>
      <c r="I7" s="3350"/>
      <c r="J7" s="310"/>
      <c r="K7" s="311"/>
      <c r="L7" s="306" t="s">
        <v>1371</v>
      </c>
      <c r="M7" s="307">
        <f ca="1">F7</f>
        <v>7032.3</v>
      </c>
    </row>
    <row r="8" spans="1:37" ht="18" customHeight="1">
      <c r="A8" s="308"/>
      <c r="B8" s="3350"/>
      <c r="C8" s="310"/>
      <c r="D8" s="311"/>
      <c r="E8" s="306" t="s">
        <v>1372</v>
      </c>
      <c r="F8" s="307">
        <f ca="1">INDIRECT("'数据-取费表'!ai"&amp;$G$1)</f>
        <v>365</v>
      </c>
      <c r="G8" s="1567"/>
      <c r="H8" s="308"/>
      <c r="I8" s="3350"/>
      <c r="J8" s="310"/>
      <c r="K8" s="311"/>
      <c r="L8" s="306" t="s">
        <v>1372</v>
      </c>
      <c r="M8" s="307">
        <f ca="1">INDIRECT("'数据-取费表'!ai"&amp;$G$1)</f>
        <v>365</v>
      </c>
    </row>
    <row r="9" spans="1:37" ht="18" customHeight="1">
      <c r="A9" s="308"/>
      <c r="B9" s="3351"/>
      <c r="C9" s="310"/>
      <c r="D9" s="311"/>
      <c r="E9" s="306" t="s">
        <v>1373</v>
      </c>
      <c r="F9" s="316">
        <f ca="1">INDIRECT("'数据-取费表'!w"&amp;$G$1)</f>
        <v>0.12</v>
      </c>
      <c r="G9" s="1567"/>
      <c r="H9" s="308"/>
      <c r="I9" s="3351"/>
      <c r="J9" s="310"/>
      <c r="K9" s="311"/>
      <c r="L9" s="317" t="s">
        <v>1373</v>
      </c>
      <c r="M9" s="318">
        <f ca="1">INDIRECT("'数据-取费表'!ab"&amp;$G$1)</f>
        <v>0</v>
      </c>
    </row>
    <row r="10" spans="1:37" ht="18" customHeight="1">
      <c r="A10" s="1198" t="s">
        <v>1007</v>
      </c>
      <c r="B10" s="1548" t="s">
        <v>1374</v>
      </c>
      <c r="C10" s="320">
        <f ca="1">ROUND(IF(F10="押一",C6/12*F11,IF(F10="押二",C6/12*2*F11,IF(F10="押三",C6/12*3*F11,C11*F11))),0)</f>
        <v>0</v>
      </c>
      <c r="D10" s="1549" t="s">
        <v>2856</v>
      </c>
      <c r="E10" s="317" t="s">
        <v>1375</v>
      </c>
      <c r="F10" s="1273" t="s">
        <v>3086</v>
      </c>
      <c r="G10" s="1567"/>
      <c r="H10" s="1198" t="s">
        <v>1007</v>
      </c>
      <c r="I10" s="1548" t="s">
        <v>1374</v>
      </c>
      <c r="J10" s="305">
        <f ca="1">ROUND(IF(M10="押一",J6/12*M11,IF(M10="押二",J6/12*2*M11,IF(M10="押三",J6/12*3*M11,J11*M11))),0)</f>
        <v>0</v>
      </c>
      <c r="K10" s="1549" t="s">
        <v>2856</v>
      </c>
      <c r="L10" s="317" t="s">
        <v>1375</v>
      </c>
      <c r="M10" s="1273" t="s">
        <v>1376</v>
      </c>
    </row>
    <row r="11" spans="1:37" ht="18" customHeight="1">
      <c r="A11" s="312"/>
      <c r="B11" s="1550" t="s">
        <v>1353</v>
      </c>
      <c r="C11" s="1087"/>
      <c r="D11" s="1551"/>
      <c r="E11" s="317" t="s">
        <v>1377</v>
      </c>
      <c r="F11" s="318">
        <f ca="1">'数据-取费表'!B39</f>
        <v>1.4999999999999999E-2</v>
      </c>
      <c r="G11" s="1567"/>
      <c r="H11" s="1206"/>
      <c r="I11" s="1550" t="s">
        <v>1353</v>
      </c>
      <c r="J11" s="1087"/>
      <c r="K11" s="690"/>
      <c r="L11" s="317" t="s">
        <v>1377</v>
      </c>
      <c r="M11" s="968">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4">
        <f ca="1">ROUND(C29*F13,0)</f>
        <v>5044</v>
      </c>
      <c r="D13" s="3041" t="s">
        <v>1380</v>
      </c>
      <c r="E13" s="3041" t="s">
        <v>1381</v>
      </c>
      <c r="F13" s="1239">
        <f ca="1">INDIRECT("'数据-取费表'!y"&amp;$G$1)</f>
        <v>1</v>
      </c>
      <c r="G13" s="1567"/>
      <c r="H13" s="1236">
        <v>2</v>
      </c>
      <c r="I13" s="1237" t="s">
        <v>1379</v>
      </c>
      <c r="J13" s="1197">
        <f ca="1">ROUND(J14*J15,0)</f>
        <v>0</v>
      </c>
      <c r="K13" s="1244" t="s">
        <v>1380</v>
      </c>
      <c r="L13" s="1575"/>
      <c r="M13" s="1576"/>
    </row>
    <row r="14" spans="1:37" ht="18" customHeight="1">
      <c r="A14" s="1110" t="s">
        <v>1002</v>
      </c>
      <c r="B14" s="306" t="s">
        <v>1382</v>
      </c>
      <c r="C14" s="322">
        <f ca="1">INDIRECT("'数据-取费表'!m"&amp;$G$1)+INDIRECT("'数据-取费表'!t"&amp;$G$1)</f>
        <v>3165</v>
      </c>
      <c r="D14" s="3050" t="s">
        <v>1383</v>
      </c>
      <c r="E14" s="3049"/>
      <c r="F14" s="323"/>
      <c r="G14" s="1567"/>
      <c r="H14" s="1110" t="s">
        <v>1003</v>
      </c>
      <c r="I14" s="306" t="s">
        <v>1384</v>
      </c>
      <c r="J14" s="24">
        <f ca="1">C29</f>
        <v>5044</v>
      </c>
      <c r="K14" s="3043"/>
      <c r="L14" s="913"/>
      <c r="M14" s="914"/>
    </row>
    <row r="15" spans="1:37" s="1580" customFormat="1" ht="18" customHeight="1" thickBot="1">
      <c r="A15" s="1110" t="s">
        <v>1004</v>
      </c>
      <c r="B15" s="306" t="s">
        <v>1385</v>
      </c>
      <c r="C15" s="24">
        <f ca="1">ROUND(C14*F15,0)</f>
        <v>158</v>
      </c>
      <c r="D15" s="3042" t="s">
        <v>1386</v>
      </c>
      <c r="E15" s="3042" t="s">
        <v>1387</v>
      </c>
      <c r="F15" s="325">
        <f>'数据-取费表'!B33</f>
        <v>0.05</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1354</v>
      </c>
      <c r="B16" s="306" t="s">
        <v>1388</v>
      </c>
      <c r="C16" s="24">
        <f ca="1">ROUND(INDIRECT("'数据-取费表'!m"&amp;$G$1)*F16,0)</f>
        <v>0</v>
      </c>
      <c r="D16" s="306" t="s">
        <v>1386</v>
      </c>
      <c r="E16" s="306" t="s">
        <v>1387</v>
      </c>
      <c r="F16" s="326">
        <f ca="1">IF(INDIRECT("'数据-取费表'!c"&amp;$G$1)="住宅",'数据-取费表'!B34,0)</f>
        <v>0</v>
      </c>
      <c r="G16" s="1567"/>
      <c r="H16" s="1236" t="s">
        <v>998</v>
      </c>
      <c r="I16" s="1237" t="s">
        <v>1389</v>
      </c>
      <c r="J16" s="314">
        <f ca="1">ROUND(J17+J22+J23+J24,0)</f>
        <v>196</v>
      </c>
      <c r="K16" s="1244" t="s">
        <v>1390</v>
      </c>
      <c r="L16" s="3052"/>
      <c r="M16" s="1201"/>
    </row>
    <row r="17" spans="1:37" s="1580" customFormat="1" ht="18" customHeight="1">
      <c r="A17" s="1110" t="s">
        <v>1355</v>
      </c>
      <c r="B17" s="306" t="s">
        <v>1391</v>
      </c>
      <c r="C17" s="24">
        <f ca="1">ROUND(F17*(F43+INDIRECT("'数据-取费表'!S"&amp;$G$1))/10000,0)</f>
        <v>211</v>
      </c>
      <c r="D17" s="306" t="s">
        <v>1392</v>
      </c>
      <c r="E17" s="306" t="s">
        <v>1393</v>
      </c>
      <c r="F17" s="26">
        <f>'数据-取费表'!B35</f>
        <v>300</v>
      </c>
      <c r="G17" s="1579"/>
      <c r="H17" s="1110" t="s">
        <v>1003</v>
      </c>
      <c r="I17" s="306" t="s">
        <v>1394</v>
      </c>
      <c r="J17" s="2532">
        <f ca="1">ROUND(IF(AND(项目基本情况!B11="自然人",项目基本情况!B10="北京市"),J6*M17/(1+'数据-取费表'!C42),J18+J19+J20),0)</f>
        <v>45</v>
      </c>
      <c r="K17" s="3050" t="s">
        <v>1395</v>
      </c>
      <c r="L17" s="3051" t="s">
        <v>1396</v>
      </c>
      <c r="M17" s="2531">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1356</v>
      </c>
      <c r="B18" s="306" t="s">
        <v>1397</v>
      </c>
      <c r="C18" s="24">
        <f ca="1">ROUND(C14*F18,0)</f>
        <v>47</v>
      </c>
      <c r="D18" s="306" t="s">
        <v>1386</v>
      </c>
      <c r="E18" s="306" t="s">
        <v>1387</v>
      </c>
      <c r="F18" s="326">
        <f>'数据-取费表'!B36</f>
        <v>1.4999999999999999E-2</v>
      </c>
      <c r="G18" s="1579"/>
      <c r="H18" s="1110" t="s">
        <v>1002</v>
      </c>
      <c r="I18" s="306" t="s">
        <v>1398</v>
      </c>
      <c r="J18" s="24">
        <f ca="1">ROUND(J6*M18/(1+'数据-取费表'!C42),2)</f>
        <v>0</v>
      </c>
      <c r="K18" s="3051" t="s">
        <v>1399</v>
      </c>
      <c r="L18" s="306" t="s">
        <v>1387</v>
      </c>
      <c r="M18" s="326">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1003</v>
      </c>
      <c r="B19" s="306" t="s">
        <v>1400</v>
      </c>
      <c r="C19" s="24">
        <f ca="1">SUM(C14:C18)</f>
        <v>3581</v>
      </c>
      <c r="D19" s="134" t="s">
        <v>1401</v>
      </c>
      <c r="E19" s="3062"/>
      <c r="F19" s="26"/>
      <c r="G19" s="1567"/>
      <c r="H19" s="1110" t="s">
        <v>1004</v>
      </c>
      <c r="I19" s="306" t="s">
        <v>1402</v>
      </c>
      <c r="J19" s="24">
        <f ca="1">IF(K19="按租金收入计税",ROUND(J6*M19/(1+'数据-取费表'!C42),2),ROUND(C29*M19*0.7,2))</f>
        <v>42.37</v>
      </c>
      <c r="K19" s="1553" t="s">
        <v>1403</v>
      </c>
      <c r="L19" s="306" t="s">
        <v>1387</v>
      </c>
      <c r="M19" s="326">
        <f>IF(K19="按租金收入计税",'数据-取费表'!B51,'数据-取费表'!B50)</f>
        <v>1.2E-2</v>
      </c>
    </row>
    <row r="20" spans="1:37" s="1580" customFormat="1" ht="18" customHeight="1">
      <c r="A20" s="1110" t="s">
        <v>1007</v>
      </c>
      <c r="B20" s="306" t="s">
        <v>1404</v>
      </c>
      <c r="C20" s="24">
        <f ca="1">ROUND(C19*F20,0)</f>
        <v>72</v>
      </c>
      <c r="D20" s="327" t="s">
        <v>1405</v>
      </c>
      <c r="E20" s="306" t="s">
        <v>1387</v>
      </c>
      <c r="F20" s="326">
        <f>'数据-取费表'!B37</f>
        <v>0.02</v>
      </c>
      <c r="G20" s="1579"/>
      <c r="H20" s="1110" t="s">
        <v>1354</v>
      </c>
      <c r="I20" s="158" t="s">
        <v>1406</v>
      </c>
      <c r="J20" s="25">
        <f ca="1">ROUND(M20*M21/10000,2)</f>
        <v>2.4500000000000002</v>
      </c>
      <c r="K20" s="328" t="s">
        <v>1407</v>
      </c>
      <c r="L20" s="306" t="s">
        <v>1408</v>
      </c>
      <c r="M20" s="329">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1043</v>
      </c>
      <c r="B21" s="306" t="s">
        <v>1409</v>
      </c>
      <c r="C21" s="24" t="s">
        <v>18</v>
      </c>
      <c r="D21" s="327" t="s">
        <v>1410</v>
      </c>
      <c r="E21" s="306" t="s">
        <v>1411</v>
      </c>
      <c r="F21" s="326">
        <f>'数据-取费表'!B38</f>
        <v>0.02</v>
      </c>
      <c r="G21" s="1579"/>
      <c r="H21" s="330"/>
      <c r="I21" s="315"/>
      <c r="J21" s="29"/>
      <c r="K21" s="331"/>
      <c r="L21" s="306" t="s">
        <v>1412</v>
      </c>
      <c r="M21" s="307">
        <f ca="1">INDIRECT("'数据-取费表'!r"&amp;$G$1)</f>
        <v>816.87</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1357</v>
      </c>
      <c r="B22" s="306" t="s">
        <v>1413</v>
      </c>
      <c r="C22" s="24"/>
      <c r="D22" s="134" t="str">
        <f>IF(F23&lt;=1,"单利计息。","复利计息。")&amp;"建造成本、管理费用、销售费用产生的利息。"</f>
        <v>复利计息。建造成本、管理费用、销售费用产生的利息。</v>
      </c>
      <c r="E22" s="3062"/>
      <c r="F22" s="26"/>
      <c r="G22" s="1567"/>
      <c r="H22" s="1110" t="s">
        <v>1007</v>
      </c>
      <c r="I22" s="306" t="s">
        <v>1414</v>
      </c>
      <c r="J22" s="24">
        <f ca="1">ROUND(J14*M22,1)</f>
        <v>151.30000000000001</v>
      </c>
      <c r="K22" s="3051" t="s">
        <v>1415</v>
      </c>
      <c r="L22" s="306" t="s">
        <v>1387</v>
      </c>
      <c r="M22" s="332">
        <f ca="1">INDIRECT("'数据-取费表'!Ak"&amp;$G$1)</f>
        <v>0.03</v>
      </c>
    </row>
    <row r="23" spans="1:37" s="1580" customFormat="1" ht="18" customHeight="1">
      <c r="A23" s="1110" t="s">
        <v>1002</v>
      </c>
      <c r="B23" s="306" t="s">
        <v>1416</v>
      </c>
      <c r="C23" s="24">
        <f ca="1">IF('数据-取费表'!B22&lt;=1,ROUND(C19*F24*F23/2,0)+ROUND(C20*F24*F23/2,0),ROUND(C19*(POWER((1+F24),F23/2)-1),0)+ROUND(C20*(POWER((1+F24),F23/2)-1),0))</f>
        <v>263</v>
      </c>
      <c r="D23" s="333" t="str">
        <f>IF(F23&lt;=1,"(建造成本+管理费用)×利率×(建设周期÷2)","(建造成本+管理费用)×((1+利率)^(建设周期÷2)-1)")</f>
        <v>(建造成本+管理费用)×((1+利率)^(建设周期÷2)-1)</v>
      </c>
      <c r="E23" s="306" t="s">
        <v>1417</v>
      </c>
      <c r="F23" s="329">
        <f>'数据-取费表'!B20</f>
        <v>3</v>
      </c>
      <c r="G23" s="1579"/>
      <c r="H23" s="1110" t="s">
        <v>1043</v>
      </c>
      <c r="I23" s="306" t="s">
        <v>1418</v>
      </c>
      <c r="J23" s="24">
        <f ca="1">ROUND(J13*M23,1)</f>
        <v>0</v>
      </c>
      <c r="K23" s="3051" t="s">
        <v>1419</v>
      </c>
      <c r="L23" s="306" t="s">
        <v>1387</v>
      </c>
      <c r="M23" s="334">
        <f ca="1">INDIRECT("'数据-取费表'!Al"&amp;$G$1)</f>
        <v>3.0000000000000001E-3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1004</v>
      </c>
      <c r="B24" s="306" t="s">
        <v>1422</v>
      </c>
      <c r="C24" s="24">
        <f ca="1">ROUND(IF('数据-取费表'!B22&lt;=1,F21*F24*F23/2,F21*(POWER((1+F24),F23/2)-1)),4)</f>
        <v>1.4E-3</v>
      </c>
      <c r="D24" s="333" t="str">
        <f>IF(F23&lt;=1,"销售费用×利率×(建设周期÷2)","销售费用×((1+利率)^(建设周期÷2)-1)")</f>
        <v>销售费用×((1+利率)^(建设周期÷2)-1)</v>
      </c>
      <c r="E24" s="306" t="s">
        <v>1423</v>
      </c>
      <c r="F24" s="335">
        <f ca="1">'数据-取费表'!B40</f>
        <v>4.7500000000000001E-2</v>
      </c>
      <c r="G24" s="1579"/>
      <c r="H24" s="1246" t="s">
        <v>1357</v>
      </c>
      <c r="I24" s="1247" t="s">
        <v>1404</v>
      </c>
      <c r="J24" s="1248">
        <f ca="1">ROUND(J5*M24,1)</f>
        <v>0</v>
      </c>
      <c r="K24" s="1249" t="s">
        <v>1424</v>
      </c>
      <c r="L24" s="1247" t="s">
        <v>1387</v>
      </c>
      <c r="M24" s="1243">
        <f ca="1">INDIRECT("'数据-取费表'!Am"&amp;$G$1)</f>
        <v>0.03</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0" t="s">
        <v>1425</v>
      </c>
      <c r="B25" s="306" t="s">
        <v>1426</v>
      </c>
      <c r="C25" s="24"/>
      <c r="D25" s="134" t="s">
        <v>1427</v>
      </c>
      <c r="E25" s="3062"/>
      <c r="F25" s="26"/>
      <c r="G25" s="1567"/>
      <c r="H25" s="1236" t="s">
        <v>999</v>
      </c>
      <c r="I25" s="1251" t="s">
        <v>1428</v>
      </c>
      <c r="J25" s="314">
        <f ca="1">J5-J16</f>
        <v>-196</v>
      </c>
      <c r="K25" s="1252" t="s">
        <v>1429</v>
      </c>
      <c r="L25" s="1253"/>
      <c r="M25" s="1254"/>
    </row>
    <row r="26" spans="1:37">
      <c r="A26" s="1110" t="s">
        <v>1002</v>
      </c>
      <c r="B26" s="306" t="s">
        <v>1430</v>
      </c>
      <c r="C26" s="24">
        <f ca="1">ROUND((C19+C20)*F26,0)</f>
        <v>731</v>
      </c>
      <c r="D26" s="327" t="s">
        <v>1431</v>
      </c>
      <c r="E26" s="317" t="s">
        <v>1432</v>
      </c>
      <c r="F26" s="316">
        <f ca="1">INDIRECT("'数据-取费表'!q"&amp;$G$1)</f>
        <v>0.2</v>
      </c>
      <c r="G26" s="1567"/>
      <c r="H26" s="303" t="s">
        <v>1000</v>
      </c>
      <c r="I26" s="304" t="s">
        <v>1433</v>
      </c>
      <c r="J26" s="305">
        <f ca="1">IF(J5&lt;&gt;0,ROUND(J25*(1-((1+M28)/(1+M26))^M27)/(M26-M28),0),0)</f>
        <v>0</v>
      </c>
      <c r="K26" s="328" t="s">
        <v>1434</v>
      </c>
      <c r="L26" s="306" t="s">
        <v>1435</v>
      </c>
      <c r="M26" s="316">
        <f ca="1">INDIRECT("'数据-取费表'!I"&amp;$G$1)</f>
        <v>0.06</v>
      </c>
    </row>
    <row r="27" spans="1:37" ht="18" customHeight="1">
      <c r="A27" s="1110" t="s">
        <v>1004</v>
      </c>
      <c r="B27" s="306" t="s">
        <v>1436</v>
      </c>
      <c r="C27" s="24">
        <f ca="1">ROUND(F21*F26,4)</f>
        <v>4.0000000000000001E-3</v>
      </c>
      <c r="D27" s="327" t="s">
        <v>1437</v>
      </c>
      <c r="E27" s="3042"/>
      <c r="F27" s="325"/>
      <c r="G27" s="1567"/>
      <c r="H27" s="308"/>
      <c r="I27" s="309"/>
      <c r="J27" s="310"/>
      <c r="K27" s="336" t="s">
        <v>1438</v>
      </c>
      <c r="L27" s="306" t="s">
        <v>1439</v>
      </c>
      <c r="M27" s="337">
        <f ca="1">INDIRECT("'数据-取费表'!ag"&amp;$G$1)</f>
        <v>0</v>
      </c>
    </row>
    <row r="28" spans="1:37" s="1580" customFormat="1" ht="18" customHeight="1">
      <c r="A28" s="1110" t="s">
        <v>1005</v>
      </c>
      <c r="B28" s="306" t="s">
        <v>1440</v>
      </c>
      <c r="C28" s="24">
        <f>ROUND(F28/(1+'数据-取费表'!C42),4)</f>
        <v>5.33E-2</v>
      </c>
      <c r="D28" s="327" t="s">
        <v>1441</v>
      </c>
      <c r="E28" s="306" t="s">
        <v>1387</v>
      </c>
      <c r="F28" s="326">
        <f>'数据-取费表'!B41</f>
        <v>5.6000000000000001E-2</v>
      </c>
      <c r="G28" s="1579"/>
      <c r="H28" s="312"/>
      <c r="I28" s="313"/>
      <c r="J28" s="314"/>
      <c r="K28" s="331"/>
      <c r="L28" s="306" t="s">
        <v>1442</v>
      </c>
      <c r="M28" s="316">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5044</v>
      </c>
      <c r="D29" s="1249"/>
      <c r="E29" s="1247"/>
      <c r="F29" s="1250"/>
      <c r="G29" s="1579"/>
      <c r="H29" s="338" t="s">
        <v>1001</v>
      </c>
      <c r="I29" s="339" t="s">
        <v>1444</v>
      </c>
      <c r="J29" s="340">
        <f ca="1">ROUND(J26/(1+F40)^F41,0)</f>
        <v>0</v>
      </c>
      <c r="K29" s="341" t="s">
        <v>1445</v>
      </c>
      <c r="L29" s="342"/>
      <c r="M29" s="343">
        <f ca="1">INDIRECT("'数据-取费表'!k"&amp;$G$1)</f>
        <v>7032.3</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4">
        <f ca="1">ROUND(C31+C36+C37+C38,0)</f>
        <v>343</v>
      </c>
      <c r="D30" s="1244" t="s">
        <v>1390</v>
      </c>
      <c r="E30" s="3052"/>
      <c r="F30" s="1201"/>
      <c r="G30" s="1567"/>
      <c r="H30" s="2924"/>
      <c r="I30" s="1581"/>
      <c r="J30" s="1582"/>
      <c r="K30" s="2699"/>
      <c r="L30" s="2925"/>
      <c r="M30" s="2926"/>
    </row>
    <row r="31" spans="1:37" ht="18" customHeight="1">
      <c r="A31" s="1110" t="s">
        <v>1003</v>
      </c>
      <c r="B31" s="306" t="s">
        <v>1394</v>
      </c>
      <c r="C31" s="2532">
        <f ca="1">ROUND(IF(AND(项目基本情况!B11="自然人",项目基本情况!B10="北京市"),C6*F31/(1+'数据-取费表'!C42),C32+C33+C34),0)</f>
        <v>129</v>
      </c>
      <c r="D31" s="3050" t="s">
        <v>1395</v>
      </c>
      <c r="E31" s="3051" t="s">
        <v>1446</v>
      </c>
      <c r="F31" s="2531">
        <f ca="1">IF(项目基本情况!B11="企业","——",IF('数据-取费表'!B10="住宅",IF(F6*F7*F8/12/(1+'数据-取费表'!F30)&gt;100000,4%,2.5%),IF(F6*F7*F8/12/(1+'数据-取费表'!F30)&gt;100000,12%,7%)))</f>
        <v>0.12</v>
      </c>
      <c r="G31" s="1567"/>
      <c r="H31" s="3037" t="s">
        <v>3057</v>
      </c>
      <c r="I31" s="1581"/>
      <c r="J31" s="1582"/>
      <c r="K31" s="2699"/>
      <c r="L31" s="2925"/>
      <c r="M31" s="2926"/>
    </row>
    <row r="32" spans="1:37" ht="18" customHeight="1">
      <c r="A32" s="1110" t="s">
        <v>1002</v>
      </c>
      <c r="B32" s="306" t="s">
        <v>1398</v>
      </c>
      <c r="C32" s="24">
        <f ca="1">IF(项目基本情况!B11="自然人","——",ROUND(C6*F32/(1+'数据-取费表'!C42),2))</f>
        <v>84.32</v>
      </c>
      <c r="D32" s="3051" t="s">
        <v>1399</v>
      </c>
      <c r="E32" s="306" t="s">
        <v>1387</v>
      </c>
      <c r="F32" s="335">
        <f>'数据-取费表'!B41</f>
        <v>5.6000000000000001E-2</v>
      </c>
      <c r="G32" s="1567"/>
      <c r="H32" s="2924"/>
      <c r="I32" s="1581"/>
      <c r="J32" s="1582"/>
      <c r="K32" s="2699"/>
      <c r="L32" s="2925"/>
      <c r="M32" s="2926"/>
    </row>
    <row r="33" spans="1:18" ht="18" customHeight="1">
      <c r="A33" s="1110" t="s">
        <v>1004</v>
      </c>
      <c r="B33" s="306" t="s">
        <v>1402</v>
      </c>
      <c r="C33" s="24">
        <f ca="1">IF(项目基本情况!B11="自然人","——",IF(D33="按租金收入计税",ROUND(C6*F33/(1+'数据-取费表'!C42),2),IF(D33="按房产原值计税",ROUND(C29*F33*0.7,2),INDIRECT("'数据-取费表'!Aj"&amp;$G$1))))</f>
        <v>42.37</v>
      </c>
      <c r="D33" s="1553" t="s">
        <v>3087</v>
      </c>
      <c r="E33" s="306" t="s">
        <v>1387</v>
      </c>
      <c r="F33" s="326">
        <f>IF(D33="按票据","——",IF(D33="按租金收入计税",'数据-取费表'!B51,'数据-取费表'!B50))</f>
        <v>1.2E-2</v>
      </c>
      <c r="G33" s="1567"/>
      <c r="H33" s="2927"/>
      <c r="I33" s="1581"/>
      <c r="J33" s="1582"/>
      <c r="K33" s="2928"/>
      <c r="L33" s="2927"/>
      <c r="M33" s="2927"/>
    </row>
    <row r="34" spans="1:18" ht="18" customHeight="1">
      <c r="A34" s="1198" t="s">
        <v>1354</v>
      </c>
      <c r="B34" s="158" t="s">
        <v>1406</v>
      </c>
      <c r="C34" s="25">
        <f ca="1">IF(项目基本情况!B11="自然人","——",ROUND(F34*F35/10000,2))</f>
        <v>2.4500000000000002</v>
      </c>
      <c r="D34" s="328" t="s">
        <v>1407</v>
      </c>
      <c r="E34" s="306" t="s">
        <v>1408</v>
      </c>
      <c r="F34" s="329">
        <f>'数据-取费表'!B52</f>
        <v>30</v>
      </c>
      <c r="G34" s="1567"/>
      <c r="H34" s="2924"/>
      <c r="I34" s="1581"/>
      <c r="J34" s="1582"/>
      <c r="K34" s="2929"/>
      <c r="L34" s="2930"/>
      <c r="M34" s="2930"/>
    </row>
    <row r="35" spans="1:18" ht="18" customHeight="1">
      <c r="A35" s="1260"/>
      <c r="B35" s="1258"/>
      <c r="C35" s="29"/>
      <c r="D35" s="331"/>
      <c r="E35" s="306" t="s">
        <v>1412</v>
      </c>
      <c r="F35" s="307">
        <f ca="1">INDIRECT("'数据-取费表'!r"&amp;$G$1)</f>
        <v>816.87</v>
      </c>
      <c r="G35" s="1567"/>
      <c r="H35" s="2924"/>
      <c r="I35" s="1581"/>
      <c r="J35" s="1582"/>
      <c r="K35" s="2928"/>
      <c r="L35" s="2927"/>
      <c r="M35" s="2927"/>
    </row>
    <row r="36" spans="1:18" ht="18" customHeight="1">
      <c r="A36" s="1259" t="s">
        <v>1007</v>
      </c>
      <c r="B36" s="306" t="s">
        <v>1414</v>
      </c>
      <c r="C36" s="24">
        <f ca="1">ROUND(C29*F36,1)</f>
        <v>151.30000000000001</v>
      </c>
      <c r="D36" s="3051" t="s">
        <v>1447</v>
      </c>
      <c r="E36" s="306" t="s">
        <v>1387</v>
      </c>
      <c r="F36" s="332">
        <f ca="1">INDIRECT("'数据-取费表'!Ak"&amp;$G$1)</f>
        <v>0.03</v>
      </c>
      <c r="G36" s="1567"/>
      <c r="H36" s="2927"/>
      <c r="I36" s="1581"/>
      <c r="J36" s="1582"/>
      <c r="K36" s="2768"/>
      <c r="L36" s="2927"/>
      <c r="M36" s="2927"/>
    </row>
    <row r="37" spans="1:18" ht="18" customHeight="1">
      <c r="A37" s="1110" t="s">
        <v>1043</v>
      </c>
      <c r="B37" s="306" t="s">
        <v>1418</v>
      </c>
      <c r="C37" s="24">
        <f ca="1">ROUND(C13*F37,1)</f>
        <v>15.1</v>
      </c>
      <c r="D37" s="3051" t="s">
        <v>1419</v>
      </c>
      <c r="E37" s="306" t="s">
        <v>1387</v>
      </c>
      <c r="F37" s="334">
        <f ca="1">INDIRECT("'数据-取费表'!Al"&amp;$G$1)</f>
        <v>3.0000000000000001E-3</v>
      </c>
      <c r="G37" s="1567"/>
      <c r="H37" s="2927"/>
      <c r="I37" s="1581"/>
      <c r="J37" s="1582"/>
      <c r="K37" s="2768"/>
      <c r="L37" s="2927"/>
      <c r="M37" s="2927"/>
    </row>
    <row r="38" spans="1:18" ht="18" customHeight="1" thickBot="1">
      <c r="A38" s="1246" t="s">
        <v>1357</v>
      </c>
      <c r="B38" s="1247" t="s">
        <v>1404</v>
      </c>
      <c r="C38" s="1248">
        <f ca="1">ROUND(C5*F38,1)</f>
        <v>47.4</v>
      </c>
      <c r="D38" s="1249" t="s">
        <v>1424</v>
      </c>
      <c r="E38" s="1247" t="s">
        <v>1387</v>
      </c>
      <c r="F38" s="1243">
        <f ca="1">INDIRECT("'数据-取费表'!Am"&amp;$G$1)</f>
        <v>0.03</v>
      </c>
      <c r="G38" s="1567"/>
      <c r="H38" s="2927"/>
      <c r="I38" s="1581"/>
      <c r="J38" s="1582"/>
      <c r="K38" s="2931"/>
      <c r="L38" s="2927"/>
      <c r="M38" s="2927"/>
    </row>
    <row r="39" spans="1:18" ht="24.6" customHeight="1" thickTop="1">
      <c r="A39" s="1236" t="s">
        <v>999</v>
      </c>
      <c r="B39" s="1251" t="s">
        <v>1428</v>
      </c>
      <c r="C39" s="314">
        <f ca="1">C5-C30</f>
        <v>1238</v>
      </c>
      <c r="D39" s="1252" t="s">
        <v>1429</v>
      </c>
      <c r="E39" s="1253"/>
      <c r="F39" s="1254"/>
      <c r="G39" s="1567"/>
      <c r="H39" s="2927"/>
      <c r="I39" s="1581"/>
      <c r="J39" s="1582"/>
      <c r="K39" s="2931"/>
      <c r="L39" s="2927"/>
      <c r="M39" s="2927"/>
    </row>
    <row r="40" spans="1:18" ht="18" customHeight="1">
      <c r="A40" s="303" t="s">
        <v>1000</v>
      </c>
      <c r="B40" s="304" t="s">
        <v>1450</v>
      </c>
      <c r="C40" s="305">
        <f ca="1">ROUND(C39*(1-((1+F42)/(1+F40))^F41)/(F40-F42),0)</f>
        <v>17034</v>
      </c>
      <c r="D40" s="328" t="s">
        <v>1434</v>
      </c>
      <c r="E40" s="306" t="s">
        <v>1435</v>
      </c>
      <c r="F40" s="316">
        <f ca="1">INDIRECT("'数据-取费表'!I"&amp;$G$1)</f>
        <v>0.06</v>
      </c>
      <c r="G40" s="1567"/>
      <c r="H40" s="1644"/>
      <c r="I40" s="1581"/>
      <c r="J40" s="1582"/>
      <c r="K40" s="2931"/>
      <c r="L40" s="1644"/>
      <c r="M40" s="1644"/>
    </row>
    <row r="41" spans="1:18" ht="18" customHeight="1">
      <c r="A41" s="308"/>
      <c r="B41" s="309"/>
      <c r="C41" s="310"/>
      <c r="D41" s="336" t="s">
        <v>1451</v>
      </c>
      <c r="E41" s="306" t="s">
        <v>1439</v>
      </c>
      <c r="F41" s="337">
        <f ca="1">IF(INDIRECT("'数据-取费表'!af"&amp;$G$1)=0,INDIRECT("'数据-取费表'!ae"&amp;$G$1),INDIRECT("'数据-取费表'!af"&amp;$G$1))</f>
        <v>20.781000000000002</v>
      </c>
      <c r="G41" s="1567"/>
      <c r="H41" s="1350"/>
      <c r="I41" s="1581"/>
      <c r="J41" s="1582"/>
      <c r="K41" s="2768"/>
      <c r="L41" s="1350"/>
      <c r="M41" s="1350"/>
    </row>
    <row r="42" spans="1:18" ht="18" customHeight="1">
      <c r="A42" s="312"/>
      <c r="B42" s="313"/>
      <c r="C42" s="314"/>
      <c r="D42" s="331"/>
      <c r="E42" s="306" t="s">
        <v>1442</v>
      </c>
      <c r="F42" s="316">
        <f ca="1">INDIRECT("'数据-取费表'!v"&amp;$G$1)</f>
        <v>0.02</v>
      </c>
      <c r="G42" s="1567"/>
      <c r="H42" s="1350"/>
      <c r="I42" s="1581"/>
      <c r="J42" s="1582"/>
      <c r="K42" s="2768"/>
      <c r="L42" s="1350"/>
      <c r="M42" s="1350"/>
    </row>
    <row r="43" spans="1:18" ht="18" customHeight="1" thickBot="1">
      <c r="A43" s="338" t="s">
        <v>1001</v>
      </c>
      <c r="B43" s="339" t="s">
        <v>1452</v>
      </c>
      <c r="C43" s="340">
        <f ca="1">ROUND(C40*10000/F43,0)</f>
        <v>24223</v>
      </c>
      <c r="D43" s="341" t="s">
        <v>1453</v>
      </c>
      <c r="E43" s="342" t="s">
        <v>1454</v>
      </c>
      <c r="F43" s="343">
        <f ca="1">INDIRECT("'数据-取费表'!k"&amp;$G$1)</f>
        <v>7032.3</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2"/>
      <c r="O45" s="2932" t="s">
        <v>1484</v>
      </c>
      <c r="P45" s="1644"/>
      <c r="Q45" s="1644"/>
      <c r="R45" s="1644"/>
    </row>
    <row r="46" spans="1:18" s="1567" customFormat="1" ht="13.5" thickBot="1">
      <c r="A46" s="1587" t="s">
        <v>1485</v>
      </c>
      <c r="C46" s="1588">
        <f ca="1">C68-C40</f>
        <v>-19503</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4" t="s">
        <v>1361</v>
      </c>
      <c r="B47" s="1106" t="s">
        <v>1362</v>
      </c>
      <c r="C47" s="1274" t="s">
        <v>1363</v>
      </c>
      <c r="D47" s="1106" t="s">
        <v>1364</v>
      </c>
      <c r="E47" s="1186" t="s">
        <v>1365</v>
      </c>
      <c r="F47" s="1187"/>
      <c r="G47" s="728"/>
      <c r="I47" s="1597" t="s">
        <v>1491</v>
      </c>
      <c r="J47" s="1598" t="s">
        <v>3088</v>
      </c>
      <c r="K47" s="1599" t="s">
        <v>1492</v>
      </c>
      <c r="L47" s="1600">
        <f ca="1">INDIRECT("'数据-取费表'!d"&amp;$G$1)</f>
        <v>40</v>
      </c>
      <c r="M47" s="1563" t="str">
        <f>IF(ISNUMBER(FIND("住宅",C1)),"住宅","非住宅")</f>
        <v>非住宅</v>
      </c>
      <c r="O47" s="1601" t="s">
        <v>1008</v>
      </c>
      <c r="P47" s="1602" t="s">
        <v>1493</v>
      </c>
      <c r="Q47" s="1603">
        <f ca="1">C40+J29</f>
        <v>17034</v>
      </c>
      <c r="R47" s="1603" t="s">
        <v>1494</v>
      </c>
    </row>
    <row r="48" spans="1:18" s="1567" customFormat="1" ht="28.5" thickBot="1">
      <c r="A48" s="1267" t="s">
        <v>1103</v>
      </c>
      <c r="B48" s="304" t="s">
        <v>1366</v>
      </c>
      <c r="C48" s="3061">
        <f ca="1">C49+C53+C55</f>
        <v>0</v>
      </c>
      <c r="D48" s="1269"/>
      <c r="E48" s="1270"/>
      <c r="F48" s="1090"/>
      <c r="G48" s="728"/>
      <c r="H48" s="729"/>
      <c r="I48" s="1604" t="s">
        <v>1495</v>
      </c>
      <c r="J48" s="1605" t="s">
        <v>3089</v>
      </c>
      <c r="K48" s="1606" t="s">
        <v>1496</v>
      </c>
      <c r="L48" s="1607">
        <f ca="1">INDIRECT("'数据-取费表'!f"&amp;$G$1)</f>
        <v>22.53</v>
      </c>
      <c r="O48" s="1601" t="s">
        <v>1009</v>
      </c>
      <c r="P48" s="1602" t="s">
        <v>1497</v>
      </c>
      <c r="Q48" s="1603" t="str">
        <f ca="1">J60</f>
        <v>0</v>
      </c>
      <c r="R48" s="1603" t="s">
        <v>1498</v>
      </c>
    </row>
    <row r="49" spans="1:18" s="1567" customFormat="1" ht="13.5" thickBot="1">
      <c r="A49" s="1103" t="s">
        <v>1104</v>
      </c>
      <c r="B49" s="1554" t="s">
        <v>1455</v>
      </c>
      <c r="C49" s="1271">
        <f ca="1">ROUND(F49*F51*F50*(1-F52)/10000,0)</f>
        <v>0</v>
      </c>
      <c r="D49" s="1183" t="s">
        <v>2848</v>
      </c>
      <c r="E49" s="1555" t="s">
        <v>1456</v>
      </c>
      <c r="F49" s="1188"/>
      <c r="G49" s="1608"/>
      <c r="H49" s="729"/>
      <c r="I49" s="1604" t="s">
        <v>1499</v>
      </c>
      <c r="J49" s="1609"/>
      <c r="K49" s="1606" t="s">
        <v>1500</v>
      </c>
      <c r="L49" s="1610"/>
      <c r="O49" s="1611" t="s">
        <v>1010</v>
      </c>
      <c r="P49" s="1602" t="s">
        <v>1501</v>
      </c>
      <c r="Q49" s="1603">
        <f ca="1">C29</f>
        <v>5044</v>
      </c>
      <c r="R49" s="1603" t="s">
        <v>1494</v>
      </c>
    </row>
    <row r="50" spans="1:18" s="1567" customFormat="1" ht="13.5" thickBot="1">
      <c r="A50" s="1104"/>
      <c r="B50" s="1107"/>
      <c r="C50" s="1275"/>
      <c r="D50" s="1081"/>
      <c r="E50" s="1184" t="s">
        <v>1371</v>
      </c>
      <c r="F50" s="1185">
        <f ca="1">F7</f>
        <v>7032.3</v>
      </c>
      <c r="H50" s="729"/>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5"/>
      <c r="B51" s="1107"/>
      <c r="C51" s="1108"/>
      <c r="D51" s="1081"/>
      <c r="E51" s="1109" t="s">
        <v>1372</v>
      </c>
      <c r="F51" s="307">
        <f ca="1">F8</f>
        <v>365</v>
      </c>
      <c r="I51" s="1615" t="s">
        <v>1505</v>
      </c>
      <c r="J51" s="1616">
        <f>IF(J49="",J50,J49+J50-YEAR('数据-取费表'!B2))</f>
        <v>60</v>
      </c>
      <c r="K51" s="1617" t="s">
        <v>1506</v>
      </c>
      <c r="L51" s="1618">
        <f ca="1">ROUND(-PV(INDIRECT("'数据-取费表'!h"&amp;$G$1),J51,(C39-C13*C76),0),0)</f>
        <v>15319</v>
      </c>
      <c r="M51" s="1619"/>
      <c r="O51" s="1611" t="s">
        <v>1012</v>
      </c>
      <c r="P51" s="1602" t="s">
        <v>1507</v>
      </c>
      <c r="Q51" s="1614">
        <f>J52</f>
        <v>0</v>
      </c>
      <c r="R51" s="1603"/>
    </row>
    <row r="52" spans="1:18" s="1567" customFormat="1" ht="13.5" thickBot="1">
      <c r="A52" s="1105"/>
      <c r="B52" s="1107"/>
      <c r="C52" s="1108"/>
      <c r="D52" s="1081"/>
      <c r="E52" s="1109" t="s">
        <v>1373</v>
      </c>
      <c r="F52" s="1182"/>
      <c r="I52" s="1620" t="s">
        <v>1508</v>
      </c>
      <c r="J52" s="1621"/>
      <c r="K52" s="1620" t="s">
        <v>1509</v>
      </c>
      <c r="L52" s="1621"/>
      <c r="O52" s="1611" t="s">
        <v>1013</v>
      </c>
      <c r="P52" s="1602" t="s">
        <v>1510</v>
      </c>
      <c r="Q52" s="1603">
        <f ca="1">J53</f>
        <v>20.781000000000002</v>
      </c>
      <c r="R52" s="1603" t="s">
        <v>1511</v>
      </c>
    </row>
    <row r="53" spans="1:18" s="1567" customFormat="1" ht="24.75" thickBot="1">
      <c r="A53" s="1311" t="s">
        <v>1105</v>
      </c>
      <c r="B53" s="1556" t="s">
        <v>1374</v>
      </c>
      <c r="C53" s="320">
        <f ca="1">ROUND(IF(F53="押一",C49/12*F11,IF(F53="押二",C49/12*2*F11,IF(F53="押三",C49/12*3*F11,C54*F11))),0)</f>
        <v>0</v>
      </c>
      <c r="D53" s="1549" t="s">
        <v>2856</v>
      </c>
      <c r="E53" s="317" t="s">
        <v>1375</v>
      </c>
      <c r="F53" s="1273"/>
      <c r="I53" s="1622" t="s">
        <v>1512</v>
      </c>
      <c r="J53" s="2384">
        <f ca="1">IF(M47="住宅",IF(D1="——",MAX(J51,L48),MAX(J51,L48-'数据-取费表'!B24)),IF(D1="——",MIN(J51,L48),MIN(J51,L48-'数据-取费表'!B24)))</f>
        <v>20.781000000000002</v>
      </c>
      <c r="K53" s="3347" t="s">
        <v>1513</v>
      </c>
      <c r="L53" s="3348"/>
      <c r="O53" s="1601" t="s">
        <v>1014</v>
      </c>
      <c r="P53" s="1602" t="s">
        <v>1514</v>
      </c>
      <c r="Q53" s="1603">
        <f ca="1">Q47+Q48</f>
        <v>17034</v>
      </c>
      <c r="R53" s="1603" t="s">
        <v>1015</v>
      </c>
    </row>
    <row r="54" spans="1:18" s="1567" customFormat="1" ht="13.5" thickBot="1">
      <c r="A54" s="1312"/>
      <c r="B54" s="1550" t="s">
        <v>1353</v>
      </c>
      <c r="C54" s="1087"/>
      <c r="D54" s="1549"/>
      <c r="E54" s="3045"/>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0" t="s">
        <v>1043</v>
      </c>
      <c r="B55" s="1552" t="s">
        <v>1378</v>
      </c>
      <c r="C55" s="1241"/>
      <c r="D55" s="1549"/>
      <c r="E55" s="3045"/>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5">
        <v>2</v>
      </c>
      <c r="B56" s="1086" t="s">
        <v>1379</v>
      </c>
      <c r="C56" s="236">
        <f ca="1">C13</f>
        <v>5044</v>
      </c>
      <c r="D56" s="1630"/>
      <c r="E56" s="1631"/>
      <c r="F56" s="1623"/>
      <c r="I56" s="1632" t="s">
        <v>1519</v>
      </c>
      <c r="J56" s="1633" t="s">
        <v>3065</v>
      </c>
      <c r="K56" s="1604" t="s">
        <v>1520</v>
      </c>
      <c r="L56" s="1607" t="str">
        <f ca="1">IF(L48&lt;J51,"——",L48-J53)</f>
        <v>——</v>
      </c>
      <c r="O56" s="1601" t="s">
        <v>1008</v>
      </c>
      <c r="P56" s="1602" t="s">
        <v>1493</v>
      </c>
      <c r="Q56" s="1603">
        <f ca="1">C40+J29</f>
        <v>17034</v>
      </c>
      <c r="R56" s="1603" t="s">
        <v>1494</v>
      </c>
    </row>
    <row r="57" spans="1:18" s="1567" customFormat="1" ht="24.75" thickBot="1">
      <c r="A57" s="1634"/>
      <c r="B57" s="1078" t="s">
        <v>1443</v>
      </c>
      <c r="C57" s="242">
        <f ca="1">C29</f>
        <v>5044</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19" t="s">
        <v>998</v>
      </c>
      <c r="B58" s="1086" t="s">
        <v>1389</v>
      </c>
      <c r="C58" s="320">
        <f ca="1">ROUND(C59+C64+C65+C66,0)</f>
        <v>211</v>
      </c>
      <c r="D58" s="1088" t="s">
        <v>1390</v>
      </c>
      <c r="E58" s="1089"/>
      <c r="F58" s="1090"/>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0" t="s">
        <v>1003</v>
      </c>
      <c r="B59" s="1078" t="s">
        <v>1394</v>
      </c>
      <c r="C59" s="2532">
        <f ca="1">ROUND(IF(AND(项目基本情况!B11="自然人",项目基本情况!B10="北京市"),C49*F59/(1+'数据-取费表'!C42),C60+C61+C62),0)</f>
        <v>45</v>
      </c>
      <c r="D59" s="1091" t="s">
        <v>1395</v>
      </c>
      <c r="E59" s="1092" t="s">
        <v>1396</v>
      </c>
      <c r="F59" s="2531">
        <f ca="1">IF(项目基本情况!B11="企业","——",IF('数据-取费表'!B10="住宅",IF(F49*F50*F51/12/(1+'数据-取费表'!F30)&gt;100000,4%,2.5%),IF(F49*F50*F51/12/(1+'数据-取费表'!F30)&gt;100000,12%,7%)))</f>
        <v>7.0000000000000007E-2</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0" t="s">
        <v>1002</v>
      </c>
      <c r="B60" s="1078" t="s">
        <v>1398</v>
      </c>
      <c r="C60" s="24">
        <f ca="1">IF(项目基本情况!B11="自然人","——",ROUND(C48*F60/(1+'数据-取费表'!C42),2))</f>
        <v>0</v>
      </c>
      <c r="D60" s="1092" t="s">
        <v>1399</v>
      </c>
      <c r="E60" s="1078" t="s">
        <v>1387</v>
      </c>
      <c r="F60" s="335">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0" t="s">
        <v>1457</v>
      </c>
      <c r="B61" s="1078" t="s">
        <v>1402</v>
      </c>
      <c r="C61" s="24">
        <f ca="1">IF(项目基本情况!B11="自然人","——",IF(D61="按租金收入计税",ROUND(C48*F61,2),IF(D61="按房产原值计税",ROUND(C57*F61*0.7,2),INDIRECT("'数据-取费表'!Aj"&amp;$G$1))))</f>
        <v>42.37</v>
      </c>
      <c r="D61" s="1553" t="s">
        <v>1403</v>
      </c>
      <c r="E61" s="1078" t="s">
        <v>1387</v>
      </c>
      <c r="F61" s="326">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0" t="s">
        <v>1460</v>
      </c>
      <c r="B62" s="1077" t="s">
        <v>1406</v>
      </c>
      <c r="C62" s="25">
        <f ca="1">IF(项目基本情况!B11="自然人","——",ROUND(F62*F63/10000,2))</f>
        <v>2.4500000000000002</v>
      </c>
      <c r="D62" s="1093" t="s">
        <v>1407</v>
      </c>
      <c r="E62" s="1078" t="s">
        <v>1408</v>
      </c>
      <c r="F62" s="329">
        <f t="shared" si="0"/>
        <v>30</v>
      </c>
      <c r="I62" s="1645" t="s">
        <v>1535</v>
      </c>
      <c r="J62" s="1646" t="s">
        <v>1536</v>
      </c>
      <c r="K62" s="1646" t="s">
        <v>1537</v>
      </c>
      <c r="L62" s="1646" t="s">
        <v>1538</v>
      </c>
      <c r="M62" s="1647" t="s">
        <v>1539</v>
      </c>
      <c r="O62" s="1601" t="s">
        <v>1014</v>
      </c>
      <c r="P62" s="1602" t="s">
        <v>1514</v>
      </c>
      <c r="Q62" s="1603">
        <f ca="1">Q56+Q57</f>
        <v>17034</v>
      </c>
      <c r="R62" s="1603" t="s">
        <v>1015</v>
      </c>
    </row>
    <row r="63" spans="1:18" s="1567" customFormat="1" ht="13.5" thickBot="1">
      <c r="A63" s="330"/>
      <c r="B63" s="1084"/>
      <c r="C63" s="29"/>
      <c r="D63" s="1094"/>
      <c r="E63" s="1078" t="s">
        <v>1412</v>
      </c>
      <c r="F63" s="307">
        <f t="shared" ca="1" si="0"/>
        <v>816.87</v>
      </c>
      <c r="I63" s="1645" t="s">
        <v>1541</v>
      </c>
      <c r="J63" s="1646">
        <v>70</v>
      </c>
      <c r="K63" s="1646">
        <v>50</v>
      </c>
      <c r="L63" s="1646">
        <v>80</v>
      </c>
      <c r="M63" s="1648">
        <v>0.02</v>
      </c>
      <c r="O63" s="1586" t="s">
        <v>1542</v>
      </c>
      <c r="P63" s="1564"/>
      <c r="Q63" s="1564"/>
      <c r="R63" s="1564"/>
    </row>
    <row r="64" spans="1:18" s="1567" customFormat="1" ht="13.5" thickBot="1">
      <c r="A64" s="1110" t="s">
        <v>1007</v>
      </c>
      <c r="B64" s="1078" t="s">
        <v>1414</v>
      </c>
      <c r="C64" s="24">
        <f ca="1">ROUND(C57*F64,1)</f>
        <v>151.30000000000001</v>
      </c>
      <c r="D64" s="1092" t="s">
        <v>1447</v>
      </c>
      <c r="E64" s="1078" t="s">
        <v>1387</v>
      </c>
      <c r="F64" s="332">
        <f t="shared" ca="1" si="0"/>
        <v>0.03</v>
      </c>
      <c r="I64" s="1645" t="s">
        <v>1543</v>
      </c>
      <c r="J64" s="1646">
        <v>50</v>
      </c>
      <c r="K64" s="1646">
        <v>35</v>
      </c>
      <c r="L64" s="1646">
        <v>60</v>
      </c>
      <c r="M64" s="1647">
        <v>0</v>
      </c>
      <c r="O64" s="1594" t="s">
        <v>1487</v>
      </c>
      <c r="P64" s="1595" t="s">
        <v>1488</v>
      </c>
      <c r="Q64" s="1596" t="s">
        <v>1489</v>
      </c>
      <c r="R64" s="1596" t="s">
        <v>1490</v>
      </c>
    </row>
    <row r="65" spans="1:18" s="1567" customFormat="1" ht="13.5" thickBot="1">
      <c r="A65" s="1110" t="s">
        <v>1468</v>
      </c>
      <c r="B65" s="1078" t="s">
        <v>1418</v>
      </c>
      <c r="C65" s="24">
        <f ca="1">ROUND(C56*F65,1)</f>
        <v>15.1</v>
      </c>
      <c r="D65" s="1092" t="s">
        <v>1419</v>
      </c>
      <c r="E65" s="1078" t="s">
        <v>1387</v>
      </c>
      <c r="F65" s="334">
        <f t="shared" ca="1" si="0"/>
        <v>3.0000000000000001E-3</v>
      </c>
      <c r="I65" s="1645" t="s">
        <v>1544</v>
      </c>
      <c r="J65" s="1646">
        <v>40</v>
      </c>
      <c r="K65" s="1646">
        <v>30</v>
      </c>
      <c r="L65" s="1646">
        <v>50</v>
      </c>
      <c r="M65" s="1648">
        <v>0.02</v>
      </c>
      <c r="O65" s="1601" t="s">
        <v>1008</v>
      </c>
      <c r="P65" s="1602" t="s">
        <v>1493</v>
      </c>
      <c r="Q65" s="1603">
        <f ca="1">C40+J29</f>
        <v>17034</v>
      </c>
      <c r="R65" s="1603" t="s">
        <v>1494</v>
      </c>
    </row>
    <row r="66" spans="1:18" s="1567" customFormat="1" ht="16.5" thickBot="1">
      <c r="A66" s="1110" t="s">
        <v>1469</v>
      </c>
      <c r="B66" s="1078" t="s">
        <v>1404</v>
      </c>
      <c r="C66" s="24">
        <f ca="1">ROUND(C48*F66,1)</f>
        <v>0</v>
      </c>
      <c r="D66" s="1092" t="s">
        <v>1424</v>
      </c>
      <c r="E66" s="1078" t="s">
        <v>1387</v>
      </c>
      <c r="F66" s="316">
        <f t="shared" ca="1" si="0"/>
        <v>0.03</v>
      </c>
      <c r="O66" s="1601" t="s">
        <v>1009</v>
      </c>
      <c r="P66" s="1602" t="s">
        <v>1523</v>
      </c>
      <c r="Q66" s="1603">
        <f ca="1">L60</f>
        <v>0</v>
      </c>
      <c r="R66" s="1603" t="s">
        <v>1546</v>
      </c>
    </row>
    <row r="67" spans="1:18" s="1567" customFormat="1" ht="16.5" thickBot="1">
      <c r="A67" s="1085" t="s">
        <v>999</v>
      </c>
      <c r="B67" s="1095" t="s">
        <v>1428</v>
      </c>
      <c r="C67" s="320">
        <f ca="1">C48-C58</f>
        <v>-211</v>
      </c>
      <c r="D67" s="1091" t="s">
        <v>1429</v>
      </c>
      <c r="E67" s="1096"/>
      <c r="F67" s="1097"/>
      <c r="O67" s="1611" t="s">
        <v>1010</v>
      </c>
      <c r="P67" s="1602" t="s">
        <v>1527</v>
      </c>
      <c r="Q67" s="1649">
        <f ca="1">L51</f>
        <v>15319</v>
      </c>
      <c r="R67" s="1603" t="s">
        <v>1547</v>
      </c>
    </row>
    <row r="68" spans="1:18" s="1567" customFormat="1" ht="16.5" thickBot="1">
      <c r="A68" s="1075" t="s">
        <v>1000</v>
      </c>
      <c r="B68" s="1076" t="s">
        <v>1450</v>
      </c>
      <c r="C68" s="305">
        <f ca="1">ROUND(C67*(1-((1+F70)/(1+F68))^F69)/(F68-F70),0)</f>
        <v>-2469</v>
      </c>
      <c r="D68" s="1093" t="s">
        <v>1434</v>
      </c>
      <c r="E68" s="1078" t="s">
        <v>1435</v>
      </c>
      <c r="F68" s="316">
        <f ca="1">F40</f>
        <v>0.06</v>
      </c>
      <c r="O68" s="1611" t="s">
        <v>1011</v>
      </c>
      <c r="P68" s="1650" t="s">
        <v>1548</v>
      </c>
      <c r="Q68" s="1603">
        <f ca="1">ROUND(Q69-Q70*Q71,0)</f>
        <v>809</v>
      </c>
      <c r="R68" s="1603" t="s">
        <v>1019</v>
      </c>
    </row>
    <row r="69" spans="1:18" s="1567" customFormat="1" ht="13.5" thickBot="1">
      <c r="A69" s="1079"/>
      <c r="B69" s="1080"/>
      <c r="C69" s="310"/>
      <c r="D69" s="1098" t="s">
        <v>1438</v>
      </c>
      <c r="E69" s="1078" t="s">
        <v>1439</v>
      </c>
      <c r="F69" s="337">
        <f ca="1">F41</f>
        <v>20.781000000000002</v>
      </c>
      <c r="O69" s="1611" t="s">
        <v>1016</v>
      </c>
      <c r="P69" s="1650" t="s">
        <v>1549</v>
      </c>
      <c r="Q69" s="1603">
        <f ca="1">C39</f>
        <v>1238</v>
      </c>
      <c r="R69" s="1603" t="s">
        <v>1494</v>
      </c>
    </row>
    <row r="70" spans="1:18" s="1567" customFormat="1" ht="13.5" thickBot="1">
      <c r="A70" s="1082"/>
      <c r="B70" s="1083"/>
      <c r="C70" s="314"/>
      <c r="D70" s="1094"/>
      <c r="E70" s="1078" t="s">
        <v>1442</v>
      </c>
      <c r="F70" s="1182"/>
      <c r="O70" s="1611" t="s">
        <v>1017</v>
      </c>
      <c r="P70" s="1650" t="s">
        <v>1550</v>
      </c>
      <c r="Q70" s="1603">
        <f ca="1">C13</f>
        <v>5044</v>
      </c>
      <c r="R70" s="1603" t="s">
        <v>1494</v>
      </c>
    </row>
    <row r="71" spans="1:18" s="1567" customFormat="1" ht="13.5" thickBot="1">
      <c r="A71" s="1099" t="s">
        <v>1001</v>
      </c>
      <c r="B71" s="1100" t="s">
        <v>1452</v>
      </c>
      <c r="C71" s="340">
        <f ca="1">ROUND(C68*10000/F71,0)</f>
        <v>-3511</v>
      </c>
      <c r="D71" s="1101" t="s">
        <v>1453</v>
      </c>
      <c r="E71" s="1102" t="s">
        <v>1454</v>
      </c>
      <c r="F71" s="343">
        <f ca="1">F43</f>
        <v>7032.3</v>
      </c>
      <c r="O71" s="1611" t="s">
        <v>1018</v>
      </c>
      <c r="P71" s="1650" t="s">
        <v>1551</v>
      </c>
      <c r="Q71" s="1614">
        <f ca="1">C76</f>
        <v>8.5000000000000006E-2</v>
      </c>
      <c r="R71" s="1603"/>
    </row>
    <row r="72" spans="1:18" s="1567" customFormat="1" ht="13.5" thickBot="1">
      <c r="B72" s="732"/>
      <c r="C72" s="732"/>
      <c r="O72" s="1611" t="s">
        <v>1012</v>
      </c>
      <c r="P72" s="1602" t="s">
        <v>1529</v>
      </c>
      <c r="Q72" s="1614">
        <f>L52</f>
        <v>0</v>
      </c>
      <c r="R72" s="1603"/>
    </row>
    <row r="73" spans="1:18" ht="16.5" thickBot="1">
      <c r="A73" s="1567"/>
      <c r="B73" s="732"/>
      <c r="C73" s="732"/>
      <c r="D73" s="1567"/>
      <c r="E73" s="1567"/>
      <c r="F73" s="1567"/>
      <c r="O73" s="1611" t="s">
        <v>1013</v>
      </c>
      <c r="P73" s="1602" t="s">
        <v>1532</v>
      </c>
      <c r="Q73" s="1603" t="e">
        <f ca="1">L58</f>
        <v>#DIV/0!</v>
      </c>
      <c r="R73" s="1603" t="s">
        <v>1533</v>
      </c>
    </row>
    <row r="74" spans="1:18" ht="13.5" thickBot="1">
      <c r="A74" s="1567"/>
      <c r="B74" s="277"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4" t="s">
        <v>1471</v>
      </c>
      <c r="C75" s="345">
        <f ca="1">ROUND(C13*C76,0)</f>
        <v>429</v>
      </c>
      <c r="D75" s="1567"/>
      <c r="E75" s="1567"/>
      <c r="F75" s="1567"/>
      <c r="K75" s="1585"/>
      <c r="L75" s="1567"/>
      <c r="O75" s="1601" t="s">
        <v>1014</v>
      </c>
      <c r="P75" s="1602" t="s">
        <v>1514</v>
      </c>
      <c r="Q75" s="1603">
        <f ca="1">Q65+Q66</f>
        <v>17034</v>
      </c>
      <c r="R75" s="1603" t="s">
        <v>1015</v>
      </c>
    </row>
    <row r="76" spans="1:18">
      <c r="B76" s="346" t="s">
        <v>1472</v>
      </c>
      <c r="C76" s="347">
        <f ca="1">INDIRECT("'数据-取费表'!j"&amp;$G$1)</f>
        <v>8.5000000000000006E-2</v>
      </c>
      <c r="I76" s="1567"/>
      <c r="J76" s="1567"/>
      <c r="K76" s="1585"/>
      <c r="L76" s="1567"/>
    </row>
    <row r="77" spans="1:18">
      <c r="B77" s="348" t="s">
        <v>1473</v>
      </c>
      <c r="C77" s="349"/>
      <c r="I77" s="1567"/>
      <c r="J77" s="1567"/>
      <c r="K77" s="1585"/>
      <c r="L77" s="1567"/>
    </row>
    <row r="78" spans="1:18">
      <c r="B78" s="274" t="s">
        <v>1474</v>
      </c>
      <c r="C78" s="350"/>
    </row>
    <row r="79" spans="1:18">
      <c r="B79" s="344" t="s">
        <v>1475</v>
      </c>
      <c r="C79" s="278">
        <f ca="1">1-C80</f>
        <v>0.65300000000000002</v>
      </c>
    </row>
    <row r="80" spans="1:18">
      <c r="B80" s="344" t="s">
        <v>1476</v>
      </c>
      <c r="C80" s="278">
        <f ca="1">ROUND(C75/C39,3)</f>
        <v>0.34699999999999998</v>
      </c>
    </row>
    <row r="81" spans="2:3">
      <c r="B81" s="274" t="s">
        <v>1477</v>
      </c>
      <c r="C81" s="242"/>
    </row>
    <row r="82" spans="2:3">
      <c r="B82" s="277" t="s">
        <v>1478</v>
      </c>
      <c r="C82" s="279">
        <f ca="1">1-C83</f>
        <v>0.70399999999999996</v>
      </c>
    </row>
    <row r="83" spans="2:3">
      <c r="B83" s="277" t="s">
        <v>1479</v>
      </c>
      <c r="C83" s="278">
        <f ca="1">ROUND(C13/C40,3)</f>
        <v>0.29599999999999999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51" customWidth="1"/>
    <col min="12" max="12" width="16.375" style="262" customWidth="1"/>
    <col min="13" max="13" width="13" style="262"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2"/>
  </cols>
  <sheetData>
    <row r="1" spans="1:37" s="297" customFormat="1" ht="21">
      <c r="A1" s="1558" t="s">
        <v>1554</v>
      </c>
      <c r="B1" s="719"/>
      <c r="C1" s="1562"/>
      <c r="D1" s="1545"/>
      <c r="E1" s="1546" t="s">
        <v>1352</v>
      </c>
      <c r="F1" s="1190">
        <f ca="1">J53</f>
        <v>-1.7490000000000001</v>
      </c>
      <c r="G1" s="1561">
        <f>MATCH(C1,'数据-取费表'!A6:A16,0)+5</f>
        <v>10</v>
      </c>
      <c r="H1" s="2919"/>
      <c r="I1" s="2920"/>
      <c r="J1" s="2920"/>
      <c r="K1" s="2921"/>
      <c r="L1" s="2920"/>
      <c r="M1" s="2920"/>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1555</v>
      </c>
      <c r="B2" s="1569" t="e">
        <f ca="1">ROUND(D2/10000,0)</f>
        <v>#DIV/0!</v>
      </c>
      <c r="C2" s="1570" t="s">
        <v>1556</v>
      </c>
      <c r="D2" s="1654" t="e">
        <f ca="1">C40+J29+L46</f>
        <v>#DIV/0!</v>
      </c>
      <c r="E2" s="1571" t="s">
        <v>1557</v>
      </c>
      <c r="F2" s="1572"/>
      <c r="G2" s="2933"/>
      <c r="H2" s="2922"/>
      <c r="I2" s="2922"/>
      <c r="J2" s="2922"/>
      <c r="K2" s="2923"/>
      <c r="L2" s="2922"/>
      <c r="M2" s="2922"/>
    </row>
    <row r="3" spans="1:37" ht="18" customHeight="1" thickBot="1">
      <c r="A3" s="1573" t="s">
        <v>1558</v>
      </c>
      <c r="B3" s="1574">
        <f ca="1">IF(ISERROR(D2/F43),0,ROUND(D2/F43,0))</f>
        <v>0</v>
      </c>
      <c r="C3" s="1570" t="s">
        <v>1559</v>
      </c>
      <c r="D3" s="1570"/>
      <c r="E3" s="1571"/>
      <c r="F3" s="1572"/>
      <c r="G3" s="2933"/>
      <c r="H3" s="689" t="s">
        <v>1553</v>
      </c>
      <c r="I3" s="1565"/>
      <c r="J3" s="1565"/>
      <c r="K3" s="1566"/>
      <c r="L3" s="1565"/>
      <c r="M3" s="1565"/>
    </row>
    <row r="4" spans="1:37" ht="18" customHeight="1">
      <c r="A4" s="299" t="s">
        <v>1560</v>
      </c>
      <c r="B4" s="300" t="s">
        <v>1561</v>
      </c>
      <c r="C4" s="300" t="s">
        <v>1562</v>
      </c>
      <c r="D4" s="300" t="s">
        <v>1563</v>
      </c>
      <c r="E4" s="301" t="s">
        <v>1564</v>
      </c>
      <c r="F4" s="302"/>
      <c r="G4" s="1567"/>
      <c r="H4" s="299" t="s">
        <v>1560</v>
      </c>
      <c r="I4" s="300" t="s">
        <v>1561</v>
      </c>
      <c r="J4" s="300" t="s">
        <v>1562</v>
      </c>
      <c r="K4" s="300" t="s">
        <v>1563</v>
      </c>
      <c r="L4" s="301" t="s">
        <v>1564</v>
      </c>
      <c r="M4" s="302"/>
    </row>
    <row r="5" spans="1:37" ht="18" customHeight="1">
      <c r="A5" s="303">
        <v>1</v>
      </c>
      <c r="B5" s="304" t="s">
        <v>1565</v>
      </c>
      <c r="C5" s="1199">
        <f ca="1">C6+C10+C12</f>
        <v>0</v>
      </c>
      <c r="D5" s="1547" t="s">
        <v>1566</v>
      </c>
      <c r="E5" s="1200"/>
      <c r="F5" s="1201"/>
      <c r="G5" s="1567"/>
      <c r="H5" s="303">
        <v>1</v>
      </c>
      <c r="I5" s="304" t="s">
        <v>1565</v>
      </c>
      <c r="J5" s="1199">
        <f ca="1">J6+J10+J12</f>
        <v>0</v>
      </c>
      <c r="K5" s="1547" t="s">
        <v>1566</v>
      </c>
      <c r="L5" s="1200"/>
      <c r="M5" s="1201"/>
    </row>
    <row r="6" spans="1:37" ht="18" customHeight="1">
      <c r="A6" s="1198" t="s">
        <v>1003</v>
      </c>
      <c r="B6" s="3349" t="s">
        <v>1368</v>
      </c>
      <c r="C6" s="1203">
        <f ca="1">ROUND(F6*F8*F7*(1-F9),0)</f>
        <v>0</v>
      </c>
      <c r="D6" s="158" t="s">
        <v>2846</v>
      </c>
      <c r="E6" s="306" t="s">
        <v>1370</v>
      </c>
      <c r="F6" s="307">
        <f ca="1">INDIRECT("'数据-取费表'!u"&amp;$G$1)</f>
        <v>0</v>
      </c>
      <c r="G6" s="1567"/>
      <c r="H6" s="1198" t="s">
        <v>1003</v>
      </c>
      <c r="I6" s="3349" t="s">
        <v>1368</v>
      </c>
      <c r="J6" s="305">
        <f ca="1">ROUND(M6*M8*M7*(1-M9),0)</f>
        <v>0</v>
      </c>
      <c r="K6" s="1559" t="s">
        <v>2847</v>
      </c>
      <c r="L6" s="306" t="s">
        <v>1370</v>
      </c>
      <c r="M6" s="307">
        <f ca="1">INDIRECT("'数据-取费表'!z"&amp;$G$1)</f>
        <v>0</v>
      </c>
    </row>
    <row r="7" spans="1:37" ht="18" customHeight="1">
      <c r="A7" s="1202"/>
      <c r="B7" s="3350"/>
      <c r="C7" s="1204"/>
      <c r="D7" s="311"/>
      <c r="E7" s="1205" t="s">
        <v>1371</v>
      </c>
      <c r="F7" s="307">
        <f ca="1">IF(INDIRECT("'数据-取费表'!ah"&amp;$G$1)="",INDIRECT("'数据-取费表'!k"&amp;$G$1),INDIRECT("'数据-取费表'!ah"&amp;$G$1))</f>
        <v>0</v>
      </c>
      <c r="G7" s="1567"/>
      <c r="H7" s="308"/>
      <c r="I7" s="3350"/>
      <c r="J7" s="310"/>
      <c r="K7" s="311"/>
      <c r="L7" s="306" t="s">
        <v>1371</v>
      </c>
      <c r="M7" s="307">
        <f ca="1">F7</f>
        <v>0</v>
      </c>
    </row>
    <row r="8" spans="1:37" ht="18" customHeight="1">
      <c r="A8" s="308"/>
      <c r="B8" s="3350"/>
      <c r="C8" s="310"/>
      <c r="D8" s="311"/>
      <c r="E8" s="306" t="s">
        <v>1372</v>
      </c>
      <c r="F8" s="307">
        <f ca="1">INDIRECT("'数据-取费表'!ai"&amp;$G$1)</f>
        <v>0</v>
      </c>
      <c r="G8" s="1567"/>
      <c r="H8" s="308"/>
      <c r="I8" s="3350"/>
      <c r="J8" s="310"/>
      <c r="K8" s="311"/>
      <c r="L8" s="306" t="s">
        <v>1372</v>
      </c>
      <c r="M8" s="307">
        <f ca="1">INDIRECT("'数据-取费表'!ai"&amp;$G$1)</f>
        <v>0</v>
      </c>
    </row>
    <row r="9" spans="1:37" ht="18" customHeight="1">
      <c r="A9" s="308"/>
      <c r="B9" s="3351"/>
      <c r="C9" s="310"/>
      <c r="D9" s="311"/>
      <c r="E9" s="306" t="s">
        <v>1373</v>
      </c>
      <c r="F9" s="316">
        <f ca="1">INDIRECT("'数据-取费表'!w"&amp;$G$1)</f>
        <v>0</v>
      </c>
      <c r="G9" s="1567"/>
      <c r="H9" s="308"/>
      <c r="I9" s="3351"/>
      <c r="J9" s="310"/>
      <c r="K9" s="311"/>
      <c r="L9" s="317" t="s">
        <v>1373</v>
      </c>
      <c r="M9" s="318">
        <f ca="1">INDIRECT("'数据-取费表'!ab"&amp;$G$1)</f>
        <v>0</v>
      </c>
    </row>
    <row r="10" spans="1:37" ht="18" customHeight="1">
      <c r="A10" s="1198" t="s">
        <v>1007</v>
      </c>
      <c r="B10" s="1548" t="s">
        <v>1374</v>
      </c>
      <c r="C10" s="320">
        <f ca="1">ROUND(IF(F10="押一",C6/12*F11,IF(F10="押二",C6/12*2*F11,IF(F10="押三",C6/12*3*F11,C11*F11))),0)</f>
        <v>0</v>
      </c>
      <c r="D10" s="1549" t="s">
        <v>2856</v>
      </c>
      <c r="E10" s="317" t="s">
        <v>1375</v>
      </c>
      <c r="F10" s="1273"/>
      <c r="G10" s="1567"/>
      <c r="H10" s="1198" t="s">
        <v>1007</v>
      </c>
      <c r="I10" s="1548" t="s">
        <v>1374</v>
      </c>
      <c r="J10" s="305">
        <f ca="1">ROUND(IF(M10="押一",J6/12*M11,IF(M10="押二",J6/12*2*M11,IF(M10="押三",J6/12*3*M11,J11*M11))),0)</f>
        <v>0</v>
      </c>
      <c r="K10" s="1560" t="s">
        <v>2858</v>
      </c>
      <c r="L10" s="317" t="s">
        <v>1375</v>
      </c>
      <c r="M10" s="1273"/>
    </row>
    <row r="11" spans="1:37" ht="18" customHeight="1">
      <c r="A11" s="312"/>
      <c r="B11" s="1550" t="s">
        <v>1567</v>
      </c>
      <c r="C11" s="1087"/>
      <c r="D11" s="311"/>
      <c r="E11" s="317" t="s">
        <v>1377</v>
      </c>
      <c r="F11" s="318">
        <f ca="1">'数据-取费表'!B39</f>
        <v>1.4999999999999999E-2</v>
      </c>
      <c r="G11" s="1567"/>
      <c r="H11" s="1206"/>
      <c r="I11" s="1550" t="s">
        <v>1568</v>
      </c>
      <c r="J11" s="1087"/>
      <c r="K11" s="690"/>
      <c r="L11" s="317" t="s">
        <v>1377</v>
      </c>
      <c r="M11" s="968">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4">
        <f ca="1">ROUND(C29*F13,0)</f>
        <v>0</v>
      </c>
      <c r="D13" s="1238" t="s">
        <v>1380</v>
      </c>
      <c r="E13" s="1238" t="s">
        <v>1381</v>
      </c>
      <c r="F13" s="1239">
        <f ca="1">INDIRECT("'数据-取费表'!y"&amp;$G$1)</f>
        <v>0</v>
      </c>
      <c r="G13" s="1567"/>
      <c r="H13" s="1236">
        <v>2</v>
      </c>
      <c r="I13" s="1237" t="s">
        <v>1379</v>
      </c>
      <c r="J13" s="1197">
        <f ca="1">ROUND(J14*J15,0)</f>
        <v>0</v>
      </c>
      <c r="K13" s="1244" t="s">
        <v>1380</v>
      </c>
      <c r="L13" s="1575"/>
      <c r="M13" s="1576"/>
    </row>
    <row r="14" spans="1:37" ht="18" customHeight="1">
      <c r="A14" s="1110" t="s">
        <v>1002</v>
      </c>
      <c r="B14" s="306" t="s">
        <v>1382</v>
      </c>
      <c r="C14" s="322">
        <f ca="1">ROUND(INDIRECT("'数据-取费表'!l"&amp;$G$1)*F43+'数据-取费表'!L14*INDIRECT("'数据-取费表'!S"&amp;$G$1),0)</f>
        <v>0</v>
      </c>
      <c r="D14" s="1528" t="s">
        <v>1383</v>
      </c>
      <c r="E14" s="1525"/>
      <c r="F14" s="323"/>
      <c r="G14" s="1567"/>
      <c r="H14" s="1110" t="s">
        <v>1003</v>
      </c>
      <c r="I14" s="306" t="s">
        <v>1384</v>
      </c>
      <c r="J14" s="24">
        <f ca="1">C29</f>
        <v>0</v>
      </c>
      <c r="K14" s="15"/>
      <c r="L14" s="913"/>
      <c r="M14" s="914"/>
    </row>
    <row r="15" spans="1:37" s="1580" customFormat="1" ht="18" customHeight="1" thickBot="1">
      <c r="A15" s="1110" t="s">
        <v>1004</v>
      </c>
      <c r="B15" s="306" t="s">
        <v>1385</v>
      </c>
      <c r="C15" s="24">
        <f ca="1">ROUND(C14*F15,0)</f>
        <v>0</v>
      </c>
      <c r="D15" s="324" t="s">
        <v>1386</v>
      </c>
      <c r="E15" s="324" t="s">
        <v>1387</v>
      </c>
      <c r="F15" s="325">
        <f>'数据-取费表'!B33</f>
        <v>0.05</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1354</v>
      </c>
      <c r="B16" s="306" t="s">
        <v>1388</v>
      </c>
      <c r="C16" s="24">
        <f ca="1">ROUND(INDIRECT("'数据-取费表'!l"&amp;$G$1)*F43*F16,0)</f>
        <v>0</v>
      </c>
      <c r="D16" s="306" t="s">
        <v>1386</v>
      </c>
      <c r="E16" s="306" t="s">
        <v>1387</v>
      </c>
      <c r="F16" s="326">
        <f ca="1">IF(INDIRECT("'数据-取费表'!c"&amp;$G$1)="住宅",'数据-取费表'!B34,0)</f>
        <v>0</v>
      </c>
      <c r="G16" s="1567"/>
      <c r="H16" s="1236" t="s">
        <v>998</v>
      </c>
      <c r="I16" s="1237" t="s">
        <v>1389</v>
      </c>
      <c r="J16" s="314">
        <f ca="1">ROUND(J17+J22+J23+J24,0)</f>
        <v>0</v>
      </c>
      <c r="K16" s="1244" t="s">
        <v>1390</v>
      </c>
      <c r="L16" s="1245"/>
      <c r="M16" s="1201"/>
    </row>
    <row r="17" spans="1:37" s="1580" customFormat="1" ht="18" customHeight="1">
      <c r="A17" s="1110" t="s">
        <v>1355</v>
      </c>
      <c r="B17" s="306" t="s">
        <v>1391</v>
      </c>
      <c r="C17" s="24">
        <f ca="1">ROUND(F17*(F43+INDIRECT("'数据-取费表'!S"&amp;$G$1)),0)</f>
        <v>0</v>
      </c>
      <c r="D17" s="306" t="s">
        <v>1392</v>
      </c>
      <c r="E17" s="306" t="s">
        <v>1393</v>
      </c>
      <c r="F17" s="26">
        <f>'数据-取费表'!B35</f>
        <v>300</v>
      </c>
      <c r="G17" s="1579"/>
      <c r="H17" s="1110" t="s">
        <v>1003</v>
      </c>
      <c r="I17" s="306" t="s">
        <v>1394</v>
      </c>
      <c r="J17" s="2532">
        <f ca="1">ROUND(IF(AND(项目基本情况!B11="自然人",项目基本情况!B10="北京市"),J6*M17/(1+'数据-取费表'!C42),J18+J19+J20),0)</f>
        <v>0</v>
      </c>
      <c r="K17" s="1528" t="s">
        <v>1395</v>
      </c>
      <c r="L17" s="1527" t="s">
        <v>1396</v>
      </c>
      <c r="M17" s="2531">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1356</v>
      </c>
      <c r="B18" s="306" t="s">
        <v>1397</v>
      </c>
      <c r="C18" s="24">
        <f ca="1">ROUND(C14*F18,0)</f>
        <v>0</v>
      </c>
      <c r="D18" s="306" t="s">
        <v>1386</v>
      </c>
      <c r="E18" s="306" t="s">
        <v>1387</v>
      </c>
      <c r="F18" s="326">
        <f>'数据-取费表'!B36</f>
        <v>1.4999999999999999E-2</v>
      </c>
      <c r="G18" s="1579"/>
      <c r="H18" s="1110" t="s">
        <v>1002</v>
      </c>
      <c r="I18" s="306" t="s">
        <v>1398</v>
      </c>
      <c r="J18" s="24">
        <f ca="1">ROUND(J6*M18/(1+'数据-取费表'!C42),0)</f>
        <v>0</v>
      </c>
      <c r="K18" s="1527" t="s">
        <v>1399</v>
      </c>
      <c r="L18" s="306" t="s">
        <v>1387</v>
      </c>
      <c r="M18" s="326">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1003</v>
      </c>
      <c r="B19" s="306" t="s">
        <v>1400</v>
      </c>
      <c r="C19" s="24">
        <f ca="1">SUM(C14:C18)</f>
        <v>0</v>
      </c>
      <c r="D19" s="134" t="s">
        <v>1401</v>
      </c>
      <c r="E19" s="1543"/>
      <c r="F19" s="26"/>
      <c r="G19" s="1567"/>
      <c r="H19" s="1110" t="s">
        <v>1004</v>
      </c>
      <c r="I19" s="306" t="s">
        <v>1402</v>
      </c>
      <c r="J19" s="24">
        <f ca="1">IF(K19="按租金收入计税",ROUND(J6*M19/(1+'数据-取费表'!C42),0),ROUND(C29*M19*0.7,0))</f>
        <v>0</v>
      </c>
      <c r="K19" s="1553" t="s">
        <v>1403</v>
      </c>
      <c r="L19" s="306" t="s">
        <v>1387</v>
      </c>
      <c r="M19" s="326">
        <f>IF(K19="按租金收入计税",'数据-取费表'!B51,'数据-取费表'!B50)</f>
        <v>1.2E-2</v>
      </c>
    </row>
    <row r="20" spans="1:37" s="1580" customFormat="1" ht="18" customHeight="1">
      <c r="A20" s="1110" t="s">
        <v>1007</v>
      </c>
      <c r="B20" s="306" t="s">
        <v>1404</v>
      </c>
      <c r="C20" s="24">
        <f ca="1">ROUND(C19*F20,0)</f>
        <v>0</v>
      </c>
      <c r="D20" s="327" t="s">
        <v>1405</v>
      </c>
      <c r="E20" s="306" t="s">
        <v>1387</v>
      </c>
      <c r="F20" s="326">
        <f>'数据-取费表'!B37</f>
        <v>0.02</v>
      </c>
      <c r="G20" s="1579"/>
      <c r="H20" s="1110" t="s">
        <v>1354</v>
      </c>
      <c r="I20" s="158" t="s">
        <v>1406</v>
      </c>
      <c r="J20" s="25">
        <f ca="1">ROUND(M20*M21,0)</f>
        <v>0</v>
      </c>
      <c r="K20" s="328" t="s">
        <v>1407</v>
      </c>
      <c r="L20" s="306" t="s">
        <v>1408</v>
      </c>
      <c r="M20" s="329">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1043</v>
      </c>
      <c r="B21" s="306" t="s">
        <v>1409</v>
      </c>
      <c r="C21" s="24" t="s">
        <v>1</v>
      </c>
      <c r="D21" s="327" t="s">
        <v>1410</v>
      </c>
      <c r="E21" s="306" t="s">
        <v>1411</v>
      </c>
      <c r="F21" s="326">
        <f>'数据-取费表'!B38</f>
        <v>0.02</v>
      </c>
      <c r="G21" s="1579"/>
      <c r="H21" s="330"/>
      <c r="I21" s="315"/>
      <c r="J21" s="29"/>
      <c r="K21" s="331"/>
      <c r="L21" s="306" t="s">
        <v>1412</v>
      </c>
      <c r="M21" s="307">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1357</v>
      </c>
      <c r="B22" s="306" t="s">
        <v>1413</v>
      </c>
      <c r="C22" s="24"/>
      <c r="D22" s="134" t="str">
        <f>IF(F23&lt;=1,"单利计息。","复利计息。")&amp;"建造成本、管理费用、销售费用产生的利息。"</f>
        <v>复利计息。建造成本、管理费用、销售费用产生的利息。</v>
      </c>
      <c r="E22" s="1543"/>
      <c r="F22" s="26"/>
      <c r="G22" s="1567"/>
      <c r="H22" s="1110" t="s">
        <v>1007</v>
      </c>
      <c r="I22" s="306" t="s">
        <v>1414</v>
      </c>
      <c r="J22" s="24">
        <f ca="1">ROUND(J14*M22,0)</f>
        <v>0</v>
      </c>
      <c r="K22" s="1527" t="s">
        <v>1415</v>
      </c>
      <c r="L22" s="306" t="s">
        <v>1387</v>
      </c>
      <c r="M22" s="332">
        <f ca="1">INDIRECT("'数据-取费表'!Ak"&amp;$G$1)</f>
        <v>0</v>
      </c>
    </row>
    <row r="23" spans="1:37" s="1580" customFormat="1" ht="18" customHeight="1">
      <c r="A23" s="1110" t="s">
        <v>1002</v>
      </c>
      <c r="B23" s="306" t="s">
        <v>1416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1417</v>
      </c>
      <c r="F23" s="329">
        <f>'数据-取费表'!B20</f>
        <v>3</v>
      </c>
      <c r="G23" s="1579"/>
      <c r="H23" s="1110" t="s">
        <v>1043</v>
      </c>
      <c r="I23" s="306" t="s">
        <v>1418</v>
      </c>
      <c r="J23" s="24">
        <f ca="1">ROUND(J13*M23,0)</f>
        <v>0</v>
      </c>
      <c r="K23" s="1527" t="s">
        <v>1419</v>
      </c>
      <c r="L23" s="306" t="s">
        <v>1420</v>
      </c>
      <c r="M23" s="334">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1421</v>
      </c>
      <c r="B24" s="306" t="s">
        <v>1422</v>
      </c>
      <c r="C24" s="24">
        <f ca="1">ROUND(IF('数据-取费表'!B22&lt;=1,F21*F24*F23/2,F21*(POWER((1+F24),F23/2)-1)),4)</f>
        <v>1.4E-3</v>
      </c>
      <c r="D24" s="333" t="str">
        <f>IF(F23&lt;=1,"销售费用×利率×(建设周期÷2)","销售费用×((1+利率)^(建设周期÷2)-1)")</f>
        <v>销售费用×((1+利率)^(建设周期÷2)-1)</v>
      </c>
      <c r="E24" s="306" t="s">
        <v>1423</v>
      </c>
      <c r="F24" s="335">
        <f ca="1">'数据-取费表'!B40</f>
        <v>4.7500000000000001E-2</v>
      </c>
      <c r="G24" s="1579"/>
      <c r="H24" s="1246" t="s">
        <v>1358</v>
      </c>
      <c r="I24" s="1247" t="s">
        <v>1404</v>
      </c>
      <c r="J24" s="1248">
        <f ca="1">ROUND(J5*M24,0)</f>
        <v>0</v>
      </c>
      <c r="K24" s="1249" t="s">
        <v>1424</v>
      </c>
      <c r="L24" s="1247" t="s">
        <v>1420</v>
      </c>
      <c r="M24" s="1243">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0" t="s">
        <v>1425</v>
      </c>
      <c r="B25" s="306" t="s">
        <v>1426</v>
      </c>
      <c r="C25" s="24"/>
      <c r="D25" s="134" t="s">
        <v>1427</v>
      </c>
      <c r="E25" s="1543"/>
      <c r="F25" s="26"/>
      <c r="G25" s="1567"/>
      <c r="H25" s="1236" t="s">
        <v>999</v>
      </c>
      <c r="I25" s="1251" t="s">
        <v>1428</v>
      </c>
      <c r="J25" s="314">
        <f ca="1">J5-J16</f>
        <v>0</v>
      </c>
      <c r="K25" s="1252" t="s">
        <v>1429</v>
      </c>
      <c r="L25" s="1253"/>
      <c r="M25" s="1254"/>
    </row>
    <row r="26" spans="1:37" ht="18" customHeight="1">
      <c r="A26" s="1110" t="s">
        <v>1002</v>
      </c>
      <c r="B26" s="306" t="s">
        <v>1430</v>
      </c>
      <c r="C26" s="24">
        <f ca="1">ROUND((C19+C20)*F26,0)</f>
        <v>0</v>
      </c>
      <c r="D26" s="327" t="s">
        <v>1431</v>
      </c>
      <c r="E26" s="317" t="s">
        <v>1432</v>
      </c>
      <c r="F26" s="316">
        <f ca="1">INDIRECT("'数据-取费表'!q"&amp;$G$1)</f>
        <v>0</v>
      </c>
      <c r="G26" s="1567"/>
      <c r="H26" s="303" t="s">
        <v>1000</v>
      </c>
      <c r="I26" s="304" t="s">
        <v>1433</v>
      </c>
      <c r="J26" s="305">
        <f ca="1">IF(J5&lt;&gt;0,ROUND(J25*(1-((1+M28)/(1+M26))^M27)/(M26-M28),0),0)</f>
        <v>0</v>
      </c>
      <c r="K26" s="328" t="s">
        <v>1434</v>
      </c>
      <c r="L26" s="306" t="s">
        <v>1435</v>
      </c>
      <c r="M26" s="316">
        <f ca="1">INDIRECT("'数据-取费表'!I"&amp;$G$1)</f>
        <v>0</v>
      </c>
    </row>
    <row r="27" spans="1:37" ht="18" customHeight="1">
      <c r="A27" s="1110" t="s">
        <v>1004</v>
      </c>
      <c r="B27" s="306" t="s">
        <v>1436</v>
      </c>
      <c r="C27" s="24">
        <f ca="1">ROUND(F21*F26,4)</f>
        <v>0</v>
      </c>
      <c r="D27" s="327" t="s">
        <v>1437</v>
      </c>
      <c r="E27" s="324"/>
      <c r="F27" s="325"/>
      <c r="G27" s="1567"/>
      <c r="H27" s="308"/>
      <c r="I27" s="309"/>
      <c r="J27" s="310"/>
      <c r="K27" s="336" t="s">
        <v>1438</v>
      </c>
      <c r="L27" s="306" t="s">
        <v>1439</v>
      </c>
      <c r="M27" s="337">
        <f ca="1">INDIRECT("'数据-取费表'!ag"&amp;$G$1)</f>
        <v>0</v>
      </c>
    </row>
    <row r="28" spans="1:37" s="1580" customFormat="1" ht="18" customHeight="1">
      <c r="A28" s="1110" t="s">
        <v>1005</v>
      </c>
      <c r="B28" s="306" t="s">
        <v>1440</v>
      </c>
      <c r="C28" s="24">
        <f>ROUND(F28/(1+'数据-取费表'!C42),4)</f>
        <v>5.33E-2</v>
      </c>
      <c r="D28" s="327" t="s">
        <v>1441</v>
      </c>
      <c r="E28" s="306" t="s">
        <v>1387</v>
      </c>
      <c r="F28" s="326">
        <f>'数据-取费表'!B41</f>
        <v>5.6000000000000001E-2</v>
      </c>
      <c r="G28" s="1579"/>
      <c r="H28" s="312"/>
      <c r="I28" s="313"/>
      <c r="J28" s="314"/>
      <c r="K28" s="331"/>
      <c r="L28" s="306" t="s">
        <v>1442</v>
      </c>
      <c r="M28" s="316">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0</v>
      </c>
      <c r="D29" s="1249"/>
      <c r="E29" s="1247"/>
      <c r="F29" s="1250"/>
      <c r="G29" s="1579"/>
      <c r="H29" s="338" t="s">
        <v>1001</v>
      </c>
      <c r="I29" s="339" t="s">
        <v>1444</v>
      </c>
      <c r="J29" s="340">
        <f ca="1">ROUND(J26/(1+F40)^F41,0)</f>
        <v>0</v>
      </c>
      <c r="K29" s="341" t="s">
        <v>1445</v>
      </c>
      <c r="L29" s="342"/>
      <c r="M29" s="343">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4">
        <f ca="1">ROUND(C31+C36+C37+C38,0)</f>
        <v>0</v>
      </c>
      <c r="D30" s="1244" t="s">
        <v>1390</v>
      </c>
      <c r="E30" s="1245"/>
      <c r="F30" s="1201"/>
      <c r="G30" s="1567"/>
      <c r="H30" s="2924"/>
      <c r="I30" s="1581"/>
      <c r="J30" s="1582"/>
      <c r="K30" s="2699"/>
      <c r="L30" s="2925"/>
      <c r="M30" s="2926"/>
    </row>
    <row r="31" spans="1:37" ht="18" customHeight="1">
      <c r="A31" s="1110" t="s">
        <v>1003</v>
      </c>
      <c r="B31" s="306" t="s">
        <v>1394</v>
      </c>
      <c r="C31" s="2532">
        <f ca="1">ROUND(IF(AND(项目基本情况!B11="自然人",项目基本情况!B10="北京市"),C6*F31/(1+'数据-取费表'!C42),C32+C33+C34),0)</f>
        <v>0</v>
      </c>
      <c r="D31" s="1528" t="s">
        <v>1395</v>
      </c>
      <c r="E31" s="1527" t="s">
        <v>1446</v>
      </c>
      <c r="F31" s="2531">
        <f ca="1">IF(项目基本情况!B11="企业","——",IF('数据-取费表'!B10="住宅",IF(F6*F7*F8/12/(1+'数据-取费表'!F30)&gt;100000,4%,2.5%),IF(F6*F7*F8/12/(1+'数据-取费表'!F30)&gt;100000,12%,7%)))</f>
        <v>7.0000000000000007E-2</v>
      </c>
      <c r="G31" s="1567"/>
      <c r="H31" s="3037" t="s">
        <v>3057</v>
      </c>
      <c r="I31" s="1581"/>
      <c r="J31" s="1582"/>
      <c r="K31" s="2699"/>
      <c r="L31" s="2925"/>
      <c r="M31" s="2926"/>
    </row>
    <row r="32" spans="1:37" ht="18" customHeight="1">
      <c r="A32" s="1110" t="s">
        <v>1002</v>
      </c>
      <c r="B32" s="306" t="s">
        <v>1398</v>
      </c>
      <c r="C32" s="24">
        <f ca="1">IF(项目基本情况!B11="自然人","——",ROUND(C6*F32/(1+'数据-取费表'!C42),0))</f>
        <v>0</v>
      </c>
      <c r="D32" s="1527" t="s">
        <v>1399</v>
      </c>
      <c r="E32" s="306" t="s">
        <v>1387</v>
      </c>
      <c r="F32" s="335">
        <f>'数据-取费表'!B41</f>
        <v>5.6000000000000001E-2</v>
      </c>
      <c r="G32" s="1567"/>
      <c r="H32" s="2924"/>
      <c r="I32" s="1581"/>
      <c r="J32" s="1582"/>
      <c r="K32" s="2699"/>
      <c r="L32" s="2925"/>
      <c r="M32" s="2926"/>
    </row>
    <row r="33" spans="1:18" ht="18" customHeight="1">
      <c r="A33" s="1110" t="s">
        <v>1004</v>
      </c>
      <c r="B33" s="306" t="s">
        <v>1402</v>
      </c>
      <c r="C33" s="24">
        <f ca="1">IF(项目基本情况!B11="自然人","——",IF(D33="按租金收入计税",ROUND(C6*F33/(1+'数据-取费表'!C42),0),IF(D33="按房产原值计税",ROUND(C29*F33*0.7,0),INDIRECT("'数据-取费表'!Aj"&amp;$G$1))))</f>
        <v>0</v>
      </c>
      <c r="D33" s="1553" t="s">
        <v>1403</v>
      </c>
      <c r="E33" s="306" t="s">
        <v>1387</v>
      </c>
      <c r="F33" s="326">
        <f>IF(D33="按票据","——",IF(D33="按租金收入计税",'数据-取费表'!B51,'数据-取费表'!B50))</f>
        <v>1.2E-2</v>
      </c>
      <c r="G33" s="1567"/>
      <c r="H33" s="2927"/>
      <c r="I33" s="1581"/>
      <c r="J33" s="1582"/>
      <c r="K33" s="2928"/>
      <c r="L33" s="2927"/>
      <c r="M33" s="2927"/>
    </row>
    <row r="34" spans="1:18" ht="18" customHeight="1">
      <c r="A34" s="1198" t="s">
        <v>1354</v>
      </c>
      <c r="B34" s="158" t="s">
        <v>1406</v>
      </c>
      <c r="C34" s="25">
        <f ca="1">IF(项目基本情况!B11="自然人","——",ROUND(F34*F35,))</f>
        <v>0</v>
      </c>
      <c r="D34" s="328" t="s">
        <v>1407</v>
      </c>
      <c r="E34" s="306" t="s">
        <v>1408</v>
      </c>
      <c r="F34" s="329">
        <f>'数据-取费表'!B52</f>
        <v>30</v>
      </c>
      <c r="G34" s="1567"/>
      <c r="H34" s="2924"/>
      <c r="I34" s="1581"/>
      <c r="J34" s="1582"/>
      <c r="K34" s="2929"/>
      <c r="L34" s="2930"/>
      <c r="M34" s="2930"/>
    </row>
    <row r="35" spans="1:18" ht="18" customHeight="1">
      <c r="A35" s="1260"/>
      <c r="B35" s="1258"/>
      <c r="C35" s="29"/>
      <c r="D35" s="331"/>
      <c r="E35" s="306" t="s">
        <v>1412</v>
      </c>
      <c r="F35" s="307">
        <f ca="1">INDIRECT("'数据-取费表'!r"&amp;$G$1)</f>
        <v>0</v>
      </c>
      <c r="G35" s="1567"/>
      <c r="H35" s="2924"/>
      <c r="I35" s="1581"/>
      <c r="J35" s="1582"/>
      <c r="K35" s="2928"/>
      <c r="L35" s="2927"/>
      <c r="M35" s="2927"/>
    </row>
    <row r="36" spans="1:18" ht="18" customHeight="1">
      <c r="A36" s="1259" t="s">
        <v>1007</v>
      </c>
      <c r="B36" s="306" t="s">
        <v>1414</v>
      </c>
      <c r="C36" s="24">
        <f ca="1">ROUND(C29*F36,0)</f>
        <v>0</v>
      </c>
      <c r="D36" s="1527" t="s">
        <v>1447</v>
      </c>
      <c r="E36" s="306" t="s">
        <v>1387</v>
      </c>
      <c r="F36" s="332">
        <f ca="1">INDIRECT("'数据-取费表'!Ak"&amp;$G$1)</f>
        <v>0</v>
      </c>
      <c r="G36" s="1567"/>
      <c r="H36" s="2927"/>
      <c r="I36" s="1581"/>
      <c r="J36" s="1582"/>
      <c r="K36" s="2768"/>
      <c r="L36" s="2927"/>
      <c r="M36" s="2927"/>
    </row>
    <row r="37" spans="1:18" ht="18" customHeight="1">
      <c r="A37" s="1110" t="s">
        <v>1043</v>
      </c>
      <c r="B37" s="306" t="s">
        <v>1418</v>
      </c>
      <c r="C37" s="24">
        <f ca="1">ROUND(C13*F37,0)</f>
        <v>0</v>
      </c>
      <c r="D37" s="1527" t="s">
        <v>1419</v>
      </c>
      <c r="E37" s="306" t="s">
        <v>1420</v>
      </c>
      <c r="F37" s="334">
        <f ca="1">INDIRECT("'数据-取费表'!Al"&amp;$G$1)</f>
        <v>0</v>
      </c>
      <c r="G37" s="1567"/>
      <c r="H37" s="2927"/>
      <c r="I37" s="1581"/>
      <c r="J37" s="1582"/>
      <c r="K37" s="2768"/>
      <c r="L37" s="2927"/>
      <c r="M37" s="2927"/>
    </row>
    <row r="38" spans="1:18" ht="18" customHeight="1" thickBot="1">
      <c r="A38" s="1246" t="s">
        <v>1358</v>
      </c>
      <c r="B38" s="1247" t="s">
        <v>1404</v>
      </c>
      <c r="C38" s="1248">
        <f ca="1">ROUND(C5*F38,1)</f>
        <v>0</v>
      </c>
      <c r="D38" s="1249" t="s">
        <v>1424</v>
      </c>
      <c r="E38" s="1247" t="s">
        <v>1420</v>
      </c>
      <c r="F38" s="1243">
        <f ca="1">INDIRECT("'数据-取费表'!Am"&amp;$G$1)</f>
        <v>0</v>
      </c>
      <c r="G38" s="1567"/>
      <c r="H38" s="2927"/>
      <c r="I38" s="1581"/>
      <c r="J38" s="1582"/>
      <c r="K38" s="2931"/>
      <c r="L38" s="2927"/>
      <c r="M38" s="2927"/>
    </row>
    <row r="39" spans="1:18" ht="24.6" customHeight="1" thickTop="1">
      <c r="A39" s="1236" t="s">
        <v>999</v>
      </c>
      <c r="B39" s="1251" t="s">
        <v>1448</v>
      </c>
      <c r="C39" s="314">
        <f ca="1">C5-C30</f>
        <v>0</v>
      </c>
      <c r="D39" s="1252" t="s">
        <v>1449</v>
      </c>
      <c r="E39" s="1253"/>
      <c r="F39" s="1254"/>
      <c r="G39" s="1567"/>
      <c r="H39" s="2927"/>
      <c r="I39" s="1581"/>
      <c r="J39" s="1582"/>
      <c r="K39" s="2931"/>
      <c r="L39" s="2927"/>
      <c r="M39" s="2927"/>
    </row>
    <row r="40" spans="1:18" ht="18" customHeight="1">
      <c r="A40" s="303" t="s">
        <v>1000</v>
      </c>
      <c r="B40" s="304" t="s">
        <v>1450</v>
      </c>
      <c r="C40" s="305" t="e">
        <f ca="1">ROUND(C39*(1-((1+F42)/(1+F40))^F41)/(F40-F42),0)</f>
        <v>#DIV/0!</v>
      </c>
      <c r="D40" s="328" t="s">
        <v>1434</v>
      </c>
      <c r="E40" s="306" t="s">
        <v>1435</v>
      </c>
      <c r="F40" s="316">
        <f ca="1">INDIRECT("'数据-取费表'!I"&amp;$G$1)</f>
        <v>0</v>
      </c>
      <c r="G40" s="1567"/>
      <c r="H40" s="1644"/>
      <c r="I40" s="1581"/>
      <c r="J40" s="1582"/>
      <c r="K40" s="2931"/>
      <c r="L40" s="1644"/>
      <c r="M40" s="1644"/>
    </row>
    <row r="41" spans="1:18" ht="18" customHeight="1">
      <c r="A41" s="308"/>
      <c r="B41" s="309"/>
      <c r="C41" s="310"/>
      <c r="D41" s="336" t="s">
        <v>1451</v>
      </c>
      <c r="E41" s="306" t="s">
        <v>1439</v>
      </c>
      <c r="F41" s="337">
        <f ca="1">IF(INDIRECT("'数据-取费表'!af"&amp;$G$1)=0,INDIRECT("'数据-取费表'!ae"&amp;$G$1),INDIRECT("'数据-取费表'!af"&amp;$G$1))</f>
        <v>0</v>
      </c>
      <c r="G41" s="1567"/>
      <c r="H41" s="1350"/>
      <c r="I41" s="1581"/>
      <c r="J41" s="1582"/>
      <c r="K41" s="2768"/>
      <c r="L41" s="1350"/>
      <c r="M41" s="1350"/>
    </row>
    <row r="42" spans="1:18" ht="18" customHeight="1">
      <c r="A42" s="312"/>
      <c r="B42" s="313"/>
      <c r="C42" s="314"/>
      <c r="D42" s="331"/>
      <c r="E42" s="306" t="s">
        <v>1442</v>
      </c>
      <c r="F42" s="316">
        <f ca="1">INDIRECT("'数据-取费表'!v"&amp;$G$1)</f>
        <v>0</v>
      </c>
      <c r="G42" s="1567"/>
      <c r="H42" s="1350"/>
      <c r="I42" s="1581"/>
      <c r="J42" s="1582"/>
      <c r="K42" s="2768"/>
      <c r="L42" s="1350"/>
      <c r="M42" s="1350"/>
    </row>
    <row r="43" spans="1:18" ht="18" customHeight="1" thickBot="1">
      <c r="A43" s="338" t="s">
        <v>1001</v>
      </c>
      <c r="B43" s="339" t="s">
        <v>1452</v>
      </c>
      <c r="C43" s="340" t="e">
        <f ca="1">ROUND(C40/F43,0)</f>
        <v>#DIV/0!</v>
      </c>
      <c r="D43" s="341" t="s">
        <v>1453</v>
      </c>
      <c r="E43" s="342" t="s">
        <v>1454</v>
      </c>
      <c r="F43" s="343">
        <f ca="1">INDIRECT("'数据-取费表'!k"&amp;$G$1)</f>
        <v>0</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4" t="s">
        <v>1361</v>
      </c>
      <c r="B47" s="1106" t="s">
        <v>1362</v>
      </c>
      <c r="C47" s="1106" t="s">
        <v>1363</v>
      </c>
      <c r="D47" s="1106" t="s">
        <v>1364</v>
      </c>
      <c r="E47" s="1186" t="s">
        <v>1365</v>
      </c>
      <c r="F47" s="1187"/>
      <c r="G47" s="728"/>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7" t="s">
        <v>1103</v>
      </c>
      <c r="B48" s="304" t="s">
        <v>1366</v>
      </c>
      <c r="C48" s="1542">
        <f ca="1">C49+C53+C55</f>
        <v>0</v>
      </c>
      <c r="D48" s="1269"/>
      <c r="E48" s="1270"/>
      <c r="F48" s="1090"/>
      <c r="G48" s="728"/>
      <c r="H48" s="729"/>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3" t="s">
        <v>1104</v>
      </c>
      <c r="B49" s="1554" t="s">
        <v>1455</v>
      </c>
      <c r="C49" s="1271">
        <f ca="1">ROUND(F49*F51*F50*(1-F52),0)</f>
        <v>0</v>
      </c>
      <c r="D49" s="1183" t="s">
        <v>1369</v>
      </c>
      <c r="E49" s="1555" t="s">
        <v>1456</v>
      </c>
      <c r="F49" s="1188"/>
      <c r="G49" s="1608"/>
      <c r="H49" s="729"/>
      <c r="I49" s="1604" t="s">
        <v>1499</v>
      </c>
      <c r="J49" s="1609"/>
      <c r="K49" s="1606" t="s">
        <v>1500</v>
      </c>
      <c r="L49" s="1610"/>
      <c r="O49" s="1611" t="s">
        <v>1010</v>
      </c>
      <c r="P49" s="1602" t="s">
        <v>1501</v>
      </c>
      <c r="Q49" s="1603">
        <f ca="1">C29</f>
        <v>0</v>
      </c>
      <c r="R49" s="1603" t="s">
        <v>1494</v>
      </c>
    </row>
    <row r="50" spans="1:18" s="1567" customFormat="1" ht="13.5" thickBot="1">
      <c r="A50" s="1104"/>
      <c r="B50" s="1107"/>
      <c r="C50" s="1108"/>
      <c r="D50" s="1081"/>
      <c r="E50" s="1184" t="s">
        <v>1371</v>
      </c>
      <c r="F50" s="1185">
        <f ca="1">F7</f>
        <v>0</v>
      </c>
      <c r="H50" s="729"/>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5"/>
      <c r="B51" s="1107"/>
      <c r="C51" s="1108"/>
      <c r="D51" s="1081"/>
      <c r="E51" s="1109" t="s">
        <v>1372</v>
      </c>
      <c r="F51" s="307">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5"/>
      <c r="B52" s="1107"/>
      <c r="C52" s="1108"/>
      <c r="D52" s="1081"/>
      <c r="E52" s="1109" t="s">
        <v>1373</v>
      </c>
      <c r="F52" s="1182"/>
      <c r="I52" s="1620" t="s">
        <v>1508</v>
      </c>
      <c r="J52" s="1621"/>
      <c r="K52" s="1620" t="s">
        <v>1509</v>
      </c>
      <c r="L52" s="1621"/>
      <c r="O52" s="1611" t="s">
        <v>1013</v>
      </c>
      <c r="P52" s="1602" t="s">
        <v>1510</v>
      </c>
      <c r="Q52" s="1603">
        <f ca="1">J53</f>
        <v>-1.7490000000000001</v>
      </c>
      <c r="R52" s="1603" t="s">
        <v>1511</v>
      </c>
    </row>
    <row r="53" spans="1:18" s="1567" customFormat="1" ht="30.75" customHeight="1" thickBot="1">
      <c r="A53" s="1268" t="s">
        <v>1105</v>
      </c>
      <c r="B53" s="327" t="s">
        <v>1374</v>
      </c>
      <c r="C53" s="320">
        <f ca="1">ROUND(IF(F53="押一",C49/12*F11,IF(F53="押二",C49/12*2*F11,IF(F53="押三",C49/12*3*F11,C54*F11))),0)</f>
        <v>0</v>
      </c>
      <c r="D53" s="1549" t="s">
        <v>2859</v>
      </c>
      <c r="E53" s="317" t="s">
        <v>1375</v>
      </c>
      <c r="F53" s="1273"/>
      <c r="I53" s="1622" t="s">
        <v>1512</v>
      </c>
      <c r="J53" s="2384">
        <f ca="1">IF(M47="住宅",IF(D1="——",MAX(J51,L48),MAX(J51,L48-'数据-取费表'!B24)),IF(D1="——",MIN(J51,L48),MIN(J51,L48-'数据-取费表'!B24)))</f>
        <v>-1.7490000000000001</v>
      </c>
      <c r="K53" s="3347" t="s">
        <v>1513</v>
      </c>
      <c r="L53" s="3348"/>
      <c r="O53" s="1601" t="s">
        <v>1014</v>
      </c>
      <c r="P53" s="1602" t="s">
        <v>1514</v>
      </c>
      <c r="Q53" s="1603" t="e">
        <f ca="1">Q47+Q48</f>
        <v>#DIV/0!</v>
      </c>
      <c r="R53" s="1603" t="s">
        <v>1015</v>
      </c>
    </row>
    <row r="54" spans="1:18" s="1567" customFormat="1" ht="13.5" thickBot="1">
      <c r="A54" s="1103"/>
      <c r="B54" s="1657" t="s">
        <v>1568</v>
      </c>
      <c r="C54" s="1087"/>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0" t="s">
        <v>1043</v>
      </c>
      <c r="B55" s="1552" t="s">
        <v>1378</v>
      </c>
      <c r="C55" s="1241"/>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5">
        <v>2</v>
      </c>
      <c r="B56" s="1086" t="s">
        <v>1379</v>
      </c>
      <c r="C56" s="236">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78" t="s">
        <v>1443</v>
      </c>
      <c r="C57" s="242">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19" t="s">
        <v>998</v>
      </c>
      <c r="B58" s="1086" t="s">
        <v>1389</v>
      </c>
      <c r="C58" s="320">
        <f ca="1">ROUND(C59+C64+C65+C66,0)</f>
        <v>0</v>
      </c>
      <c r="D58" s="1088" t="s">
        <v>1390</v>
      </c>
      <c r="E58" s="1089"/>
      <c r="F58" s="1090"/>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0" t="s">
        <v>1003</v>
      </c>
      <c r="B59" s="1078" t="s">
        <v>1394</v>
      </c>
      <c r="C59" s="2532">
        <f ca="1">ROUND(IF(AND(项目基本情况!B11="自然人",项目基本情况!B10="北京市"),C49*F59/(1+'数据-取费表'!C42),C60+C61+C62),0)</f>
        <v>0</v>
      </c>
      <c r="D59" s="1091" t="s">
        <v>1395</v>
      </c>
      <c r="E59" s="1092" t="s">
        <v>1396</v>
      </c>
      <c r="F59" s="2531">
        <f ca="1">IF(项目基本情况!B11="企业","——",IF('数据-取费表'!B10="住宅",IF(F49*F50*F51/12/(1+'数据-取费表'!F30)&gt;100000,4%,2.5%),IF(F49*F50*F51/12/(1+'数据-取费表'!F30)&gt;100000,12%,7%)))</f>
        <v>7.0000000000000007E-2</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0" t="s">
        <v>1002</v>
      </c>
      <c r="B60" s="1078" t="s">
        <v>1398</v>
      </c>
      <c r="C60" s="24">
        <f ca="1">IF(项目基本情况!B11="自然人","——",ROUND(C48*F60/(1+'数据-取费表'!C42),0))</f>
        <v>0</v>
      </c>
      <c r="D60" s="1092" t="s">
        <v>1399</v>
      </c>
      <c r="E60" s="1078" t="s">
        <v>1387</v>
      </c>
      <c r="F60" s="335">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0" t="s">
        <v>1457</v>
      </c>
      <c r="B61" s="1078" t="s">
        <v>1458</v>
      </c>
      <c r="C61" s="24">
        <f ca="1">IF(项目基本情况!B11="自然人","——",IF(D61="按租金收入计税",ROUND(C48*F61,0),IF(D61="按房产原值计税",ROUND(C57*F61*0.7,0),INDIRECT("'数据-取费表'!Aj"&amp;$G$1))))</f>
        <v>0</v>
      </c>
      <c r="D61" s="1553" t="s">
        <v>1403</v>
      </c>
      <c r="E61" s="1078" t="s">
        <v>1459</v>
      </c>
      <c r="F61" s="326">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0" t="s">
        <v>1460</v>
      </c>
      <c r="B62" s="1077" t="s">
        <v>1461</v>
      </c>
      <c r="C62" s="25">
        <f ca="1">IF(项目基本情况!B11="自然人","——",ROUND(F62*F63,0))</f>
        <v>0</v>
      </c>
      <c r="D62" s="1093" t="s">
        <v>1462</v>
      </c>
      <c r="E62" s="1078" t="s">
        <v>1463</v>
      </c>
      <c r="F62" s="329">
        <f t="shared" si="0"/>
        <v>30</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0"/>
      <c r="B63" s="1084"/>
      <c r="C63" s="29"/>
      <c r="D63" s="1094"/>
      <c r="E63" s="1078" t="s">
        <v>1464</v>
      </c>
      <c r="F63" s="307">
        <f t="shared" ca="1" si="0"/>
        <v>0</v>
      </c>
      <c r="I63" s="1645" t="s">
        <v>1541</v>
      </c>
      <c r="J63" s="1646">
        <v>70</v>
      </c>
      <c r="K63" s="1646">
        <v>50</v>
      </c>
      <c r="L63" s="1646">
        <v>80</v>
      </c>
      <c r="M63" s="1648">
        <v>0.02</v>
      </c>
      <c r="O63" s="1586" t="s">
        <v>1542</v>
      </c>
      <c r="P63" s="1564"/>
      <c r="Q63" s="1564"/>
      <c r="R63" s="1564"/>
    </row>
    <row r="64" spans="1:18" s="1567" customFormat="1" ht="13.5" thickBot="1">
      <c r="A64" s="1110" t="s">
        <v>1465</v>
      </c>
      <c r="B64" s="1078" t="s">
        <v>1466</v>
      </c>
      <c r="C64" s="24">
        <f ca="1">ROUND(C57*F64,0)</f>
        <v>0</v>
      </c>
      <c r="D64" s="1092" t="s">
        <v>1467</v>
      </c>
      <c r="E64" s="1078" t="s">
        <v>1459</v>
      </c>
      <c r="F64" s="332">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0" t="s">
        <v>1468</v>
      </c>
      <c r="B65" s="1078" t="s">
        <v>1418</v>
      </c>
      <c r="C65" s="24">
        <f ca="1">ROUND(C56*F65,0)</f>
        <v>0</v>
      </c>
      <c r="D65" s="1092" t="s">
        <v>1419</v>
      </c>
      <c r="E65" s="1078" t="s">
        <v>1420</v>
      </c>
      <c r="F65" s="334">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0" t="s">
        <v>1469</v>
      </c>
      <c r="B66" s="1078" t="s">
        <v>1404</v>
      </c>
      <c r="C66" s="24">
        <f ca="1">ROUND(C48*F66,0)</f>
        <v>0</v>
      </c>
      <c r="D66" s="1092" t="s">
        <v>1470</v>
      </c>
      <c r="E66" s="1078" t="s">
        <v>1387</v>
      </c>
      <c r="F66" s="316">
        <f t="shared" ca="1" si="0"/>
        <v>0</v>
      </c>
      <c r="O66" s="1601" t="s">
        <v>1009</v>
      </c>
      <c r="P66" s="1602" t="s">
        <v>1523</v>
      </c>
      <c r="Q66" s="1603" t="e">
        <f ca="1">L60</f>
        <v>#DIV/0!</v>
      </c>
      <c r="R66" s="1603" t="s">
        <v>1546</v>
      </c>
    </row>
    <row r="67" spans="1:18" s="1567" customFormat="1" ht="16.5" thickBot="1">
      <c r="A67" s="1085" t="s">
        <v>999</v>
      </c>
      <c r="B67" s="1095" t="s">
        <v>1428</v>
      </c>
      <c r="C67" s="320">
        <f ca="1">C48-C58</f>
        <v>0</v>
      </c>
      <c r="D67" s="1091" t="s">
        <v>1429</v>
      </c>
      <c r="E67" s="1096"/>
      <c r="F67" s="1097"/>
      <c r="O67" s="1611" t="s">
        <v>1010</v>
      </c>
      <c r="P67" s="1602" t="s">
        <v>1527</v>
      </c>
      <c r="Q67" s="1649">
        <f ca="1">L51</f>
        <v>0</v>
      </c>
      <c r="R67" s="1603" t="s">
        <v>1547</v>
      </c>
    </row>
    <row r="68" spans="1:18" s="1567" customFormat="1" ht="16.5" thickBot="1">
      <c r="A68" s="1075" t="s">
        <v>1000</v>
      </c>
      <c r="B68" s="1076" t="s">
        <v>1450</v>
      </c>
      <c r="C68" s="305" t="e">
        <f ca="1">ROUND(C67*(1-((1+F70)/(1+F68))^F69)/(F68-F70),0)</f>
        <v>#DIV/0!</v>
      </c>
      <c r="D68" s="1093" t="s">
        <v>1434</v>
      </c>
      <c r="E68" s="1078" t="s">
        <v>1435</v>
      </c>
      <c r="F68" s="316">
        <f ca="1">F40</f>
        <v>0</v>
      </c>
      <c r="O68" s="1611" t="s">
        <v>1011</v>
      </c>
      <c r="P68" s="1650" t="s">
        <v>1548</v>
      </c>
      <c r="Q68" s="1603">
        <f ca="1">ROUND(Q69-Q70*Q71,0)</f>
        <v>0</v>
      </c>
      <c r="R68" s="1603" t="s">
        <v>1019</v>
      </c>
    </row>
    <row r="69" spans="1:18" s="1567" customFormat="1" ht="13.5" thickBot="1">
      <c r="A69" s="1079"/>
      <c r="B69" s="1080"/>
      <c r="C69" s="310"/>
      <c r="D69" s="1098" t="s">
        <v>1438</v>
      </c>
      <c r="E69" s="1078" t="s">
        <v>1439</v>
      </c>
      <c r="F69" s="337">
        <f ca="1">F41</f>
        <v>0</v>
      </c>
      <c r="O69" s="1611" t="s">
        <v>1016</v>
      </c>
      <c r="P69" s="1650" t="s">
        <v>1549</v>
      </c>
      <c r="Q69" s="1603">
        <f ca="1">C39</f>
        <v>0</v>
      </c>
      <c r="R69" s="1603" t="s">
        <v>1494</v>
      </c>
    </row>
    <row r="70" spans="1:18" s="1567" customFormat="1" ht="13.5" thickBot="1">
      <c r="A70" s="1082"/>
      <c r="B70" s="1083"/>
      <c r="C70" s="314"/>
      <c r="D70" s="1094"/>
      <c r="E70" s="1078" t="s">
        <v>1442</v>
      </c>
      <c r="F70" s="1182">
        <f ca="1">F42</f>
        <v>0</v>
      </c>
      <c r="O70" s="1611" t="s">
        <v>1017</v>
      </c>
      <c r="P70" s="1650" t="s">
        <v>1550</v>
      </c>
      <c r="Q70" s="1603">
        <f ca="1">C13</f>
        <v>0</v>
      </c>
      <c r="R70" s="1603" t="s">
        <v>1494</v>
      </c>
    </row>
    <row r="71" spans="1:18" s="1567" customFormat="1" ht="13.5" thickBot="1">
      <c r="A71" s="1099" t="s">
        <v>1001</v>
      </c>
      <c r="B71" s="1100" t="s">
        <v>1452</v>
      </c>
      <c r="C71" s="340" t="e">
        <f ca="1">ROUND(C68/F71,0)</f>
        <v>#DIV/0!</v>
      </c>
      <c r="D71" s="1101" t="s">
        <v>1453</v>
      </c>
      <c r="E71" s="1102" t="s">
        <v>1454</v>
      </c>
      <c r="F71" s="343">
        <f ca="1">F43</f>
        <v>0</v>
      </c>
      <c r="O71" s="1611" t="s">
        <v>1018</v>
      </c>
      <c r="P71" s="1650" t="s">
        <v>1551</v>
      </c>
      <c r="Q71" s="1614">
        <f ca="1">C76</f>
        <v>0</v>
      </c>
      <c r="R71" s="1603"/>
    </row>
    <row r="72" spans="1:18" s="1567" customFormat="1" ht="13.5" thickBot="1">
      <c r="B72" s="732"/>
      <c r="C72" s="732"/>
      <c r="O72" s="1611" t="s">
        <v>1012</v>
      </c>
      <c r="P72" s="1602" t="s">
        <v>1529</v>
      </c>
      <c r="Q72" s="1614">
        <f>L52</f>
        <v>0</v>
      </c>
      <c r="R72" s="1603"/>
    </row>
    <row r="73" spans="1:18" ht="16.5" thickBot="1">
      <c r="A73" s="1567"/>
      <c r="B73" s="732"/>
      <c r="C73" s="732"/>
      <c r="D73" s="1567"/>
      <c r="E73" s="1567"/>
      <c r="F73" s="1567"/>
      <c r="O73" s="1611" t="s">
        <v>1013</v>
      </c>
      <c r="P73" s="1602" t="s">
        <v>1532</v>
      </c>
      <c r="Q73" s="1603" t="e">
        <f ca="1">L58</f>
        <v>#DIV/0!</v>
      </c>
      <c r="R73" s="1603" t="s">
        <v>1533</v>
      </c>
    </row>
    <row r="74" spans="1:18" ht="13.5" thickBot="1">
      <c r="A74" s="1567"/>
      <c r="B74" s="277"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4" t="s">
        <v>1471</v>
      </c>
      <c r="C75" s="345">
        <f ca="1">ROUND(C13*C76,0)</f>
        <v>0</v>
      </c>
      <c r="D75" s="1567"/>
      <c r="E75" s="1567"/>
      <c r="F75" s="1567"/>
      <c r="K75" s="1585"/>
      <c r="L75" s="1567"/>
      <c r="O75" s="1601" t="s">
        <v>1014</v>
      </c>
      <c r="P75" s="1602" t="s">
        <v>1514</v>
      </c>
      <c r="Q75" s="1603" t="e">
        <f ca="1">Q65+Q66</f>
        <v>#DIV/0!</v>
      </c>
      <c r="R75" s="1603" t="s">
        <v>1015</v>
      </c>
    </row>
    <row r="76" spans="1:18">
      <c r="B76" s="346" t="s">
        <v>1472</v>
      </c>
      <c r="C76" s="347">
        <f ca="1">INDIRECT("'数据-取费表'!j"&amp;$G$1)</f>
        <v>0</v>
      </c>
      <c r="I76" s="1567"/>
      <c r="J76" s="1567"/>
      <c r="K76" s="1585"/>
      <c r="L76" s="1567"/>
    </row>
    <row r="77" spans="1:18">
      <c r="B77" s="348" t="s">
        <v>1473</v>
      </c>
      <c r="C77" s="349"/>
      <c r="I77" s="1567"/>
      <c r="J77" s="1567"/>
      <c r="K77" s="1585"/>
      <c r="L77" s="1567"/>
    </row>
    <row r="78" spans="1:18">
      <c r="B78" s="274" t="s">
        <v>1474</v>
      </c>
      <c r="C78" s="350"/>
    </row>
    <row r="79" spans="1:18">
      <c r="B79" s="344" t="s">
        <v>1475</v>
      </c>
      <c r="C79" s="278" t="e">
        <f ca="1">1-C80</f>
        <v>#DIV/0!</v>
      </c>
    </row>
    <row r="80" spans="1:18">
      <c r="B80" s="344" t="s">
        <v>1476</v>
      </c>
      <c r="C80" s="278" t="e">
        <f ca="1">ROUND(C75/C39,3)</f>
        <v>#DIV/0!</v>
      </c>
    </row>
    <row r="81" spans="2:3">
      <c r="B81" s="274" t="s">
        <v>1477</v>
      </c>
      <c r="C81" s="242"/>
    </row>
    <row r="82" spans="2:3">
      <c r="B82" s="277" t="s">
        <v>1478</v>
      </c>
      <c r="C82" s="279" t="e">
        <f ca="1">1-C83</f>
        <v>#DIV/0!</v>
      </c>
    </row>
    <row r="83" spans="2:3">
      <c r="B83" s="277" t="s">
        <v>1479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36">
      <c r="A4" s="1664" t="str">
        <f>"受贵公司委托，我公司对"&amp;项目基本情况!S1&amp;"进行了预评估。"</f>
        <v>受贵公司委托，我公司对北京市出让国有建设用地使用权及在建建筑物房地产抵押价值进行了预评估。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估价对象为北京市出让国有建设用地使用权及在建建筑物房地产，为所有。根据《国有土地使用证》[]，估价对象（分摊）出让国有建设用地使用权面积为18643.39平方米，建筑面积为160498.87平方米。</v>
      </c>
    </row>
    <row r="8" spans="1:1" ht="57.75">
      <c r="A8" s="1667" t="s">
        <v>1579</v>
      </c>
    </row>
    <row r="9" spans="1:1" ht="18.75">
      <c r="A9" s="1666" t="s">
        <v>1580</v>
      </c>
    </row>
    <row r="10" spans="1:1" ht="72">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18643.39平方米，规划建筑面积为160498.87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为估价委托人了解估价对象房地产市场价值提供参考依据。</v>
      </c>
    </row>
    <row r="14" spans="1:1" ht="18.75">
      <c r="A14" s="1669" t="s">
        <v>1583</v>
      </c>
    </row>
    <row r="15" spans="1:1" ht="18">
      <c r="A15" s="1670" t="str">
        <f>TEXT(项目基本情况!D3,"yyyy年m月d日;;")&amp;IF(项目基本情况!D3=项目基本情况!B3,"（评估专业人员实地查勘之日）","")</f>
        <v>2020年11月6日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6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4" t="str">
        <f>IF(项目基本情况!B9="房地产市场价值","——",IF(项目基本情况!E8="房地产抵押价值",定义!C54,IF(项目基本情况!E8="已注销",定义!C55,定义!C56)))</f>
        <v>——</v>
      </c>
    </row>
    <row r="21" spans="1:1" ht="18">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4" t="str">
        <f>IF(项目基本情况!B9="房地产市场价值","——",IF(项目基本情况!E9="——","",定义!C57))</f>
        <v>——</v>
      </c>
    </row>
    <row r="23" spans="1:1" ht="18.75">
      <c r="A23" s="1669" t="s">
        <v>1574</v>
      </c>
    </row>
    <row r="24" spans="1:1" ht="18">
      <c r="A24" s="1671" t="str">
        <f>"本次评估采用的主估价方法为"&amp;结果表!K4&amp;"和"&amp;结果表!L4&amp;"。"</f>
        <v>本次评估采用的主估价方法为成本法和假设开发法。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1" t="s">
        <v>2346</v>
      </c>
      <c r="B1" s="2052"/>
      <c r="C1" s="2052"/>
      <c r="D1" s="2052"/>
      <c r="E1" s="2053"/>
      <c r="F1" s="2934"/>
      <c r="G1" s="1673"/>
      <c r="H1" s="1673"/>
      <c r="I1" s="1673"/>
      <c r="J1" s="1673"/>
      <c r="K1" s="1673"/>
      <c r="L1" s="1673"/>
      <c r="M1" s="1673"/>
      <c r="N1" s="1673"/>
      <c r="O1" s="1673"/>
      <c r="P1" s="1673"/>
      <c r="Q1" s="1673"/>
      <c r="R1" s="1673"/>
      <c r="S1" s="1673"/>
    </row>
    <row r="2" spans="1:22" ht="15.75">
      <c r="A2" s="2054" t="s">
        <v>2150</v>
      </c>
      <c r="B2" s="2055">
        <f ca="1">SUMIF(B6:B13,"&lt;&gt;#ref!",B6:B13)</f>
        <v>681226</v>
      </c>
      <c r="C2" s="2056" t="s">
        <v>2339</v>
      </c>
      <c r="D2" s="2057" t="s">
        <v>2340</v>
      </c>
      <c r="E2" s="2831">
        <f>SUM(E6:E13)</f>
        <v>118629.17</v>
      </c>
      <c r="F2" s="2934"/>
      <c r="G2" s="1673"/>
      <c r="H2" s="1673"/>
      <c r="I2" s="1673"/>
      <c r="J2" s="1673"/>
      <c r="K2" s="1673"/>
      <c r="L2" s="1673"/>
      <c r="M2" s="1673"/>
      <c r="N2" s="1673"/>
      <c r="O2" s="1673"/>
      <c r="P2" s="1673"/>
      <c r="Q2" s="1673"/>
      <c r="R2" s="1673"/>
      <c r="S2" s="1673"/>
    </row>
    <row r="3" spans="1:22" ht="15.75">
      <c r="A3" s="2054" t="s">
        <v>1360</v>
      </c>
      <c r="B3" s="2825">
        <f ca="1">ROUND(B2*10000/E2,0)</f>
        <v>57425</v>
      </c>
      <c r="C3" s="2056" t="s">
        <v>2347</v>
      </c>
      <c r="D3" s="2936"/>
      <c r="E3" s="2938"/>
      <c r="F3" s="2934"/>
      <c r="G3" s="1673"/>
      <c r="H3" s="1673"/>
      <c r="I3" s="1673"/>
      <c r="J3" s="1673"/>
      <c r="K3" s="1673"/>
      <c r="L3" s="1673"/>
      <c r="M3" s="1673"/>
      <c r="N3" s="1673"/>
      <c r="O3" s="1673"/>
      <c r="P3" s="1673"/>
      <c r="Q3" s="1673"/>
      <c r="R3" s="1673"/>
      <c r="S3" s="1673"/>
    </row>
    <row r="4" spans="1:22" ht="15.75">
      <c r="A4" s="2939"/>
      <c r="B4" s="2936"/>
      <c r="C4" s="2936"/>
      <c r="D4" s="2936"/>
      <c r="E4" s="2938"/>
      <c r="F4" s="2934"/>
      <c r="G4" s="1673"/>
      <c r="H4" s="1673"/>
      <c r="I4" s="1673"/>
      <c r="J4" s="1673"/>
      <c r="K4" s="1673"/>
      <c r="L4" s="1673"/>
      <c r="M4" s="1673"/>
      <c r="N4" s="1673"/>
      <c r="O4" s="1673"/>
      <c r="P4" s="1673"/>
      <c r="Q4" s="1673"/>
      <c r="R4" s="1673"/>
      <c r="S4" s="1673"/>
    </row>
    <row r="5" spans="1:22" ht="15">
      <c r="A5" s="2827" t="s">
        <v>2341</v>
      </c>
      <c r="B5" s="3352" t="s">
        <v>2342</v>
      </c>
      <c r="C5" s="3353"/>
      <c r="D5" s="2935"/>
      <c r="E5" s="2058" t="s">
        <v>2343</v>
      </c>
      <c r="F5" s="2059" t="s">
        <v>2344</v>
      </c>
      <c r="G5" s="1673"/>
      <c r="H5" s="1673"/>
      <c r="I5" s="1673"/>
      <c r="J5" s="1673"/>
      <c r="K5" s="1673"/>
      <c r="L5" s="1673"/>
      <c r="M5" s="1673"/>
      <c r="N5" s="1673"/>
      <c r="O5" s="1673"/>
      <c r="P5" s="1673"/>
      <c r="Q5" s="1673"/>
      <c r="R5" s="1673"/>
      <c r="S5" s="1673"/>
    </row>
    <row r="6" spans="1:22">
      <c r="A6" s="2828" t="str">
        <f>'数据-取费表'!AN6</f>
        <v>收益法B</v>
      </c>
      <c r="B6" s="2826">
        <f ca="1">IF(F6="是",'数据-取费表'!AO6,0)</f>
        <v>268626</v>
      </c>
      <c r="C6" s="2056" t="s">
        <v>2339</v>
      </c>
      <c r="D6" s="2936"/>
      <c r="E6" s="2830">
        <f>IF(OR(A6=0,F6="否"),0,'数据-取费表'!K6+'数据-取费表'!S6)</f>
        <v>45131.9</v>
      </c>
      <c r="F6" s="2060" t="s">
        <v>2345</v>
      </c>
      <c r="G6" s="1673"/>
      <c r="H6" s="1673"/>
      <c r="I6" s="1673"/>
      <c r="J6" s="1673"/>
      <c r="K6" s="1673"/>
      <c r="L6" s="1673"/>
      <c r="M6" s="1673"/>
      <c r="N6" s="1673"/>
      <c r="O6" s="1673"/>
      <c r="P6" s="1673"/>
      <c r="Q6" s="1673"/>
      <c r="R6" s="1673"/>
      <c r="S6" s="1673"/>
    </row>
    <row r="7" spans="1:22">
      <c r="A7" s="2828" t="str">
        <f>'数据-取费表'!AN7</f>
        <v>收益法ACD</v>
      </c>
      <c r="B7" s="2826">
        <f ca="1">IF(F7="是",'数据-取费表'!AO7,0)</f>
        <v>395566</v>
      </c>
      <c r="C7" s="2056" t="s">
        <v>2339</v>
      </c>
      <c r="D7" s="2936"/>
      <c r="E7" s="2830">
        <f>IF(OR(A7=0,F7="否"),0,'数据-取费表'!K7+'数据-取费表'!S7)</f>
        <v>66464.97</v>
      </c>
      <c r="F7" s="2060" t="s">
        <v>2345</v>
      </c>
      <c r="G7" s="1673"/>
      <c r="H7" s="1673"/>
      <c r="I7" s="1673"/>
      <c r="J7" s="1673"/>
      <c r="K7" s="1673"/>
      <c r="L7" s="1673"/>
      <c r="M7" s="1673"/>
      <c r="N7" s="1673"/>
      <c r="O7" s="1673"/>
      <c r="P7" s="1673"/>
      <c r="Q7" s="1673"/>
      <c r="R7" s="1673"/>
      <c r="S7" s="1673"/>
    </row>
    <row r="8" spans="1:22">
      <c r="A8" s="2828">
        <f>'数据-取费表'!AN8</f>
        <v>0</v>
      </c>
      <c r="B8" s="2826" t="e">
        <f ca="1">IF(F8="是",'数据-取费表'!AO8,0)</f>
        <v>#REF!</v>
      </c>
      <c r="C8" s="2056" t="s">
        <v>2339</v>
      </c>
      <c r="D8" s="2936"/>
      <c r="E8" s="2830">
        <f>IF(OR(A8=0,F8="否"),0,'数据-取费表'!K8+'数据-取费表'!S8)</f>
        <v>0</v>
      </c>
      <c r="F8" s="2060" t="s">
        <v>2345</v>
      </c>
      <c r="G8" s="1673"/>
      <c r="H8" s="1673"/>
      <c r="I8" s="1673"/>
      <c r="J8" s="1673"/>
      <c r="K8" s="1673"/>
      <c r="L8" s="1673"/>
      <c r="M8" s="1673"/>
      <c r="N8" s="1673"/>
      <c r="O8" s="1673"/>
      <c r="P8" s="1673"/>
      <c r="Q8" s="1673"/>
      <c r="R8" s="1673"/>
      <c r="S8" s="1673"/>
    </row>
    <row r="9" spans="1:22">
      <c r="A9" s="2828" t="str">
        <f>'数据-取费表'!AN9</f>
        <v>收益法地下商业</v>
      </c>
      <c r="B9" s="2826">
        <f ca="1">IF(F9="是",'数据-取费表'!AO9,0)</f>
        <v>17034</v>
      </c>
      <c r="C9" s="2056" t="s">
        <v>2339</v>
      </c>
      <c r="D9" s="2936"/>
      <c r="E9" s="2830">
        <f>IF(OR(A9=0,F9="否"),0,'数据-取费表'!K9+'数据-取费表'!S9)</f>
        <v>7032.3</v>
      </c>
      <c r="F9" s="2060" t="s">
        <v>2345</v>
      </c>
      <c r="G9" s="1673"/>
      <c r="H9" s="1673"/>
      <c r="I9" s="1673"/>
      <c r="J9" s="1673"/>
      <c r="K9" s="1673"/>
      <c r="L9" s="1673"/>
      <c r="M9" s="1673"/>
      <c r="N9" s="1673"/>
      <c r="O9" s="1673"/>
      <c r="P9" s="1673"/>
      <c r="Q9" s="1673"/>
      <c r="R9" s="1673"/>
      <c r="S9" s="1673"/>
    </row>
    <row r="10" spans="1:22">
      <c r="A10" s="2828">
        <f>'数据-取费表'!AN10</f>
        <v>0</v>
      </c>
      <c r="B10" s="2826" t="e">
        <f ca="1">IF(F10="是",'数据-取费表'!AO10,0)</f>
        <v>#REF!</v>
      </c>
      <c r="C10" s="2056" t="s">
        <v>2339</v>
      </c>
      <c r="D10" s="2936"/>
      <c r="E10" s="2830">
        <f>IF(OR(A10=0,F10="否"),0,'数据-取费表'!K10+'数据-取费表'!S10)</f>
        <v>0</v>
      </c>
      <c r="F10" s="2060" t="s">
        <v>2345</v>
      </c>
      <c r="G10" s="1673"/>
      <c r="H10" s="1673"/>
      <c r="I10" s="1673"/>
      <c r="J10" s="1673"/>
      <c r="K10" s="1673"/>
      <c r="L10" s="1673"/>
      <c r="M10" s="1673"/>
      <c r="N10" s="1673"/>
      <c r="O10" s="1673"/>
      <c r="P10" s="1673"/>
      <c r="Q10" s="1673"/>
      <c r="R10" s="1673"/>
      <c r="S10" s="1673"/>
    </row>
    <row r="11" spans="1:22">
      <c r="A11" s="2828">
        <f>'数据-取费表'!AN11</f>
        <v>0</v>
      </c>
      <c r="B11" s="2826" t="e">
        <f ca="1">IF(F11="是",'数据-取费表'!AO11,0)</f>
        <v>#REF!</v>
      </c>
      <c r="C11" s="2056" t="s">
        <v>2339</v>
      </c>
      <c r="D11" s="2936"/>
      <c r="E11" s="2830">
        <f>IF(OR(A11=0,F11="否"),0,'数据-取费表'!K11+'数据-取费表'!S11)</f>
        <v>0</v>
      </c>
      <c r="F11" s="2060" t="s">
        <v>2345</v>
      </c>
      <c r="G11" s="1673"/>
      <c r="H11" s="1673"/>
      <c r="I11" s="1673"/>
      <c r="J11" s="1673"/>
      <c r="K11" s="1673"/>
      <c r="L11" s="1673"/>
      <c r="M11" s="1673"/>
      <c r="N11" s="1673"/>
      <c r="O11" s="1673"/>
      <c r="P11" s="1673"/>
      <c r="Q11" s="1673"/>
      <c r="R11" s="1673"/>
      <c r="S11" s="1673"/>
    </row>
    <row r="12" spans="1:22">
      <c r="A12" s="2828">
        <f>'数据-取费表'!AN12</f>
        <v>0</v>
      </c>
      <c r="B12" s="2826" t="e">
        <f ca="1">IF(F12="是",'数据-取费表'!AO12,0)</f>
        <v>#REF!</v>
      </c>
      <c r="C12" s="2056" t="s">
        <v>2339</v>
      </c>
      <c r="D12" s="2936"/>
      <c r="E12" s="2830">
        <f>IF(OR(A12=0,F12="否"),0,'数据-取费表'!K12+'数据-取费表'!S12)</f>
        <v>0</v>
      </c>
      <c r="F12" s="2060" t="s">
        <v>2345</v>
      </c>
      <c r="G12" s="1673"/>
      <c r="H12" s="1673"/>
      <c r="I12" s="1673"/>
      <c r="J12" s="1673"/>
      <c r="K12" s="1673"/>
      <c r="L12" s="1673"/>
      <c r="M12" s="1673"/>
      <c r="N12" s="1673"/>
      <c r="O12" s="1673"/>
      <c r="P12" s="1673"/>
      <c r="Q12" s="1673"/>
      <c r="R12" s="1673"/>
      <c r="S12" s="1673"/>
    </row>
    <row r="13" spans="1:22" ht="15" thickBot="1">
      <c r="A13" s="2829">
        <f>'数据-取费表'!AN13</f>
        <v>0</v>
      </c>
      <c r="B13" s="2826" t="e">
        <f ca="1">IF(F13="是",'数据-取费表'!AO13,0)</f>
        <v>#REF!</v>
      </c>
      <c r="C13" s="2061" t="s">
        <v>2339</v>
      </c>
      <c r="D13" s="2937"/>
      <c r="E13" s="2830">
        <f>IF(OR(A13=0,F13="否"),0,'数据-取费表'!K13+'数据-取费表'!S13)</f>
        <v>0</v>
      </c>
      <c r="F13" s="2060" t="s">
        <v>2345</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54" t="s">
        <v>1044</v>
      </c>
      <c r="B1" s="3355"/>
      <c r="C1" s="3356"/>
      <c r="D1" s="3357">
        <f>SUM(I10,I15,I20,I21,I23)</f>
        <v>0</v>
      </c>
      <c r="E1" s="3357"/>
      <c r="F1" s="3357"/>
      <c r="G1" s="3357"/>
      <c r="H1" s="3357"/>
      <c r="I1" s="3358"/>
    </row>
    <row r="2" spans="1:9">
      <c r="A2" s="3359" t="s">
        <v>1045</v>
      </c>
      <c r="B2" s="3360" t="s">
        <v>1046</v>
      </c>
      <c r="C2" s="3360"/>
      <c r="D2" s="1208" t="s">
        <v>1047</v>
      </c>
      <c r="E2" s="1208" t="s">
        <v>1048</v>
      </c>
      <c r="F2" s="1208" t="s">
        <v>1049</v>
      </c>
      <c r="G2" s="1208" t="s">
        <v>1050</v>
      </c>
      <c r="H2" s="1208" t="s">
        <v>1051</v>
      </c>
      <c r="I2" s="1209" t="s">
        <v>1052</v>
      </c>
    </row>
    <row r="3" spans="1:9">
      <c r="A3" s="3359"/>
      <c r="B3" s="3360" t="s">
        <v>1053</v>
      </c>
      <c r="C3" s="3360"/>
      <c r="D3" s="1210"/>
      <c r="E3" s="1208"/>
      <c r="F3" s="1211"/>
      <c r="G3" s="1211"/>
      <c r="H3" s="1212"/>
      <c r="I3" s="1213">
        <f>ROUND(D3*E3*F3*G3*H3/10000,0)</f>
        <v>0</v>
      </c>
    </row>
    <row r="4" spans="1:9">
      <c r="A4" s="3359"/>
      <c r="B4" s="3360" t="s">
        <v>1054</v>
      </c>
      <c r="C4" s="3360"/>
      <c r="D4" s="1210"/>
      <c r="E4" s="1208"/>
      <c r="F4" s="1211"/>
      <c r="G4" s="1211"/>
      <c r="H4" s="1212"/>
      <c r="I4" s="1213">
        <f t="shared" ref="I4:I9" si="0">ROUND(D4*E4*F4*G4*H4/10000,0)</f>
        <v>0</v>
      </c>
    </row>
    <row r="5" spans="1:9">
      <c r="A5" s="3359"/>
      <c r="B5" s="3360" t="s">
        <v>1055</v>
      </c>
      <c r="C5" s="3360"/>
      <c r="D5" s="1210"/>
      <c r="E5" s="1208"/>
      <c r="F5" s="1211"/>
      <c r="G5" s="1211"/>
      <c r="H5" s="1212"/>
      <c r="I5" s="1213">
        <f t="shared" si="0"/>
        <v>0</v>
      </c>
    </row>
    <row r="6" spans="1:9">
      <c r="A6" s="3359"/>
      <c r="B6" s="3360" t="s">
        <v>1056</v>
      </c>
      <c r="C6" s="3360"/>
      <c r="D6" s="1210"/>
      <c r="E6" s="1208"/>
      <c r="F6" s="1211"/>
      <c r="G6" s="1211"/>
      <c r="H6" s="1212"/>
      <c r="I6" s="1213">
        <f t="shared" si="0"/>
        <v>0</v>
      </c>
    </row>
    <row r="7" spans="1:9">
      <c r="A7" s="3359"/>
      <c r="B7" s="3360" t="s">
        <v>1057</v>
      </c>
      <c r="C7" s="3360"/>
      <c r="D7" s="1210"/>
      <c r="E7" s="1208"/>
      <c r="F7" s="1211"/>
      <c r="G7" s="1211"/>
      <c r="H7" s="1212"/>
      <c r="I7" s="1213">
        <f t="shared" si="0"/>
        <v>0</v>
      </c>
    </row>
    <row r="8" spans="1:9">
      <c r="A8" s="3359"/>
      <c r="B8" s="3360" t="s">
        <v>1058</v>
      </c>
      <c r="C8" s="3360"/>
      <c r="D8" s="1210"/>
      <c r="E8" s="1208"/>
      <c r="F8" s="1211"/>
      <c r="G8" s="1211"/>
      <c r="H8" s="1212"/>
      <c r="I8" s="1213">
        <f t="shared" si="0"/>
        <v>0</v>
      </c>
    </row>
    <row r="9" spans="1:9">
      <c r="A9" s="3359"/>
      <c r="B9" s="3360" t="s">
        <v>1059</v>
      </c>
      <c r="C9" s="3360"/>
      <c r="D9" s="1210"/>
      <c r="E9" s="1208"/>
      <c r="F9" s="1211"/>
      <c r="G9" s="1211"/>
      <c r="H9" s="1212"/>
      <c r="I9" s="1213">
        <f t="shared" si="0"/>
        <v>0</v>
      </c>
    </row>
    <row r="10" spans="1:9">
      <c r="A10" s="3359"/>
      <c r="B10" s="3361" t="s">
        <v>1060</v>
      </c>
      <c r="C10" s="3361"/>
      <c r="D10" s="1214"/>
      <c r="E10" s="1214" t="e">
        <f>ROUND(D1*10000/D10/H9,0)</f>
        <v>#DIV/0!</v>
      </c>
      <c r="F10" s="1215"/>
      <c r="G10" s="1215"/>
      <c r="H10" s="1216"/>
      <c r="I10" s="1217">
        <f>SUM(I3:I9)</f>
        <v>0</v>
      </c>
    </row>
    <row r="11" spans="1:9" ht="14.25">
      <c r="A11" s="3359" t="s">
        <v>1061</v>
      </c>
      <c r="B11" s="3360" t="s">
        <v>1062</v>
      </c>
      <c r="C11" s="3360"/>
      <c r="D11" s="1210" t="s">
        <v>1063</v>
      </c>
      <c r="E11" s="1210" t="s">
        <v>1064</v>
      </c>
      <c r="F11" s="1211" t="s">
        <v>1065</v>
      </c>
      <c r="G11" s="1211" t="s">
        <v>1051</v>
      </c>
      <c r="H11" s="1218" t="s">
        <v>1066</v>
      </c>
      <c r="I11" s="1209" t="s">
        <v>1052</v>
      </c>
    </row>
    <row r="12" spans="1:9">
      <c r="A12" s="3359"/>
      <c r="B12" s="3360" t="s">
        <v>1067</v>
      </c>
      <c r="C12" s="3360"/>
      <c r="D12" s="1210"/>
      <c r="E12" s="1210"/>
      <c r="F12" s="1211"/>
      <c r="G12" s="1212"/>
      <c r="H12" s="1219"/>
      <c r="I12" s="1209">
        <f>ROUND(D12*E12*F12*G12/10000,0)</f>
        <v>0</v>
      </c>
    </row>
    <row r="13" spans="1:9">
      <c r="A13" s="3359"/>
      <c r="B13" s="3360" t="s">
        <v>1068</v>
      </c>
      <c r="C13" s="3360"/>
      <c r="D13" s="1210"/>
      <c r="E13" s="1210"/>
      <c r="F13" s="1211"/>
      <c r="G13" s="1212"/>
      <c r="H13" s="1219"/>
      <c r="I13" s="1209">
        <f>ROUND(D13*E13*F13*G13/10000,0)</f>
        <v>0</v>
      </c>
    </row>
    <row r="14" spans="1:9">
      <c r="A14" s="3359"/>
      <c r="B14" s="3360" t="s">
        <v>1069</v>
      </c>
      <c r="C14" s="3360"/>
      <c r="D14" s="1210"/>
      <c r="E14" s="1210"/>
      <c r="F14" s="1211"/>
      <c r="G14" s="1212"/>
      <c r="H14" s="1219"/>
      <c r="I14" s="1209">
        <f>ROUND(D14*E14*F14*G14/10000,0)</f>
        <v>0</v>
      </c>
    </row>
    <row r="15" spans="1:9">
      <c r="A15" s="3359"/>
      <c r="B15" s="3361" t="s">
        <v>1060</v>
      </c>
      <c r="C15" s="3361"/>
      <c r="D15" s="1214"/>
      <c r="E15" s="1214">
        <f>SUM(E12:E14)</f>
        <v>0</v>
      </c>
      <c r="F15" s="1215"/>
      <c r="G15" s="1212"/>
      <c r="H15" s="1219"/>
      <c r="I15" s="1220">
        <f>SUM(I12:I14)</f>
        <v>0</v>
      </c>
    </row>
    <row r="16" spans="1:9" ht="24">
      <c r="A16" s="3359" t="s">
        <v>1070</v>
      </c>
      <c r="B16" s="3360" t="s">
        <v>1071</v>
      </c>
      <c r="C16" s="3360"/>
      <c r="D16" s="1210" t="s">
        <v>1047</v>
      </c>
      <c r="E16" s="1221" t="s">
        <v>1072</v>
      </c>
      <c r="F16" s="1211" t="s">
        <v>1073</v>
      </c>
      <c r="G16" s="1212" t="s">
        <v>1051</v>
      </c>
      <c r="H16" s="1218" t="s">
        <v>1066</v>
      </c>
      <c r="I16" s="1209" t="s">
        <v>1052</v>
      </c>
    </row>
    <row r="17" spans="1:9" ht="14.25">
      <c r="A17" s="3359"/>
      <c r="B17" s="3360" t="s">
        <v>1074</v>
      </c>
      <c r="C17" s="3360"/>
      <c r="D17" s="1210"/>
      <c r="E17" s="1210"/>
      <c r="F17" s="1211"/>
      <c r="G17" s="1212"/>
      <c r="H17" s="1222"/>
      <c r="I17" s="1223">
        <f>ROUND(D17*E17*F17*G17/10000,0)</f>
        <v>0</v>
      </c>
    </row>
    <row r="18" spans="1:9" ht="14.25">
      <c r="A18" s="3359"/>
      <c r="B18" s="3360" t="s">
        <v>1075</v>
      </c>
      <c r="C18" s="3360"/>
      <c r="D18" s="1210"/>
      <c r="E18" s="1210"/>
      <c r="F18" s="1211"/>
      <c r="G18" s="1212"/>
      <c r="H18" s="1222"/>
      <c r="I18" s="1223">
        <f>ROUND(D18*E18*F18*G18/10000,0)</f>
        <v>0</v>
      </c>
    </row>
    <row r="19" spans="1:9" ht="14.25">
      <c r="A19" s="3359"/>
      <c r="B19" s="3360" t="s">
        <v>1076</v>
      </c>
      <c r="C19" s="3360"/>
      <c r="D19" s="1210"/>
      <c r="E19" s="1210"/>
      <c r="F19" s="1211"/>
      <c r="G19" s="1212"/>
      <c r="H19" s="1222"/>
      <c r="I19" s="1223">
        <f>ROUND(D19*E19*F19*G19/10000,0)</f>
        <v>0</v>
      </c>
    </row>
    <row r="20" spans="1:9">
      <c r="A20" s="3359"/>
      <c r="B20" s="3361" t="s">
        <v>1060</v>
      </c>
      <c r="C20" s="3361"/>
      <c r="D20" s="1214">
        <f>SUM(D17:D19)</f>
        <v>0</v>
      </c>
      <c r="E20" s="1214"/>
      <c r="F20" s="1215"/>
      <c r="G20" s="1212"/>
      <c r="H20" s="1219"/>
      <c r="I20" s="1220">
        <f>SUM(I17:I19)</f>
        <v>0</v>
      </c>
    </row>
    <row r="21" spans="1:9">
      <c r="A21" s="3359" t="s">
        <v>1077</v>
      </c>
      <c r="B21" s="3363"/>
      <c r="C21" s="3363"/>
      <c r="D21" s="3363"/>
      <c r="E21" s="3363"/>
      <c r="F21" s="3363"/>
      <c r="G21" s="3363"/>
      <c r="H21" s="1501">
        <v>0.1</v>
      </c>
      <c r="I21" s="1217">
        <f>ROUND(I10*H21,0)</f>
        <v>0</v>
      </c>
    </row>
    <row r="22" spans="1:9" ht="14.25">
      <c r="A22" s="3364" t="s">
        <v>1078</v>
      </c>
      <c r="B22" s="3365"/>
      <c r="C22" s="3366"/>
      <c r="D22" s="1224" t="s">
        <v>1079</v>
      </c>
      <c r="E22" s="1224" t="s">
        <v>1080</v>
      </c>
      <c r="F22" s="1225" t="s">
        <v>1081</v>
      </c>
      <c r="G22" s="1225" t="s">
        <v>1082</v>
      </c>
      <c r="H22" s="1218" t="s">
        <v>1083</v>
      </c>
      <c r="I22" s="1209" t="s">
        <v>1084</v>
      </c>
    </row>
    <row r="23" spans="1:9" ht="14.25" thickBot="1">
      <c r="A23" s="3367"/>
      <c r="B23" s="3368"/>
      <c r="C23" s="3369"/>
      <c r="D23" s="1226"/>
      <c r="E23" s="1226"/>
      <c r="F23" s="1226"/>
      <c r="G23" s="1227"/>
      <c r="H23" s="1228"/>
      <c r="I23" s="1229">
        <f>ROUND(E23*D23*F23*(1-G23)/10000,0)</f>
        <v>0</v>
      </c>
    </row>
    <row r="26" spans="1:9">
      <c r="A26" s="1230" t="s">
        <v>1085</v>
      </c>
      <c r="B26" s="1230"/>
      <c r="C26" s="1230"/>
      <c r="D26" s="1230"/>
      <c r="E26" s="3370">
        <f>C27-C30-C31-C32</f>
        <v>0</v>
      </c>
      <c r="F26" s="3370"/>
      <c r="G26" s="3370"/>
      <c r="H26" s="1498" t="s">
        <v>1306</v>
      </c>
    </row>
    <row r="27" spans="1:9">
      <c r="A27" s="1231">
        <v>1</v>
      </c>
      <c r="B27" s="1232" t="s">
        <v>1086</v>
      </c>
      <c r="C27" s="1232">
        <f>C28+C29</f>
        <v>0</v>
      </c>
      <c r="D27" s="1232"/>
      <c r="E27" s="3371"/>
      <c r="F27" s="3371"/>
      <c r="G27" s="3371"/>
    </row>
    <row r="28" spans="1:9">
      <c r="A28" s="1233" t="s">
        <v>1087</v>
      </c>
      <c r="B28" s="1232" t="s">
        <v>1088</v>
      </c>
      <c r="C28" s="1232"/>
      <c r="D28" s="1232"/>
      <c r="E28" s="3371"/>
      <c r="F28" s="3371"/>
      <c r="G28" s="3371"/>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62"/>
      <c r="F32" s="3362"/>
      <c r="G32" s="3362"/>
    </row>
    <row r="33" spans="1:7" hidden="1">
      <c r="A33" s="3372" t="s">
        <v>1097</v>
      </c>
      <c r="B33" s="3373"/>
      <c r="C33" s="3373"/>
      <c r="D33" s="3374"/>
      <c r="E33" s="3370"/>
      <c r="F33" s="3370"/>
      <c r="G33" s="3370"/>
    </row>
    <row r="34" spans="1:7" hidden="1">
      <c r="A34" s="1235">
        <v>1</v>
      </c>
      <c r="B34" s="1232" t="s">
        <v>1098</v>
      </c>
      <c r="C34" s="1232"/>
      <c r="D34" s="1232"/>
      <c r="E34" s="3371"/>
      <c r="F34" s="3371"/>
      <c r="G34" s="3371"/>
    </row>
    <row r="35" spans="1:7" hidden="1">
      <c r="A35" s="1235">
        <v>2</v>
      </c>
      <c r="B35" s="1232" t="s">
        <v>1099</v>
      </c>
      <c r="C35" s="1232"/>
      <c r="D35" s="1232"/>
      <c r="E35" s="3371"/>
      <c r="F35" s="3371"/>
      <c r="G35" s="3371"/>
    </row>
    <row r="36" spans="1:7" hidden="1">
      <c r="A36" s="1235">
        <v>3</v>
      </c>
      <c r="B36" s="1232" t="s">
        <v>1100</v>
      </c>
      <c r="C36" s="1232"/>
      <c r="D36" s="1232"/>
      <c r="E36" s="3371"/>
      <c r="F36" s="3371"/>
      <c r="G36" s="3371"/>
    </row>
    <row r="37" spans="1:7" hidden="1">
      <c r="A37" s="1235">
        <v>4</v>
      </c>
      <c r="B37" s="1232" t="s">
        <v>1101</v>
      </c>
      <c r="C37" s="1232"/>
      <c r="D37" s="1232"/>
      <c r="E37" s="3371"/>
      <c r="F37" s="3371"/>
      <c r="G37" s="3371"/>
    </row>
    <row r="38" spans="1:7" hidden="1">
      <c r="A38" s="3372" t="s">
        <v>1102</v>
      </c>
      <c r="B38" s="3373"/>
      <c r="C38" s="3373"/>
      <c r="D38" s="3374"/>
      <c r="E38" s="3370"/>
      <c r="F38" s="3370"/>
      <c r="G38" s="33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10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2348</v>
      </c>
      <c r="B1" s="2062" t="s">
        <v>2349</v>
      </c>
      <c r="C1" s="1403" t="s">
        <v>2350</v>
      </c>
      <c r="D1" s="1390"/>
      <c r="E1" s="2542"/>
      <c r="F1" s="2063" t="s">
        <v>2351</v>
      </c>
      <c r="G1" s="1400" t="s">
        <v>2352</v>
      </c>
      <c r="H1" s="1399"/>
      <c r="I1" s="1399"/>
      <c r="J1" s="1399"/>
      <c r="K1" s="1401"/>
      <c r="L1" s="1402"/>
      <c r="M1" s="1403"/>
      <c r="N1" s="1403"/>
      <c r="O1" s="1403"/>
      <c r="P1" s="2064"/>
      <c r="Q1" s="1389"/>
      <c r="R1" s="1389"/>
      <c r="S1" s="1389"/>
      <c r="T1" s="1389"/>
      <c r="U1" s="1389"/>
      <c r="V1" s="1389"/>
      <c r="W1" s="1389"/>
      <c r="X1" s="1389"/>
      <c r="Y1" s="1389"/>
      <c r="Z1" s="1389"/>
      <c r="AA1" s="1389"/>
      <c r="AB1" s="1389"/>
      <c r="AC1" s="1397"/>
    </row>
    <row r="2" spans="1:29" s="351" customFormat="1" ht="28.5" customHeight="1" thickTop="1">
      <c r="A2" s="1386" t="s">
        <v>1359</v>
      </c>
      <c r="B2" s="1323" t="e">
        <f ca="1">IF(C2="——",ROUND(C49*D3/10000,0),ROUND(C49*D3/10000,0)-D2)</f>
        <v>#DIV/0!</v>
      </c>
      <c r="C2" s="2065"/>
      <c r="D2" s="1272" t="e">
        <f ca="1">SUMIF(INDIRECT("'"&amp;F2&amp;"'"&amp;"!A:A"),"承租人权益价值",INDIRECT("'"&amp;F2&amp;"'"&amp;"!c:c"))</f>
        <v>#REF!</v>
      </c>
      <c r="E2" s="2066" t="s">
        <v>2353</v>
      </c>
      <c r="F2" s="2067"/>
      <c r="G2" s="1035"/>
      <c r="H2" s="1035"/>
      <c r="I2" s="1035"/>
      <c r="J2" s="1035"/>
      <c r="K2" s="2068"/>
      <c r="L2" s="2940"/>
      <c r="M2" s="2941"/>
      <c r="N2" s="2941"/>
      <c r="O2" s="2941"/>
      <c r="P2" s="2069"/>
      <c r="Q2" s="2070"/>
      <c r="R2" s="2070"/>
      <c r="S2" s="2070"/>
      <c r="T2" s="2070"/>
      <c r="U2" s="2070"/>
      <c r="V2" s="2070"/>
      <c r="W2" s="2070"/>
      <c r="X2" s="2070"/>
      <c r="Y2" s="2070"/>
      <c r="Z2" s="2070"/>
      <c r="AA2" s="2070"/>
      <c r="AB2" s="2070"/>
      <c r="AC2" s="2071"/>
    </row>
    <row r="3" spans="1:29" s="351" customFormat="1" ht="28.5" customHeight="1" thickBot="1">
      <c r="A3" s="207" t="s">
        <v>1360</v>
      </c>
      <c r="B3" s="357" t="e">
        <f ca="1">IF(C2="——",C49,ROUND(B2*10000/D3,0))</f>
        <v>#DIV/0!</v>
      </c>
      <c r="C3" s="358" t="s">
        <v>2354</v>
      </c>
      <c r="D3" s="357">
        <f>IF(D1="",'数据-汇总表'!E3,SUMIF('数据-汇总表'!$C19:$C33,D1,'数据-汇总表'!$E19:$E33))</f>
        <v>160498.87</v>
      </c>
      <c r="E3" s="1035"/>
      <c r="F3" s="2072"/>
      <c r="G3" s="1035"/>
      <c r="H3" s="1035"/>
      <c r="I3" s="1035"/>
      <c r="J3" s="1035"/>
      <c r="K3" s="2068"/>
      <c r="L3" s="2940"/>
      <c r="M3" s="2941"/>
      <c r="N3" s="2941"/>
      <c r="O3" s="2941"/>
      <c r="P3" s="2069"/>
      <c r="Q3" s="2070"/>
      <c r="R3" s="2070"/>
      <c r="S3" s="2070"/>
      <c r="T3" s="2070"/>
      <c r="U3" s="2070"/>
      <c r="V3" s="2070"/>
      <c r="W3" s="2070"/>
      <c r="X3" s="2070"/>
      <c r="Y3" s="2070"/>
      <c r="Z3" s="2070"/>
      <c r="AA3" s="2070"/>
      <c r="AB3" s="2070"/>
      <c r="AC3" s="1189"/>
    </row>
    <row r="4" spans="1:29" ht="15">
      <c r="A4" s="359" t="s">
        <v>2355</v>
      </c>
      <c r="B4" s="360"/>
      <c r="C4" s="3296" t="s">
        <v>2356</v>
      </c>
      <c r="D4" s="3297"/>
      <c r="E4" s="3298" t="s">
        <v>2357</v>
      </c>
      <c r="F4" s="3299"/>
      <c r="G4" s="3296" t="s">
        <v>2358</v>
      </c>
      <c r="H4" s="3297"/>
      <c r="I4" s="3296" t="s">
        <v>2359</v>
      </c>
      <c r="J4" s="3297"/>
      <c r="K4" s="2073" t="s">
        <v>2360</v>
      </c>
      <c r="L4" s="2942"/>
      <c r="M4" s="2943"/>
      <c r="N4" s="2943"/>
      <c r="O4" s="2943"/>
      <c r="P4" s="3300" t="s">
        <v>2361</v>
      </c>
      <c r="Q4" s="3301"/>
      <c r="R4" s="3283" t="s">
        <v>2357</v>
      </c>
      <c r="S4" s="3284"/>
      <c r="T4" s="3283" t="s">
        <v>2358</v>
      </c>
      <c r="U4" s="3284"/>
      <c r="V4" s="3308" t="s">
        <v>2359</v>
      </c>
      <c r="W4" s="3308"/>
      <c r="X4" s="1538"/>
      <c r="Y4" s="3283" t="s">
        <v>2361</v>
      </c>
      <c r="Z4" s="3284"/>
      <c r="AA4" s="3278" t="s">
        <v>2357</v>
      </c>
      <c r="AB4" s="3278" t="s">
        <v>2358</v>
      </c>
      <c r="AC4" s="3278" t="s">
        <v>2359</v>
      </c>
    </row>
    <row r="5" spans="1:29" ht="15">
      <c r="A5" s="362"/>
      <c r="B5" s="363"/>
      <c r="C5" s="3289" t="s">
        <v>2362</v>
      </c>
      <c r="D5" s="3290"/>
      <c r="E5" s="3287" t="s">
        <v>2363</v>
      </c>
      <c r="F5" s="3288"/>
      <c r="G5" s="3289" t="s">
        <v>2364</v>
      </c>
      <c r="H5" s="3290"/>
      <c r="I5" s="3289" t="s">
        <v>2365</v>
      </c>
      <c r="J5" s="3290"/>
      <c r="K5" s="2074"/>
      <c r="L5" s="2942"/>
      <c r="M5" s="2943"/>
      <c r="N5" s="2943"/>
      <c r="O5" s="2943"/>
      <c r="P5" s="3302"/>
      <c r="Q5" s="3303"/>
      <c r="R5" s="3285"/>
      <c r="S5" s="3286"/>
      <c r="T5" s="3285"/>
      <c r="U5" s="3286"/>
      <c r="V5" s="3308"/>
      <c r="W5" s="3308"/>
      <c r="X5" s="1538"/>
      <c r="Y5" s="3285"/>
      <c r="Z5" s="3286"/>
      <c r="AA5" s="3279"/>
      <c r="AB5" s="3279"/>
      <c r="AC5" s="3279"/>
    </row>
    <row r="6" spans="1:29" ht="15.75" thickBot="1">
      <c r="A6" s="364"/>
      <c r="B6" s="365"/>
      <c r="C6" s="3291" t="s">
        <v>2366</v>
      </c>
      <c r="D6" s="3292"/>
      <c r="E6" s="3293" t="s">
        <v>2366</v>
      </c>
      <c r="F6" s="3294"/>
      <c r="G6" s="3291" t="s">
        <v>2366</v>
      </c>
      <c r="H6" s="3292"/>
      <c r="I6" s="3291" t="s">
        <v>2366</v>
      </c>
      <c r="J6" s="3292"/>
      <c r="K6" s="2074" t="s">
        <v>2367</v>
      </c>
      <c r="L6" s="2942"/>
      <c r="M6" s="2943"/>
      <c r="N6" s="2943"/>
      <c r="O6" s="2943"/>
      <c r="P6" s="3304"/>
      <c r="Q6" s="3305"/>
      <c r="R6" s="3285"/>
      <c r="S6" s="3286"/>
      <c r="T6" s="3306"/>
      <c r="U6" s="3307"/>
      <c r="V6" s="3308"/>
      <c r="W6" s="3308"/>
      <c r="X6" s="1538"/>
      <c r="Y6" s="3306"/>
      <c r="Z6" s="3307"/>
      <c r="AA6" s="3280"/>
      <c r="AB6" s="3280"/>
      <c r="AC6" s="3280"/>
    </row>
    <row r="7" spans="1:29" s="113" customFormat="1" ht="15.75" thickBot="1">
      <c r="A7" s="366" t="s">
        <v>2368</v>
      </c>
      <c r="B7" s="367"/>
      <c r="C7" s="368">
        <f>'数据-取费表'!B2</f>
        <v>44141</v>
      </c>
      <c r="D7" s="369">
        <v>100</v>
      </c>
      <c r="E7" s="370"/>
      <c r="F7" s="371">
        <f>SUMIF(58:58,YEAR(E7)&amp;"-"&amp;MONTH(E7),59:59)</f>
        <v>0</v>
      </c>
      <c r="G7" s="370"/>
      <c r="H7" s="369">
        <f>SUMIF(58:58,YEAR(G7)&amp;"-"&amp;MONTH(G7),59:59)</f>
        <v>0</v>
      </c>
      <c r="I7" s="370"/>
      <c r="J7" s="369">
        <f>SUMIF(58:58,YEAR(I7)&amp;"-"&amp;MONTH(I7),59:59)</f>
        <v>0</v>
      </c>
      <c r="K7" s="2075"/>
      <c r="L7" s="2944"/>
      <c r="M7" s="2945"/>
      <c r="N7" s="2945"/>
      <c r="O7" s="2945"/>
      <c r="P7" s="3281" t="s">
        <v>2369</v>
      </c>
      <c r="Q7" s="3309"/>
      <c r="R7" s="707" t="s">
        <v>23</v>
      </c>
      <c r="S7" s="708">
        <f t="shared" ref="S7:S15" si="0">F7</f>
        <v>0</v>
      </c>
      <c r="T7" s="707" t="s">
        <v>23</v>
      </c>
      <c r="U7" s="708">
        <f t="shared" ref="U7:U15" si="1">H7</f>
        <v>0</v>
      </c>
      <c r="V7" s="707" t="s">
        <v>23</v>
      </c>
      <c r="W7" s="708">
        <f t="shared" ref="W7:W15" si="2">J7</f>
        <v>0</v>
      </c>
      <c r="X7" s="709"/>
      <c r="Y7" s="3281" t="s">
        <v>2369</v>
      </c>
      <c r="Z7" s="3282"/>
      <c r="AA7" s="710" t="e">
        <f>D7/F7</f>
        <v>#DIV/0!</v>
      </c>
      <c r="AB7" s="710" t="e">
        <f>D7/H7</f>
        <v>#DIV/0!</v>
      </c>
      <c r="AC7" s="710" t="e">
        <f>D7/J7</f>
        <v>#DIV/0!</v>
      </c>
    </row>
    <row r="8" spans="1:29" s="113" customFormat="1" ht="15.75" thickBot="1">
      <c r="A8" s="366" t="s">
        <v>2370</v>
      </c>
      <c r="B8" s="367"/>
      <c r="C8" s="372" t="s">
        <v>2371</v>
      </c>
      <c r="D8" s="369">
        <v>100</v>
      </c>
      <c r="E8" s="2076"/>
      <c r="F8" s="371">
        <f>SUMIF(61:61,E8,62:62)-SUMIF(61:61,C8,62:62)+100</f>
        <v>0</v>
      </c>
      <c r="G8" s="372"/>
      <c r="H8" s="369">
        <f>SUMIF(61:61,G8,62:62)-SUMIF(61:61,C8,62:62)+100</f>
        <v>0</v>
      </c>
      <c r="I8" s="2076"/>
      <c r="J8" s="369">
        <f>SUMIF(61:61,I8,62:62)-SUMIF(61:61,C8,62:62)+100</f>
        <v>0</v>
      </c>
      <c r="K8" s="2075"/>
      <c r="L8" s="2944"/>
      <c r="M8" s="2945"/>
      <c r="N8" s="2945"/>
      <c r="O8" s="2945"/>
      <c r="P8" s="3281" t="s">
        <v>2372</v>
      </c>
      <c r="Q8" s="3282"/>
      <c r="R8" s="707" t="s">
        <v>23</v>
      </c>
      <c r="S8" s="708">
        <f t="shared" si="0"/>
        <v>0</v>
      </c>
      <c r="T8" s="707" t="s">
        <v>23</v>
      </c>
      <c r="U8" s="708">
        <f t="shared" si="1"/>
        <v>0</v>
      </c>
      <c r="V8" s="707" t="s">
        <v>23</v>
      </c>
      <c r="W8" s="708">
        <f t="shared" si="2"/>
        <v>0</v>
      </c>
      <c r="X8" s="709"/>
      <c r="Y8" s="3281" t="s">
        <v>2372</v>
      </c>
      <c r="Z8" s="3282"/>
      <c r="AA8" s="710" t="e">
        <f t="shared" ref="AA8:AA19" si="3">D8/F8</f>
        <v>#DIV/0!</v>
      </c>
      <c r="AB8" s="710" t="e">
        <f t="shared" ref="AB8:AB19" si="4">D8/H8</f>
        <v>#DIV/0!</v>
      </c>
      <c r="AC8" s="710" t="e">
        <f t="shared" ref="AC8:AC19" si="5">D8/J8</f>
        <v>#DIV/0!</v>
      </c>
    </row>
    <row r="9" spans="1:29" s="113" customFormat="1">
      <c r="A9" s="373" t="s">
        <v>2373</v>
      </c>
      <c r="B9" s="67" t="s">
        <v>2374</v>
      </c>
      <c r="C9" s="374"/>
      <c r="D9" s="129">
        <v>100</v>
      </c>
      <c r="E9" s="375"/>
      <c r="F9" s="376">
        <f>SUMIF(63:63,E9,64:64)-SUMIF(63:63,C9,64:64)+100</f>
        <v>100</v>
      </c>
      <c r="G9" s="377"/>
      <c r="H9" s="129">
        <f>SUMIF(63:63,G9,64:64)-SUMIF(63:63,C9,64:64)+100</f>
        <v>100</v>
      </c>
      <c r="I9" s="377"/>
      <c r="J9" s="129">
        <f>SUMIF(63:63,I9,64:64)-SUMIF(63:63,C9,64:64)+100</f>
        <v>100</v>
      </c>
      <c r="K9" s="2075"/>
      <c r="L9" s="2944"/>
      <c r="M9" s="2945"/>
      <c r="N9" s="2945"/>
      <c r="O9" s="2945"/>
      <c r="P9" s="3319" t="s">
        <v>2375</v>
      </c>
      <c r="Q9" s="1526" t="str">
        <f t="shared" ref="Q9:Q15" si="6">B9</f>
        <v>用途</v>
      </c>
      <c r="R9" s="707" t="s">
        <v>17</v>
      </c>
      <c r="S9" s="708">
        <f t="shared" si="0"/>
        <v>100</v>
      </c>
      <c r="T9" s="707" t="s">
        <v>17</v>
      </c>
      <c r="U9" s="708">
        <f t="shared" si="1"/>
        <v>100</v>
      </c>
      <c r="V9" s="707" t="s">
        <v>17</v>
      </c>
      <c r="W9" s="708">
        <f t="shared" si="2"/>
        <v>100</v>
      </c>
      <c r="X9" s="709"/>
      <c r="Y9" s="3251" t="s">
        <v>2376</v>
      </c>
      <c r="Z9" s="55" t="str">
        <f t="shared" ref="Z9:Z15" si="7">Q9</f>
        <v>用途</v>
      </c>
      <c r="AA9" s="710">
        <f t="shared" si="3"/>
        <v>1</v>
      </c>
      <c r="AB9" s="710">
        <f t="shared" si="4"/>
        <v>1</v>
      </c>
      <c r="AC9" s="710">
        <f t="shared" si="5"/>
        <v>1</v>
      </c>
    </row>
    <row r="10" spans="1:29" s="384" customFormat="1" ht="27">
      <c r="A10" s="378"/>
      <c r="B10" s="379" t="s">
        <v>2377</v>
      </c>
      <c r="C10" s="380"/>
      <c r="D10" s="130">
        <v>100</v>
      </c>
      <c r="E10" s="381"/>
      <c r="F10" s="382">
        <f>SUMIF(65:65,E10,66:66)-SUMIF(65:65,C10,66:66)+100</f>
        <v>100</v>
      </c>
      <c r="G10" s="380"/>
      <c r="H10" s="130">
        <f>SUMIF(65:65,G10,66:66)-SUMIF(65:65,C10,66:66)+100</f>
        <v>100</v>
      </c>
      <c r="I10" s="380"/>
      <c r="J10" s="130">
        <f>SUMIF(65:65,I10,66:66)-SUMIF(65:65,C10,66:66)+100</f>
        <v>100</v>
      </c>
      <c r="K10" s="383"/>
      <c r="L10" s="2946"/>
      <c r="M10" s="2947"/>
      <c r="N10" s="2947"/>
      <c r="O10" s="2947"/>
      <c r="P10" s="3319"/>
      <c r="Q10" s="1526" t="str">
        <f t="shared" si="6"/>
        <v>土地使用年限（年）</v>
      </c>
      <c r="R10" s="707" t="s">
        <v>17</v>
      </c>
      <c r="S10" s="708">
        <f t="shared" si="0"/>
        <v>100</v>
      </c>
      <c r="T10" s="707" t="s">
        <v>17</v>
      </c>
      <c r="U10" s="708">
        <f t="shared" si="1"/>
        <v>100</v>
      </c>
      <c r="V10" s="707" t="s">
        <v>17</v>
      </c>
      <c r="W10" s="708">
        <f t="shared" si="2"/>
        <v>100</v>
      </c>
      <c r="X10" s="709"/>
      <c r="Y10" s="3251"/>
      <c r="Z10" s="55" t="str">
        <f t="shared" si="7"/>
        <v>土地使用年限（年）</v>
      </c>
      <c r="AA10" s="710">
        <f t="shared" si="3"/>
        <v>1</v>
      </c>
      <c r="AB10" s="710">
        <f t="shared" si="4"/>
        <v>1</v>
      </c>
      <c r="AC10" s="710">
        <f t="shared" si="5"/>
        <v>1</v>
      </c>
    </row>
    <row r="11" spans="1:29" ht="15">
      <c r="A11" s="385"/>
      <c r="B11" s="379" t="s">
        <v>2378</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48"/>
      <c r="M11" s="2943"/>
      <c r="N11" s="2943"/>
      <c r="O11" s="2943"/>
      <c r="P11" s="3319"/>
      <c r="Q11" s="1526" t="str">
        <f t="shared" si="6"/>
        <v>容积率</v>
      </c>
      <c r="R11" s="707" t="s">
        <v>21</v>
      </c>
      <c r="S11" s="708" t="e">
        <f t="shared" si="0"/>
        <v>#N/A</v>
      </c>
      <c r="T11" s="707" t="s">
        <v>21</v>
      </c>
      <c r="U11" s="708" t="e">
        <f t="shared" si="1"/>
        <v>#N/A</v>
      </c>
      <c r="V11" s="707" t="s">
        <v>21</v>
      </c>
      <c r="W11" s="708" t="e">
        <f t="shared" si="2"/>
        <v>#N/A</v>
      </c>
      <c r="X11" s="709"/>
      <c r="Y11" s="3251"/>
      <c r="Z11" s="55" t="str">
        <f t="shared" si="7"/>
        <v>容积率</v>
      </c>
      <c r="AA11" s="710" t="e">
        <f t="shared" si="3"/>
        <v>#N/A</v>
      </c>
      <c r="AB11" s="710" t="e">
        <f t="shared" si="4"/>
        <v>#N/A</v>
      </c>
      <c r="AC11" s="710" t="e">
        <f t="shared" si="5"/>
        <v>#N/A</v>
      </c>
    </row>
    <row r="12" spans="1:29" s="113" customFormat="1" ht="15">
      <c r="A12" s="388"/>
      <c r="B12" s="2077">
        <v>111</v>
      </c>
      <c r="C12" s="389"/>
      <c r="D12" s="390">
        <v>100</v>
      </c>
      <c r="E12" s="389"/>
      <c r="F12" s="382">
        <f>SUMIF(70:70,E12,71:71)-SUMIF(70:70,C12,71:71)+100</f>
        <v>100</v>
      </c>
      <c r="G12" s="389"/>
      <c r="H12" s="130">
        <f>SUMIF(70:70,G12,71:71)-SUMIF(70:70,C12,71:71)+100</f>
        <v>100</v>
      </c>
      <c r="I12" s="389"/>
      <c r="J12" s="130">
        <f>SUMIF(70:70,I12,71:71)-SUMIF(70:70,C12,71:71)+100</f>
        <v>100</v>
      </c>
      <c r="K12" s="2078"/>
      <c r="L12" s="2944"/>
      <c r="M12" s="2945"/>
      <c r="N12" s="2945"/>
      <c r="O12" s="2945"/>
      <c r="P12" s="3319"/>
      <c r="Q12" s="1526">
        <f t="shared" si="6"/>
        <v>111</v>
      </c>
      <c r="R12" s="707" t="s">
        <v>21</v>
      </c>
      <c r="S12" s="708">
        <f t="shared" si="0"/>
        <v>100</v>
      </c>
      <c r="T12" s="707" t="s">
        <v>21</v>
      </c>
      <c r="U12" s="708">
        <f t="shared" si="1"/>
        <v>100</v>
      </c>
      <c r="V12" s="707" t="s">
        <v>21</v>
      </c>
      <c r="W12" s="708">
        <f t="shared" si="2"/>
        <v>100</v>
      </c>
      <c r="X12" s="709"/>
      <c r="Y12" s="3251"/>
      <c r="Z12" s="55">
        <f t="shared" si="7"/>
        <v>111</v>
      </c>
      <c r="AA12" s="710">
        <f>D12/F12</f>
        <v>1</v>
      </c>
      <c r="AB12" s="710">
        <f>D12/H12</f>
        <v>1</v>
      </c>
      <c r="AC12" s="710">
        <f>D12/J12</f>
        <v>1</v>
      </c>
    </row>
    <row r="13" spans="1:29" ht="15">
      <c r="A13" s="385"/>
      <c r="B13" s="2077">
        <v>111</v>
      </c>
      <c r="C13" s="391"/>
      <c r="D13" s="392">
        <v>100</v>
      </c>
      <c r="E13" s="391"/>
      <c r="F13" s="382">
        <f>SUMIF(72:72,E13,73:73)-SUMIF(72:72,C13,73:73)+100</f>
        <v>100</v>
      </c>
      <c r="G13" s="391"/>
      <c r="H13" s="392">
        <f>SUMIF(72:72,G13,73:73)-SUMIF(72:72,C13,73:73)+100</f>
        <v>100</v>
      </c>
      <c r="I13" s="391"/>
      <c r="J13" s="392">
        <f>SUMIF(72:72,I13,73:73)-SUMIF(72:72,C13,73:73)+100</f>
        <v>100</v>
      </c>
      <c r="K13" s="2078"/>
      <c r="L13" s="2949"/>
      <c r="M13" s="2943"/>
      <c r="N13" s="2943"/>
      <c r="O13" s="2943"/>
      <c r="P13" s="3319"/>
      <c r="Q13" s="1526">
        <f t="shared" si="6"/>
        <v>111</v>
      </c>
      <c r="R13" s="707" t="s">
        <v>21</v>
      </c>
      <c r="S13" s="708">
        <f t="shared" si="0"/>
        <v>100</v>
      </c>
      <c r="T13" s="707" t="s">
        <v>21</v>
      </c>
      <c r="U13" s="708">
        <f t="shared" si="1"/>
        <v>100</v>
      </c>
      <c r="V13" s="707" t="s">
        <v>21</v>
      </c>
      <c r="W13" s="708">
        <f t="shared" si="2"/>
        <v>100</v>
      </c>
      <c r="X13" s="709"/>
      <c r="Y13" s="3251"/>
      <c r="Z13" s="55">
        <f t="shared" si="7"/>
        <v>111</v>
      </c>
      <c r="AA13" s="710">
        <f t="shared" si="3"/>
        <v>1</v>
      </c>
      <c r="AB13" s="710">
        <f t="shared" si="4"/>
        <v>1</v>
      </c>
      <c r="AC13" s="710">
        <f t="shared" si="5"/>
        <v>1</v>
      </c>
    </row>
    <row r="14" spans="1:29" ht="15.75" thickBot="1">
      <c r="A14" s="393"/>
      <c r="B14" s="2079">
        <v>111</v>
      </c>
      <c r="C14" s="394"/>
      <c r="D14" s="395">
        <v>100</v>
      </c>
      <c r="E14" s="394"/>
      <c r="F14" s="396">
        <f>SUMIF(74:74,E14,75:75)-SUMIF(74:74,C14,75:75)+100</f>
        <v>100</v>
      </c>
      <c r="G14" s="394"/>
      <c r="H14" s="395">
        <f>SUMIF(74:74,G14,75:75)-SUMIF(74:74,C14,75:75)+100</f>
        <v>100</v>
      </c>
      <c r="I14" s="394"/>
      <c r="J14" s="395">
        <f>SUMIF(74:74,I14,75:75)-SUMIF(74:74,C14,75:75)+100</f>
        <v>100</v>
      </c>
      <c r="K14" s="2078"/>
      <c r="L14" s="2949"/>
      <c r="M14" s="2943"/>
      <c r="N14" s="2943"/>
      <c r="O14" s="2943"/>
      <c r="P14" s="3319"/>
      <c r="Q14" s="1526">
        <f t="shared" si="6"/>
        <v>111</v>
      </c>
      <c r="R14" s="707" t="s">
        <v>21</v>
      </c>
      <c r="S14" s="708">
        <f t="shared" si="0"/>
        <v>100</v>
      </c>
      <c r="T14" s="707" t="s">
        <v>21</v>
      </c>
      <c r="U14" s="708">
        <f t="shared" si="1"/>
        <v>100</v>
      </c>
      <c r="V14" s="707" t="s">
        <v>21</v>
      </c>
      <c r="W14" s="708">
        <f t="shared" si="2"/>
        <v>100</v>
      </c>
      <c r="X14" s="709"/>
      <c r="Y14" s="3251"/>
      <c r="Z14" s="55">
        <f t="shared" si="7"/>
        <v>111</v>
      </c>
      <c r="AA14" s="710">
        <f t="shared" si="3"/>
        <v>1</v>
      </c>
      <c r="AB14" s="710">
        <f t="shared" si="4"/>
        <v>1</v>
      </c>
      <c r="AC14" s="710">
        <f t="shared" si="5"/>
        <v>1</v>
      </c>
    </row>
    <row r="15" spans="1:29" ht="99.75">
      <c r="A15" s="397" t="s">
        <v>2379</v>
      </c>
      <c r="B15" s="65" t="s">
        <v>1945</v>
      </c>
      <c r="C15" s="2080"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49"/>
      <c r="M15" s="2943"/>
      <c r="N15" s="2943"/>
      <c r="O15" s="2943"/>
      <c r="P15" s="3381" t="s">
        <v>2380</v>
      </c>
      <c r="Q15" s="1535" t="str">
        <f t="shared" si="6"/>
        <v>居住社区成熟度</v>
      </c>
      <c r="R15" s="711" t="s">
        <v>21</v>
      </c>
      <c r="S15" s="712">
        <f t="shared" si="0"/>
        <v>100</v>
      </c>
      <c r="T15" s="711" t="s">
        <v>21</v>
      </c>
      <c r="U15" s="712">
        <f t="shared" si="1"/>
        <v>100</v>
      </c>
      <c r="V15" s="711" t="s">
        <v>21</v>
      </c>
      <c r="W15" s="712">
        <f t="shared" si="2"/>
        <v>100</v>
      </c>
      <c r="X15" s="1538"/>
      <c r="Y15" s="3310" t="s">
        <v>2380</v>
      </c>
      <c r="Z15" s="1539" t="str">
        <f t="shared" si="7"/>
        <v>居住社区成熟度</v>
      </c>
      <c r="AA15" s="1536">
        <f t="shared" si="3"/>
        <v>1</v>
      </c>
      <c r="AB15" s="1536">
        <f t="shared" si="4"/>
        <v>1</v>
      </c>
      <c r="AC15" s="1536">
        <f t="shared" si="5"/>
        <v>1</v>
      </c>
    </row>
    <row r="16" spans="1:29" ht="15">
      <c r="A16" s="385"/>
      <c r="B16" s="403"/>
      <c r="C16" s="404"/>
      <c r="D16" s="405"/>
      <c r="E16" s="2081"/>
      <c r="F16" s="405"/>
      <c r="G16" s="2082"/>
      <c r="H16" s="407"/>
      <c r="I16" s="2082"/>
      <c r="J16" s="405"/>
      <c r="K16" s="2083"/>
      <c r="L16" s="2949"/>
      <c r="M16" s="2943"/>
      <c r="N16" s="2943"/>
      <c r="O16" s="2943"/>
      <c r="P16" s="3382"/>
      <c r="Q16" s="1535"/>
      <c r="R16" s="711"/>
      <c r="S16" s="712"/>
      <c r="T16" s="711"/>
      <c r="U16" s="712"/>
      <c r="V16" s="711"/>
      <c r="W16" s="712"/>
      <c r="X16" s="1538"/>
      <c r="Y16" s="3311"/>
      <c r="Z16" s="1539"/>
      <c r="AA16" s="1536">
        <v>1</v>
      </c>
      <c r="AB16" s="1536">
        <v>1</v>
      </c>
      <c r="AC16" s="1536">
        <v>1</v>
      </c>
    </row>
    <row r="17" spans="1:29" ht="85.5">
      <c r="A17" s="385"/>
      <c r="B17" s="408" t="s">
        <v>1947</v>
      </c>
      <c r="C17" s="2084"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49"/>
      <c r="M17" s="2943"/>
      <c r="N17" s="2943"/>
      <c r="O17" s="2943"/>
      <c r="P17" s="3382"/>
      <c r="Q17" s="1535" t="str">
        <f>B17</f>
        <v>交通便捷度</v>
      </c>
      <c r="R17" s="711" t="s">
        <v>21</v>
      </c>
      <c r="S17" s="712">
        <f>F17</f>
        <v>100</v>
      </c>
      <c r="T17" s="711" t="s">
        <v>21</v>
      </c>
      <c r="U17" s="712">
        <f>H17</f>
        <v>100</v>
      </c>
      <c r="V17" s="711" t="s">
        <v>21</v>
      </c>
      <c r="W17" s="712">
        <f>J17</f>
        <v>100</v>
      </c>
      <c r="X17" s="1538"/>
      <c r="Y17" s="3311"/>
      <c r="Z17" s="1539" t="str">
        <f>Q17</f>
        <v>交通便捷度</v>
      </c>
      <c r="AA17" s="1536">
        <f t="shared" si="3"/>
        <v>1</v>
      </c>
      <c r="AB17" s="1536">
        <f t="shared" si="4"/>
        <v>1</v>
      </c>
      <c r="AC17" s="1536">
        <f t="shared" si="5"/>
        <v>1</v>
      </c>
    </row>
    <row r="18" spans="1:29" ht="15">
      <c r="A18" s="385"/>
      <c r="B18" s="413"/>
      <c r="C18" s="2085"/>
      <c r="D18" s="407"/>
      <c r="E18" s="2086"/>
      <c r="F18" s="407"/>
      <c r="G18" s="2087"/>
      <c r="H18" s="405"/>
      <c r="I18" s="2087"/>
      <c r="J18" s="405"/>
      <c r="K18" s="2083"/>
      <c r="L18" s="2949"/>
      <c r="M18" s="2943"/>
      <c r="N18" s="2943"/>
      <c r="O18" s="2943"/>
      <c r="P18" s="3382"/>
      <c r="Q18" s="1535"/>
      <c r="R18" s="711"/>
      <c r="S18" s="712"/>
      <c r="T18" s="711"/>
      <c r="U18" s="712"/>
      <c r="V18" s="711"/>
      <c r="W18" s="712"/>
      <c r="X18" s="1538"/>
      <c r="Y18" s="3311"/>
      <c r="Z18" s="1539"/>
      <c r="AA18" s="1536">
        <v>1</v>
      </c>
      <c r="AB18" s="1536">
        <v>1</v>
      </c>
      <c r="AC18" s="1536">
        <v>1</v>
      </c>
    </row>
    <row r="19" spans="1:29" ht="42.75">
      <c r="A19" s="385"/>
      <c r="B19" s="408" t="s">
        <v>1946</v>
      </c>
      <c r="C19" s="2084"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49"/>
      <c r="M19" s="2943"/>
      <c r="N19" s="2943"/>
      <c r="O19" s="2943"/>
      <c r="P19" s="3382"/>
      <c r="Q19" s="1535" t="str">
        <f>B19</f>
        <v>公共配套设施</v>
      </c>
      <c r="R19" s="711" t="s">
        <v>21</v>
      </c>
      <c r="S19" s="712">
        <f>F19</f>
        <v>100</v>
      </c>
      <c r="T19" s="711" t="s">
        <v>21</v>
      </c>
      <c r="U19" s="712">
        <f>H19</f>
        <v>100</v>
      </c>
      <c r="V19" s="711" t="s">
        <v>21</v>
      </c>
      <c r="W19" s="712">
        <f>J19</f>
        <v>100</v>
      </c>
      <c r="X19" s="1538"/>
      <c r="Y19" s="3311"/>
      <c r="Z19" s="1539" t="str">
        <f>Q19</f>
        <v>公共配套设施</v>
      </c>
      <c r="AA19" s="1536">
        <f t="shared" si="3"/>
        <v>1</v>
      </c>
      <c r="AB19" s="1536">
        <f t="shared" si="4"/>
        <v>1</v>
      </c>
      <c r="AC19" s="1536">
        <f t="shared" si="5"/>
        <v>1</v>
      </c>
    </row>
    <row r="20" spans="1:29" ht="15">
      <c r="A20" s="385"/>
      <c r="B20" s="413"/>
      <c r="C20" s="404"/>
      <c r="D20" s="405"/>
      <c r="E20" s="2081"/>
      <c r="F20" s="405"/>
      <c r="G20" s="2082"/>
      <c r="H20" s="405"/>
      <c r="I20" s="2082"/>
      <c r="J20" s="405"/>
      <c r="K20" s="2083"/>
      <c r="L20" s="2949"/>
      <c r="M20" s="2943"/>
      <c r="N20" s="2943"/>
      <c r="O20" s="2943"/>
      <c r="P20" s="3382"/>
      <c r="Q20" s="1535"/>
      <c r="R20" s="711"/>
      <c r="S20" s="712"/>
      <c r="T20" s="711"/>
      <c r="U20" s="712"/>
      <c r="V20" s="711"/>
      <c r="W20" s="712"/>
      <c r="X20" s="1538"/>
      <c r="Y20" s="3311"/>
      <c r="Z20" s="1539"/>
      <c r="AA20" s="1536">
        <v>1</v>
      </c>
      <c r="AB20" s="1536">
        <v>1</v>
      </c>
      <c r="AC20" s="1536">
        <v>1</v>
      </c>
    </row>
    <row r="21" spans="1:29" ht="28.5">
      <c r="A21" s="385"/>
      <c r="B21" s="1290" t="s">
        <v>1948</v>
      </c>
      <c r="C21" s="2084"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49"/>
      <c r="M21" s="2943"/>
      <c r="N21" s="2943"/>
      <c r="O21" s="2943"/>
      <c r="P21" s="3382"/>
      <c r="Q21" s="1535" t="str">
        <f>B21</f>
        <v>基础设施水平</v>
      </c>
      <c r="R21" s="711" t="s">
        <v>17</v>
      </c>
      <c r="S21" s="712">
        <f>F21</f>
        <v>100</v>
      </c>
      <c r="T21" s="711" t="s">
        <v>17</v>
      </c>
      <c r="U21" s="712">
        <f>H21</f>
        <v>100</v>
      </c>
      <c r="V21" s="711" t="s">
        <v>17</v>
      </c>
      <c r="W21" s="712">
        <f>J21</f>
        <v>100</v>
      </c>
      <c r="X21" s="1538"/>
      <c r="Y21" s="3311"/>
      <c r="Z21" s="1539" t="str">
        <f>Q21</f>
        <v>基础设施水平</v>
      </c>
      <c r="AA21" s="1536">
        <f t="shared" ref="AA21" si="8">D21/F21</f>
        <v>1</v>
      </c>
      <c r="AB21" s="1536">
        <f t="shared" ref="AB21" si="9">D21/H21</f>
        <v>1</v>
      </c>
      <c r="AC21" s="1536">
        <f t="shared" ref="AC21" si="10">D21/J21</f>
        <v>1</v>
      </c>
    </row>
    <row r="22" spans="1:29" ht="15">
      <c r="A22" s="385"/>
      <c r="B22" s="1290"/>
      <c r="C22" s="2085"/>
      <c r="D22" s="405"/>
      <c r="E22" s="404"/>
      <c r="F22" s="405"/>
      <c r="G22" s="2088"/>
      <c r="H22" s="405"/>
      <c r="I22" s="404"/>
      <c r="J22" s="405"/>
      <c r="K22" s="2089"/>
      <c r="L22" s="2949"/>
      <c r="M22" s="2943"/>
      <c r="N22" s="2943"/>
      <c r="O22" s="2943"/>
      <c r="P22" s="3382"/>
      <c r="Q22" s="1535"/>
      <c r="R22" s="711"/>
      <c r="S22" s="712"/>
      <c r="T22" s="711"/>
      <c r="U22" s="712"/>
      <c r="V22" s="711"/>
      <c r="W22" s="712"/>
      <c r="X22" s="1538"/>
      <c r="Y22" s="3311"/>
      <c r="Z22" s="1539"/>
      <c r="AA22" s="1536">
        <v>1</v>
      </c>
      <c r="AB22" s="1536">
        <v>1</v>
      </c>
      <c r="AC22" s="1536">
        <v>1</v>
      </c>
    </row>
    <row r="23" spans="1:29" ht="57">
      <c r="A23" s="385"/>
      <c r="B23" s="408" t="s">
        <v>1949</v>
      </c>
      <c r="C23" s="2084"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49"/>
      <c r="M23" s="2943"/>
      <c r="N23" s="2943"/>
      <c r="O23" s="2943"/>
      <c r="P23" s="3382"/>
      <c r="Q23" s="1535" t="str">
        <f>B23</f>
        <v>自然及人文环境</v>
      </c>
      <c r="R23" s="711" t="s">
        <v>21</v>
      </c>
      <c r="S23" s="712">
        <f>F23</f>
        <v>100</v>
      </c>
      <c r="T23" s="711" t="s">
        <v>21</v>
      </c>
      <c r="U23" s="712">
        <f>H23</f>
        <v>100</v>
      </c>
      <c r="V23" s="711" t="s">
        <v>21</v>
      </c>
      <c r="W23" s="712">
        <f>J23</f>
        <v>100</v>
      </c>
      <c r="X23" s="1538"/>
      <c r="Y23" s="3311"/>
      <c r="Z23" s="1539" t="str">
        <f>Q23</f>
        <v>自然及人文环境</v>
      </c>
      <c r="AA23" s="1536">
        <f>D23/F23</f>
        <v>1</v>
      </c>
      <c r="AB23" s="1536">
        <f>D23/H23</f>
        <v>1</v>
      </c>
      <c r="AC23" s="1536">
        <f>D23/J23</f>
        <v>1</v>
      </c>
    </row>
    <row r="24" spans="1:29" ht="15">
      <c r="A24" s="385"/>
      <c r="B24" s="413"/>
      <c r="C24" s="404"/>
      <c r="D24" s="405"/>
      <c r="E24" s="2081"/>
      <c r="F24" s="405"/>
      <c r="G24" s="2082"/>
      <c r="H24" s="405"/>
      <c r="I24" s="2082"/>
      <c r="J24" s="405"/>
      <c r="K24" s="2083"/>
      <c r="L24" s="2949"/>
      <c r="M24" s="2943"/>
      <c r="N24" s="2943"/>
      <c r="O24" s="2943"/>
      <c r="P24" s="3382"/>
      <c r="Q24" s="1535"/>
      <c r="R24" s="711"/>
      <c r="S24" s="712"/>
      <c r="T24" s="711"/>
      <c r="U24" s="712"/>
      <c r="V24" s="711"/>
      <c r="W24" s="712"/>
      <c r="X24" s="1538"/>
      <c r="Y24" s="3311"/>
      <c r="Z24" s="1539"/>
      <c r="AA24" s="1536">
        <v>1</v>
      </c>
      <c r="AB24" s="1536">
        <v>1</v>
      </c>
      <c r="AC24" s="1536">
        <v>1</v>
      </c>
    </row>
    <row r="25" spans="1:29" ht="15">
      <c r="A25" s="385"/>
      <c r="B25" s="379" t="s">
        <v>2381</v>
      </c>
      <c r="C25" s="417"/>
      <c r="D25" s="392">
        <v>100</v>
      </c>
      <c r="E25" s="2090"/>
      <c r="F25" s="392">
        <f>SUMIF(86:86,E25,87:87)-SUMIF(86:86,C25,87:87)+100</f>
        <v>100</v>
      </c>
      <c r="G25" s="2091"/>
      <c r="H25" s="392">
        <f>SUMIF(86:86,G25,87:87)-SUMIF(86:86,C25,87:87)+100</f>
        <v>100</v>
      </c>
      <c r="I25" s="2091"/>
      <c r="J25" s="392">
        <f>SUMIF(86:86,I25,87:87)-SUMIF(86:86,C25,87:87)+100</f>
        <v>100</v>
      </c>
      <c r="K25" s="383"/>
      <c r="L25" s="2949"/>
      <c r="M25" s="2943"/>
      <c r="N25" s="2943"/>
      <c r="O25" s="2943"/>
      <c r="P25" s="3382"/>
      <c r="Q25" s="1535" t="str">
        <f t="shared" ref="Q25:Q46" si="11">B25</f>
        <v>楼层-1</v>
      </c>
      <c r="R25" s="711" t="s">
        <v>21</v>
      </c>
      <c r="S25" s="712">
        <f t="shared" ref="S25:S46" si="12">F25</f>
        <v>100</v>
      </c>
      <c r="T25" s="711" t="s">
        <v>21</v>
      </c>
      <c r="U25" s="712">
        <f t="shared" ref="U25:U46" si="13">H25</f>
        <v>100</v>
      </c>
      <c r="V25" s="711" t="s">
        <v>21</v>
      </c>
      <c r="W25" s="712">
        <f t="shared" ref="W25:W46" si="14">J25</f>
        <v>100</v>
      </c>
      <c r="X25" s="1538"/>
      <c r="Y25" s="3311"/>
      <c r="Z25" s="1539" t="str">
        <f>Q25</f>
        <v>楼层-1</v>
      </c>
      <c r="AA25" s="1536">
        <f t="shared" ref="AA25:AA46" si="15">D25/F25</f>
        <v>1</v>
      </c>
      <c r="AB25" s="1536">
        <f t="shared" ref="AB25:AB46" si="16">D25/H25</f>
        <v>1</v>
      </c>
      <c r="AC25" s="1536">
        <f t="shared" ref="AC25:AC46" si="17">D25/J25</f>
        <v>1</v>
      </c>
    </row>
    <row r="26" spans="1:29" ht="15">
      <c r="A26" s="385"/>
      <c r="B26" s="379" t="s">
        <v>2382</v>
      </c>
      <c r="C26" s="417"/>
      <c r="D26" s="392">
        <v>100</v>
      </c>
      <c r="E26" s="2090"/>
      <c r="F26" s="392">
        <f>SUMIF(88:88,E26,89:89)-SUMIF(88:88,C26,89:89)+100</f>
        <v>100</v>
      </c>
      <c r="G26" s="2091"/>
      <c r="H26" s="392">
        <f>SUMIF(88:88,G26,89:89)-SUMIF(88:88,C26,89:89)+100</f>
        <v>100</v>
      </c>
      <c r="I26" s="2091"/>
      <c r="J26" s="392">
        <f>SUMIF(88:88,I26,89:89)-SUMIF(88:88,C26,89:89)+100</f>
        <v>100</v>
      </c>
      <c r="K26" s="383"/>
      <c r="L26" s="2949"/>
      <c r="M26" s="2943"/>
      <c r="N26" s="2943"/>
      <c r="O26" s="2943"/>
      <c r="P26" s="3382"/>
      <c r="Q26" s="1535" t="str">
        <f t="shared" si="11"/>
        <v>朝向</v>
      </c>
      <c r="R26" s="711" t="s">
        <v>21</v>
      </c>
      <c r="S26" s="712">
        <f t="shared" si="12"/>
        <v>100</v>
      </c>
      <c r="T26" s="711" t="s">
        <v>21</v>
      </c>
      <c r="U26" s="712">
        <f t="shared" si="13"/>
        <v>100</v>
      </c>
      <c r="V26" s="711" t="s">
        <v>21</v>
      </c>
      <c r="W26" s="712">
        <f t="shared" si="14"/>
        <v>100</v>
      </c>
      <c r="X26" s="1538"/>
      <c r="Y26" s="3311"/>
      <c r="Z26" s="1539" t="str">
        <f>Q26</f>
        <v>朝向</v>
      </c>
      <c r="AA26" s="1536">
        <f t="shared" si="15"/>
        <v>1</v>
      </c>
      <c r="AB26" s="1536">
        <f t="shared" si="16"/>
        <v>1</v>
      </c>
      <c r="AC26" s="1536">
        <f t="shared" si="17"/>
        <v>1</v>
      </c>
    </row>
    <row r="27" spans="1:29" s="113" customFormat="1" ht="15">
      <c r="A27" s="388"/>
      <c r="B27" s="1292">
        <v>111</v>
      </c>
      <c r="C27" s="389"/>
      <c r="D27" s="419">
        <v>100</v>
      </c>
      <c r="E27" s="422"/>
      <c r="F27" s="419">
        <f>SUMIF(90:90,E27,91:91)-SUMIF(90:90,C27,91:91)+100</f>
        <v>100</v>
      </c>
      <c r="G27" s="420"/>
      <c r="H27" s="419">
        <f>SUMIF(90:90,G27,91:91)-SUMIF(90:90,C27,91:91)+100</f>
        <v>100</v>
      </c>
      <c r="I27" s="420"/>
      <c r="J27" s="419">
        <f>SUMIF(90:90,I27,91:91)-SUMIF(90:90,C27,91:91)+100</f>
        <v>100</v>
      </c>
      <c r="K27" s="2078"/>
      <c r="L27" s="2944"/>
      <c r="M27" s="2945"/>
      <c r="N27" s="2945"/>
      <c r="O27" s="2945"/>
      <c r="P27" s="3382"/>
      <c r="Q27" s="1526">
        <f t="shared" si="11"/>
        <v>111</v>
      </c>
      <c r="R27" s="707" t="s">
        <v>21</v>
      </c>
      <c r="S27" s="708">
        <f t="shared" si="12"/>
        <v>100</v>
      </c>
      <c r="T27" s="707" t="s">
        <v>21</v>
      </c>
      <c r="U27" s="708">
        <f t="shared" si="13"/>
        <v>100</v>
      </c>
      <c r="V27" s="707" t="s">
        <v>21</v>
      </c>
      <c r="W27" s="708">
        <f t="shared" si="14"/>
        <v>100</v>
      </c>
      <c r="X27" s="709"/>
      <c r="Y27" s="3311"/>
      <c r="Z27" s="55">
        <f>Q27</f>
        <v>111</v>
      </c>
      <c r="AA27" s="1536">
        <f t="shared" si="15"/>
        <v>1</v>
      </c>
      <c r="AB27" s="1536">
        <f t="shared" si="16"/>
        <v>1</v>
      </c>
      <c r="AC27" s="1536">
        <f t="shared" si="17"/>
        <v>1</v>
      </c>
    </row>
    <row r="28" spans="1:29" ht="15">
      <c r="A28" s="385"/>
      <c r="B28" s="1292">
        <v>111</v>
      </c>
      <c r="C28" s="391"/>
      <c r="D28" s="392">
        <v>100</v>
      </c>
      <c r="E28" s="391"/>
      <c r="F28" s="392">
        <f>SUMIF(92:92,E28,93:93)-SUMIF(92:92,C28,93:93)+100</f>
        <v>100</v>
      </c>
      <c r="G28" s="2092"/>
      <c r="H28" s="392">
        <f>SUMIF(92:92,G28,93:93)-SUMIF(92:92,C28,93:93)+100</f>
        <v>100</v>
      </c>
      <c r="I28" s="391"/>
      <c r="J28" s="392">
        <f>SUMIF(92:92,I28,93:93)-SUMIF(92:92,C28,93:93)+100</f>
        <v>100</v>
      </c>
      <c r="K28" s="2078"/>
      <c r="L28" s="2949"/>
      <c r="M28" s="2943"/>
      <c r="N28" s="2943"/>
      <c r="O28" s="2943"/>
      <c r="P28" s="3382"/>
      <c r="Q28" s="1535">
        <f t="shared" si="11"/>
        <v>111</v>
      </c>
      <c r="R28" s="711" t="s">
        <v>21</v>
      </c>
      <c r="S28" s="712">
        <f t="shared" si="12"/>
        <v>100</v>
      </c>
      <c r="T28" s="711" t="s">
        <v>21</v>
      </c>
      <c r="U28" s="712">
        <f t="shared" si="13"/>
        <v>100</v>
      </c>
      <c r="V28" s="711" t="s">
        <v>21</v>
      </c>
      <c r="W28" s="712">
        <f t="shared" si="14"/>
        <v>100</v>
      </c>
      <c r="X28" s="1538"/>
      <c r="Y28" s="3311"/>
      <c r="Z28" s="1539">
        <f t="shared" ref="Z28:Z46" si="18">Q28</f>
        <v>111</v>
      </c>
      <c r="AA28" s="1536">
        <f t="shared" si="15"/>
        <v>1</v>
      </c>
      <c r="AB28" s="1536">
        <f t="shared" si="16"/>
        <v>1</v>
      </c>
      <c r="AC28" s="1536">
        <f t="shared" si="17"/>
        <v>1</v>
      </c>
    </row>
    <row r="29" spans="1:29" ht="15">
      <c r="A29" s="385"/>
      <c r="B29" s="1292">
        <v>111</v>
      </c>
      <c r="C29" s="391"/>
      <c r="D29" s="392">
        <v>100</v>
      </c>
      <c r="E29" s="391"/>
      <c r="F29" s="392">
        <f>SUMIF(94:94,E29,95:95)-SUMIF(94:94,C29,95:95)+100</f>
        <v>100</v>
      </c>
      <c r="G29" s="2092"/>
      <c r="H29" s="392">
        <f>SUMIF(94:94,G29,95:95)-SUMIF(94:94,C29,95:95)+100</f>
        <v>100</v>
      </c>
      <c r="I29" s="391"/>
      <c r="J29" s="392">
        <f>SUMIF(94:94,I29,95:95)-SUMIF(94:94,C29,95:95)+100</f>
        <v>100</v>
      </c>
      <c r="K29" s="2078"/>
      <c r="L29" s="2949"/>
      <c r="M29" s="2943"/>
      <c r="N29" s="2943"/>
      <c r="O29" s="2943"/>
      <c r="P29" s="3382"/>
      <c r="Q29" s="1535">
        <f t="shared" si="11"/>
        <v>111</v>
      </c>
      <c r="R29" s="711" t="s">
        <v>21</v>
      </c>
      <c r="S29" s="712">
        <f t="shared" si="12"/>
        <v>100</v>
      </c>
      <c r="T29" s="711" t="s">
        <v>21</v>
      </c>
      <c r="U29" s="712">
        <f t="shared" si="13"/>
        <v>100</v>
      </c>
      <c r="V29" s="711" t="s">
        <v>21</v>
      </c>
      <c r="W29" s="712">
        <f t="shared" si="14"/>
        <v>100</v>
      </c>
      <c r="X29" s="1538"/>
      <c r="Y29" s="3311"/>
      <c r="Z29" s="1539">
        <f t="shared" si="18"/>
        <v>111</v>
      </c>
      <c r="AA29" s="1536">
        <f t="shared" si="15"/>
        <v>1</v>
      </c>
      <c r="AB29" s="1536">
        <f t="shared" si="16"/>
        <v>1</v>
      </c>
      <c r="AC29" s="1536">
        <f t="shared" si="17"/>
        <v>1</v>
      </c>
    </row>
    <row r="30" spans="1:29" ht="15">
      <c r="A30" s="385"/>
      <c r="B30" s="1292">
        <v>111</v>
      </c>
      <c r="C30" s="391"/>
      <c r="D30" s="392">
        <v>100</v>
      </c>
      <c r="E30" s="391"/>
      <c r="F30" s="392">
        <f>SUMIF(96:96,E30,97:97)-SUMIF(96:96,C30,97:97)+100</f>
        <v>100</v>
      </c>
      <c r="G30" s="2092"/>
      <c r="H30" s="392">
        <f>SUMIF(96:96,G30,97:97)-SUMIF(96:96,C30,97:97)+100</f>
        <v>100</v>
      </c>
      <c r="I30" s="391"/>
      <c r="J30" s="392">
        <f>SUMIF(96:96,I30,97:97)-SUMIF(96:96,C30,97:97)+100</f>
        <v>100</v>
      </c>
      <c r="K30" s="2078"/>
      <c r="L30" s="2949"/>
      <c r="M30" s="2943"/>
      <c r="N30" s="2943"/>
      <c r="O30" s="2943"/>
      <c r="P30" s="3382"/>
      <c r="Q30" s="1535">
        <f t="shared" si="11"/>
        <v>111</v>
      </c>
      <c r="R30" s="711" t="s">
        <v>21</v>
      </c>
      <c r="S30" s="712">
        <f t="shared" si="12"/>
        <v>100</v>
      </c>
      <c r="T30" s="711" t="s">
        <v>21</v>
      </c>
      <c r="U30" s="712">
        <f t="shared" si="13"/>
        <v>100</v>
      </c>
      <c r="V30" s="711" t="s">
        <v>21</v>
      </c>
      <c r="W30" s="712">
        <f t="shared" si="14"/>
        <v>100</v>
      </c>
      <c r="X30" s="1538"/>
      <c r="Y30" s="3311"/>
      <c r="Z30" s="1539">
        <f t="shared" si="18"/>
        <v>111</v>
      </c>
      <c r="AA30" s="1536">
        <f t="shared" si="15"/>
        <v>1</v>
      </c>
      <c r="AB30" s="1536">
        <f t="shared" si="16"/>
        <v>1</v>
      </c>
      <c r="AC30" s="1536">
        <f t="shared" si="17"/>
        <v>1</v>
      </c>
    </row>
    <row r="31" spans="1:29" ht="15.75" thickBot="1">
      <c r="A31" s="393"/>
      <c r="B31" s="1292">
        <v>111</v>
      </c>
      <c r="C31" s="394"/>
      <c r="D31" s="395">
        <v>100</v>
      </c>
      <c r="E31" s="394"/>
      <c r="F31" s="395">
        <f>SUMIF(98:98,E31,99:99)-SUMIF(98:98,C31,99:99)+100</f>
        <v>100</v>
      </c>
      <c r="G31" s="2093"/>
      <c r="H31" s="395">
        <f>SUMIF(98:98,G31,99:99)-SUMIF(98:98,C31,99:99)+100</f>
        <v>100</v>
      </c>
      <c r="I31" s="394"/>
      <c r="J31" s="395">
        <f>SUMIF(98:98,I31,99:99)-SUMIF(98:98,C31,99:99)+100</f>
        <v>100</v>
      </c>
      <c r="K31" s="2078"/>
      <c r="L31" s="2949"/>
      <c r="M31" s="2943"/>
      <c r="N31" s="2943"/>
      <c r="O31" s="2943"/>
      <c r="P31" s="3382"/>
      <c r="Q31" s="1535">
        <f t="shared" si="11"/>
        <v>111</v>
      </c>
      <c r="R31" s="711" t="s">
        <v>21</v>
      </c>
      <c r="S31" s="712">
        <f t="shared" si="12"/>
        <v>100</v>
      </c>
      <c r="T31" s="711" t="s">
        <v>21</v>
      </c>
      <c r="U31" s="712">
        <f t="shared" si="13"/>
        <v>100</v>
      </c>
      <c r="V31" s="711" t="s">
        <v>21</v>
      </c>
      <c r="W31" s="712">
        <f t="shared" si="14"/>
        <v>100</v>
      </c>
      <c r="X31" s="1538"/>
      <c r="Y31" s="3311"/>
      <c r="Z31" s="1539">
        <f t="shared" si="18"/>
        <v>111</v>
      </c>
      <c r="AA31" s="1536">
        <f t="shared" si="15"/>
        <v>1</v>
      </c>
      <c r="AB31" s="1536">
        <f t="shared" si="16"/>
        <v>1</v>
      </c>
      <c r="AC31" s="1536">
        <f t="shared" si="17"/>
        <v>1</v>
      </c>
    </row>
    <row r="32" spans="1:29" ht="15">
      <c r="A32" s="397" t="s">
        <v>2383</v>
      </c>
      <c r="B32" s="67" t="s">
        <v>2384</v>
      </c>
      <c r="C32" s="2094"/>
      <c r="D32" s="424">
        <v>100</v>
      </c>
      <c r="E32" s="2095"/>
      <c r="F32" s="418">
        <f>SUMIF(100:100,E32,101:101)-SUMIF(100:100,C32,101:101)+100</f>
        <v>100</v>
      </c>
      <c r="G32" s="2094"/>
      <c r="H32" s="424">
        <f>SUMIF(100:100,G32,101:101)-SUMIF(100:100,C32,101:101)+100</f>
        <v>100</v>
      </c>
      <c r="I32" s="2095"/>
      <c r="J32" s="392">
        <f>SUMIF(100:100,I32,101:101)-SUMIF(100:100,C32,101:101)+100</f>
        <v>100</v>
      </c>
      <c r="K32" s="383"/>
      <c r="L32" s="2949"/>
      <c r="M32" s="2943"/>
      <c r="N32" s="2943"/>
      <c r="O32" s="2943"/>
      <c r="P32" s="3377" t="s">
        <v>2385</v>
      </c>
      <c r="Q32" s="1535" t="str">
        <f t="shared" si="11"/>
        <v>建筑类型</v>
      </c>
      <c r="R32" s="711" t="s">
        <v>21</v>
      </c>
      <c r="S32" s="712">
        <f t="shared" si="12"/>
        <v>100</v>
      </c>
      <c r="T32" s="711" t="s">
        <v>21</v>
      </c>
      <c r="U32" s="712">
        <f t="shared" si="13"/>
        <v>100</v>
      </c>
      <c r="V32" s="711" t="s">
        <v>21</v>
      </c>
      <c r="W32" s="712">
        <f t="shared" si="14"/>
        <v>100</v>
      </c>
      <c r="X32" s="1538"/>
      <c r="Y32" s="3313" t="s">
        <v>2385</v>
      </c>
      <c r="Z32" s="1539" t="str">
        <f t="shared" si="18"/>
        <v>建筑类型</v>
      </c>
      <c r="AA32" s="1536">
        <f t="shared" si="15"/>
        <v>1</v>
      </c>
      <c r="AB32" s="1536">
        <f t="shared" si="16"/>
        <v>1</v>
      </c>
      <c r="AC32" s="1536">
        <f t="shared" si="17"/>
        <v>1</v>
      </c>
    </row>
    <row r="33" spans="1:29" s="428" customFormat="1" ht="15">
      <c r="A33" s="425"/>
      <c r="B33" s="379" t="s">
        <v>2386</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78"/>
      <c r="L33" s="2948"/>
      <c r="M33" s="2950"/>
      <c r="N33" s="2950"/>
      <c r="O33" s="2950"/>
      <c r="P33" s="3378"/>
      <c r="Q33" s="713" t="str">
        <f t="shared" si="11"/>
        <v>项目建筑规模</v>
      </c>
      <c r="R33" s="714" t="s">
        <v>21</v>
      </c>
      <c r="S33" s="715" t="e">
        <f t="shared" si="12"/>
        <v>#N/A</v>
      </c>
      <c r="T33" s="714" t="s">
        <v>21</v>
      </c>
      <c r="U33" s="715" t="e">
        <f t="shared" si="13"/>
        <v>#N/A</v>
      </c>
      <c r="V33" s="714" t="s">
        <v>21</v>
      </c>
      <c r="W33" s="715" t="e">
        <f t="shared" si="14"/>
        <v>#N/A</v>
      </c>
      <c r="X33" s="716"/>
      <c r="Y33" s="3313"/>
      <c r="Z33" s="717" t="str">
        <f t="shared" si="18"/>
        <v>项目建筑规模</v>
      </c>
      <c r="AA33" s="1536" t="e">
        <f t="shared" si="15"/>
        <v>#N/A</v>
      </c>
      <c r="AB33" s="1536" t="e">
        <f t="shared" si="16"/>
        <v>#N/A</v>
      </c>
      <c r="AC33" s="1536" t="e">
        <f t="shared" si="17"/>
        <v>#N/A</v>
      </c>
    </row>
    <row r="34" spans="1:29" ht="15">
      <c r="A34" s="429"/>
      <c r="B34" s="379" t="s">
        <v>2387</v>
      </c>
      <c r="C34" s="2096"/>
      <c r="D34" s="392">
        <v>100</v>
      </c>
      <c r="E34" s="2097"/>
      <c r="F34" s="418">
        <f>SUMIF(105:105,E34,106:106)-SUMIF(105:105,C34,106:106)+100</f>
        <v>100</v>
      </c>
      <c r="G34" s="2096"/>
      <c r="H34" s="392">
        <f>SUMIF(105:105,G34,106:106)-SUMIF(105:105,C34,106:106)+100</f>
        <v>100</v>
      </c>
      <c r="I34" s="2097"/>
      <c r="J34" s="392">
        <f>SUMIF(105:105,I34,106:106)-SUMIF(105:105,C34,106:106)+100</f>
        <v>100</v>
      </c>
      <c r="K34" s="383"/>
      <c r="L34" s="2949"/>
      <c r="M34" s="2943"/>
      <c r="N34" s="2943"/>
      <c r="O34" s="2943"/>
      <c r="P34" s="3378"/>
      <c r="Q34" s="1535" t="str">
        <f t="shared" si="11"/>
        <v>建筑结构</v>
      </c>
      <c r="R34" s="711" t="s">
        <v>21</v>
      </c>
      <c r="S34" s="712">
        <f t="shared" si="12"/>
        <v>100</v>
      </c>
      <c r="T34" s="711" t="s">
        <v>21</v>
      </c>
      <c r="U34" s="712">
        <f t="shared" si="13"/>
        <v>100</v>
      </c>
      <c r="V34" s="711" t="s">
        <v>21</v>
      </c>
      <c r="W34" s="712">
        <f t="shared" si="14"/>
        <v>100</v>
      </c>
      <c r="X34" s="1538"/>
      <c r="Y34" s="3313"/>
      <c r="Z34" s="1539" t="str">
        <f t="shared" si="18"/>
        <v>建筑结构</v>
      </c>
      <c r="AA34" s="1536">
        <f t="shared" si="15"/>
        <v>1</v>
      </c>
      <c r="AB34" s="1536">
        <f t="shared" si="16"/>
        <v>1</v>
      </c>
      <c r="AC34" s="1536">
        <f t="shared" si="17"/>
        <v>1</v>
      </c>
    </row>
    <row r="35" spans="1:29" ht="15">
      <c r="A35" s="429"/>
      <c r="B35" s="379" t="s">
        <v>2388</v>
      </c>
      <c r="C35" s="2090"/>
      <c r="D35" s="392">
        <v>100</v>
      </c>
      <c r="E35" s="2091"/>
      <c r="F35" s="418">
        <f>SUMIF(107:107,E35,108:108)-SUMIF(107:107,C35,108:108)+100</f>
        <v>100</v>
      </c>
      <c r="G35" s="2090"/>
      <c r="H35" s="392">
        <f>SUMIF(107:107,G35,108:108)-SUMIF(107:107,C35,108:108)+100</f>
        <v>100</v>
      </c>
      <c r="I35" s="2091"/>
      <c r="J35" s="392">
        <f>SUMIF(107:107,I35,108:108)-SUMIF(107:107,C35,108:108)+100</f>
        <v>100</v>
      </c>
      <c r="K35" s="383"/>
      <c r="L35" s="2949"/>
      <c r="M35" s="2943"/>
      <c r="N35" s="2943"/>
      <c r="O35" s="2943"/>
      <c r="P35" s="3378"/>
      <c r="Q35" s="1535" t="str">
        <f t="shared" si="11"/>
        <v>建筑品质</v>
      </c>
      <c r="R35" s="711" t="s">
        <v>21</v>
      </c>
      <c r="S35" s="712">
        <f t="shared" si="12"/>
        <v>100</v>
      </c>
      <c r="T35" s="711" t="s">
        <v>21</v>
      </c>
      <c r="U35" s="712">
        <f t="shared" si="13"/>
        <v>100</v>
      </c>
      <c r="V35" s="711" t="s">
        <v>21</v>
      </c>
      <c r="W35" s="712">
        <f t="shared" si="14"/>
        <v>100</v>
      </c>
      <c r="X35" s="1538"/>
      <c r="Y35" s="3313"/>
      <c r="Z35" s="1539" t="str">
        <f t="shared" si="18"/>
        <v>建筑品质</v>
      </c>
      <c r="AA35" s="1536">
        <f t="shared" si="15"/>
        <v>1</v>
      </c>
      <c r="AB35" s="1536">
        <f t="shared" si="16"/>
        <v>1</v>
      </c>
      <c r="AC35" s="1536">
        <f t="shared" si="17"/>
        <v>1</v>
      </c>
    </row>
    <row r="36" spans="1:29" ht="15">
      <c r="A36" s="429"/>
      <c r="B36" s="379" t="s">
        <v>2389</v>
      </c>
      <c r="C36" s="2090"/>
      <c r="D36" s="392">
        <v>100</v>
      </c>
      <c r="E36" s="2091"/>
      <c r="F36" s="418">
        <f>SUMIF(109:109,E36,110:110)-SUMIF(109:109,C36,110:110)+100</f>
        <v>100</v>
      </c>
      <c r="G36" s="2090"/>
      <c r="H36" s="392">
        <f>SUMIF(109:109,G36,110:110)-SUMIF(109:109,C36,110:110)+100</f>
        <v>100</v>
      </c>
      <c r="I36" s="2091"/>
      <c r="J36" s="392">
        <f>SUMIF(109:109,I36,110:110)-SUMIF(109:109,C36,110:110)+100</f>
        <v>100</v>
      </c>
      <c r="K36" s="383"/>
      <c r="L36" s="2949"/>
      <c r="M36" s="2943"/>
      <c r="N36" s="2943"/>
      <c r="O36" s="2943"/>
      <c r="P36" s="3378"/>
      <c r="Q36" s="1535" t="str">
        <f t="shared" si="11"/>
        <v>公共部分装修</v>
      </c>
      <c r="R36" s="711" t="s">
        <v>21</v>
      </c>
      <c r="S36" s="712">
        <f t="shared" si="12"/>
        <v>100</v>
      </c>
      <c r="T36" s="711" t="s">
        <v>21</v>
      </c>
      <c r="U36" s="712">
        <f t="shared" si="13"/>
        <v>100</v>
      </c>
      <c r="V36" s="711" t="s">
        <v>21</v>
      </c>
      <c r="W36" s="712">
        <f t="shared" si="14"/>
        <v>100</v>
      </c>
      <c r="X36" s="1538"/>
      <c r="Y36" s="3313"/>
      <c r="Z36" s="1539" t="str">
        <f t="shared" si="18"/>
        <v>公共部分装修</v>
      </c>
      <c r="AA36" s="1536">
        <f t="shared" si="15"/>
        <v>1</v>
      </c>
      <c r="AB36" s="1536">
        <f t="shared" si="16"/>
        <v>1</v>
      </c>
      <c r="AC36" s="1536">
        <f t="shared" si="17"/>
        <v>1</v>
      </c>
    </row>
    <row r="37" spans="1:29" s="113" customFormat="1" ht="15">
      <c r="A37" s="430"/>
      <c r="B37" s="379" t="s">
        <v>2390</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44"/>
      <c r="M37" s="2945"/>
      <c r="N37" s="2945"/>
      <c r="O37" s="2945"/>
      <c r="P37" s="3378"/>
      <c r="Q37" s="1526" t="str">
        <f t="shared" si="11"/>
        <v>成新度</v>
      </c>
      <c r="R37" s="707" t="s">
        <v>21</v>
      </c>
      <c r="S37" s="708" t="e">
        <f t="shared" si="12"/>
        <v>#N/A</v>
      </c>
      <c r="T37" s="707" t="s">
        <v>21</v>
      </c>
      <c r="U37" s="708" t="e">
        <f t="shared" si="13"/>
        <v>#N/A</v>
      </c>
      <c r="V37" s="707" t="s">
        <v>21</v>
      </c>
      <c r="W37" s="708" t="e">
        <f t="shared" si="14"/>
        <v>#N/A</v>
      </c>
      <c r="X37" s="709"/>
      <c r="Y37" s="3313"/>
      <c r="Z37" s="55" t="str">
        <f t="shared" si="18"/>
        <v>成新度</v>
      </c>
      <c r="AA37" s="710" t="e">
        <f t="shared" si="15"/>
        <v>#N/A</v>
      </c>
      <c r="AB37" s="710" t="e">
        <f t="shared" si="16"/>
        <v>#N/A</v>
      </c>
      <c r="AC37" s="710" t="e">
        <f t="shared" si="17"/>
        <v>#N/A</v>
      </c>
    </row>
    <row r="38" spans="1:29" ht="15">
      <c r="A38" s="429"/>
      <c r="B38" s="379" t="s">
        <v>2391</v>
      </c>
      <c r="C38" s="2090"/>
      <c r="D38" s="392">
        <v>100</v>
      </c>
      <c r="E38" s="2091"/>
      <c r="F38" s="418">
        <f>SUMIF(114:114,E38,115:115)-SUMIF(114:114,C38,115:115)+100</f>
        <v>100</v>
      </c>
      <c r="G38" s="2090"/>
      <c r="H38" s="392">
        <f>SUMIF(114:114,G38,115:115)-SUMIF(114:114,C38,115:115)+100</f>
        <v>100</v>
      </c>
      <c r="I38" s="2091"/>
      <c r="J38" s="392">
        <f>SUMIF(114:114,I38,115:115)-SUMIF(114:114,C38,115:115)+100</f>
        <v>100</v>
      </c>
      <c r="K38" s="383"/>
      <c r="L38" s="2949"/>
      <c r="M38" s="2943"/>
      <c r="N38" s="2943"/>
      <c r="O38" s="2943"/>
      <c r="P38" s="3378" t="s">
        <v>2385</v>
      </c>
      <c r="Q38" s="1535" t="str">
        <f t="shared" si="11"/>
        <v>物业管理</v>
      </c>
      <c r="R38" s="711" t="s">
        <v>21</v>
      </c>
      <c r="S38" s="712">
        <f t="shared" si="12"/>
        <v>100</v>
      </c>
      <c r="T38" s="711" t="s">
        <v>21</v>
      </c>
      <c r="U38" s="712">
        <f t="shared" si="13"/>
        <v>100</v>
      </c>
      <c r="V38" s="711" t="s">
        <v>21</v>
      </c>
      <c r="W38" s="712">
        <f t="shared" si="14"/>
        <v>100</v>
      </c>
      <c r="X38" s="1538"/>
      <c r="Y38" s="3313" t="s">
        <v>2385</v>
      </c>
      <c r="Z38" s="1539" t="str">
        <f t="shared" si="18"/>
        <v>物业管理</v>
      </c>
      <c r="AA38" s="1536">
        <f t="shared" si="15"/>
        <v>1</v>
      </c>
      <c r="AB38" s="1536">
        <f t="shared" si="16"/>
        <v>1</v>
      </c>
      <c r="AC38" s="1536">
        <f t="shared" si="17"/>
        <v>1</v>
      </c>
    </row>
    <row r="39" spans="1:29" ht="15">
      <c r="A39" s="429"/>
      <c r="B39" s="379" t="s">
        <v>2392</v>
      </c>
      <c r="C39" s="2090"/>
      <c r="D39" s="392">
        <v>100</v>
      </c>
      <c r="E39" s="2091"/>
      <c r="F39" s="418">
        <f>SUMIF(116:116,E39,117:117)-SUMIF(116:116,C39,117:117)+100</f>
        <v>100</v>
      </c>
      <c r="G39" s="2090"/>
      <c r="H39" s="392">
        <f>SUMIF(116:116,G39,117:117)-SUMIF(116:116,C39,117:117)+100</f>
        <v>100</v>
      </c>
      <c r="I39" s="2091"/>
      <c r="J39" s="392">
        <f>SUMIF(116:116,I39,117:117)-SUMIF(116:116,C39,117:117)+100</f>
        <v>100</v>
      </c>
      <c r="K39" s="383"/>
      <c r="L39" s="2949"/>
      <c r="M39" s="2943"/>
      <c r="N39" s="2943"/>
      <c r="O39" s="2943"/>
      <c r="P39" s="3378"/>
      <c r="Q39" s="1535" t="str">
        <f t="shared" si="11"/>
        <v>市政基础设施</v>
      </c>
      <c r="R39" s="711" t="s">
        <v>21</v>
      </c>
      <c r="S39" s="712">
        <f t="shared" si="12"/>
        <v>100</v>
      </c>
      <c r="T39" s="711" t="s">
        <v>21</v>
      </c>
      <c r="U39" s="712">
        <f t="shared" si="13"/>
        <v>100</v>
      </c>
      <c r="V39" s="711" t="s">
        <v>21</v>
      </c>
      <c r="W39" s="712">
        <f t="shared" si="14"/>
        <v>100</v>
      </c>
      <c r="X39" s="1538"/>
      <c r="Y39" s="3313"/>
      <c r="Z39" s="1539" t="str">
        <f t="shared" si="18"/>
        <v>市政基础设施</v>
      </c>
      <c r="AA39" s="1536">
        <f t="shared" si="15"/>
        <v>1</v>
      </c>
      <c r="AB39" s="1536">
        <f t="shared" si="16"/>
        <v>1</v>
      </c>
      <c r="AC39" s="1536">
        <f t="shared" si="17"/>
        <v>1</v>
      </c>
    </row>
    <row r="40" spans="1:29" ht="15">
      <c r="A40" s="429"/>
      <c r="B40" s="379" t="s">
        <v>2393</v>
      </c>
      <c r="C40" s="2090"/>
      <c r="D40" s="392">
        <v>100</v>
      </c>
      <c r="E40" s="2091"/>
      <c r="F40" s="418">
        <f>SUMIF(118:118,E40,119:119)-SUMIF(118:118,C40,119:119)+100</f>
        <v>100</v>
      </c>
      <c r="G40" s="2090"/>
      <c r="H40" s="392">
        <f>SUMIF(118:118,G40,119:119)-SUMIF(118:118,C40,119:119)+100</f>
        <v>100</v>
      </c>
      <c r="I40" s="2091"/>
      <c r="J40" s="392">
        <f>SUMIF(118:118,I40,119:119)-SUMIF(118:118,C40,119:119)+100</f>
        <v>100</v>
      </c>
      <c r="K40" s="383"/>
      <c r="L40" s="2949"/>
      <c r="M40" s="2943"/>
      <c r="N40" s="2943"/>
      <c r="O40" s="2943"/>
      <c r="P40" s="3378"/>
      <c r="Q40" s="1535" t="str">
        <f t="shared" si="11"/>
        <v>房型</v>
      </c>
      <c r="R40" s="711" t="s">
        <v>21</v>
      </c>
      <c r="S40" s="712">
        <f t="shared" si="12"/>
        <v>100</v>
      </c>
      <c r="T40" s="711" t="s">
        <v>21</v>
      </c>
      <c r="U40" s="712">
        <f t="shared" si="13"/>
        <v>100</v>
      </c>
      <c r="V40" s="711" t="s">
        <v>21</v>
      </c>
      <c r="W40" s="712">
        <f t="shared" si="14"/>
        <v>100</v>
      </c>
      <c r="X40" s="1538"/>
      <c r="Y40" s="3313"/>
      <c r="Z40" s="1539" t="str">
        <f t="shared" si="18"/>
        <v>房型</v>
      </c>
      <c r="AA40" s="1536">
        <f t="shared" si="15"/>
        <v>1</v>
      </c>
      <c r="AB40" s="1536">
        <f t="shared" si="16"/>
        <v>1</v>
      </c>
      <c r="AC40" s="1536">
        <f t="shared" si="17"/>
        <v>1</v>
      </c>
    </row>
    <row r="41" spans="1:29" s="428" customFormat="1" ht="28.5">
      <c r="A41" s="425"/>
      <c r="B41" s="379" t="s">
        <v>2394</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78"/>
      <c r="L41" s="2948"/>
      <c r="M41" s="2950"/>
      <c r="N41" s="2950"/>
      <c r="O41" s="2950"/>
      <c r="P41" s="3378"/>
      <c r="Q41" s="713" t="str">
        <f t="shared" si="11"/>
        <v>单套/主力户型建筑面积</v>
      </c>
      <c r="R41" s="714" t="s">
        <v>21</v>
      </c>
      <c r="S41" s="715">
        <f t="shared" si="12"/>
        <v>100</v>
      </c>
      <c r="T41" s="714" t="s">
        <v>21</v>
      </c>
      <c r="U41" s="715">
        <f t="shared" si="13"/>
        <v>100</v>
      </c>
      <c r="V41" s="714" t="s">
        <v>21</v>
      </c>
      <c r="W41" s="715">
        <f t="shared" si="14"/>
        <v>100</v>
      </c>
      <c r="X41" s="716"/>
      <c r="Y41" s="3313"/>
      <c r="Z41" s="717" t="str">
        <f t="shared" si="18"/>
        <v>单套/主力户型建筑面积</v>
      </c>
      <c r="AA41" s="1536">
        <f t="shared" si="15"/>
        <v>1</v>
      </c>
      <c r="AB41" s="1536">
        <f t="shared" si="16"/>
        <v>1</v>
      </c>
      <c r="AC41" s="1536">
        <f t="shared" si="17"/>
        <v>1</v>
      </c>
    </row>
    <row r="42" spans="1:29" ht="15">
      <c r="A42" s="429"/>
      <c r="B42" s="379" t="s">
        <v>2395</v>
      </c>
      <c r="C42" s="2090"/>
      <c r="D42" s="392">
        <v>100</v>
      </c>
      <c r="E42" s="2091"/>
      <c r="F42" s="418">
        <f>SUMIF(122:122,E42,123:123)-SUMIF(122:122,C42,123:123)+100</f>
        <v>100</v>
      </c>
      <c r="G42" s="2090"/>
      <c r="H42" s="392">
        <f>SUMIF(122:122,G42,123:123)-SUMIF(122:122,C42,123:123)+100</f>
        <v>100</v>
      </c>
      <c r="I42" s="2091"/>
      <c r="J42" s="392">
        <f>SUMIF(122:122,I42,123:123)-SUMIF(122:122,C42,123:123)+100</f>
        <v>100</v>
      </c>
      <c r="K42" s="383"/>
      <c r="L42" s="2949"/>
      <c r="M42" s="2943"/>
      <c r="N42" s="2943"/>
      <c r="O42" s="2943"/>
      <c r="P42" s="3378"/>
      <c r="Q42" s="1535" t="str">
        <f t="shared" si="11"/>
        <v>内部装修</v>
      </c>
      <c r="R42" s="711" t="s">
        <v>21</v>
      </c>
      <c r="S42" s="712">
        <f t="shared" si="12"/>
        <v>100</v>
      </c>
      <c r="T42" s="711" t="s">
        <v>21</v>
      </c>
      <c r="U42" s="712">
        <f t="shared" si="13"/>
        <v>100</v>
      </c>
      <c r="V42" s="711" t="s">
        <v>21</v>
      </c>
      <c r="W42" s="712">
        <f t="shared" si="14"/>
        <v>100</v>
      </c>
      <c r="X42" s="1538"/>
      <c r="Y42" s="3313"/>
      <c r="Z42" s="1539" t="str">
        <f t="shared" si="18"/>
        <v>内部装修</v>
      </c>
      <c r="AA42" s="1536">
        <f t="shared" si="15"/>
        <v>1</v>
      </c>
      <c r="AB42" s="1536">
        <f t="shared" si="16"/>
        <v>1</v>
      </c>
      <c r="AC42" s="1536">
        <f t="shared" si="17"/>
        <v>1</v>
      </c>
    </row>
    <row r="43" spans="1:29" ht="15">
      <c r="A43" s="429"/>
      <c r="B43" s="379" t="s">
        <v>2396</v>
      </c>
      <c r="C43" s="2090"/>
      <c r="D43" s="392">
        <v>100</v>
      </c>
      <c r="E43" s="2091"/>
      <c r="F43" s="418">
        <f>SUMIF(124:124,E43,125:125)-SUMIF(124:124,C43,125:125)+100</f>
        <v>100</v>
      </c>
      <c r="G43" s="2090"/>
      <c r="H43" s="392">
        <f>SUMIF(124:124,G43,125:125)-SUMIF(124:124,C43,125:125)+100</f>
        <v>100</v>
      </c>
      <c r="I43" s="2091"/>
      <c r="J43" s="392">
        <f>SUMIF(124:124,I43,125:125)-SUMIF(124:124,C43,125:125)+100</f>
        <v>100</v>
      </c>
      <c r="K43" s="383"/>
      <c r="L43" s="2949"/>
      <c r="M43" s="2943"/>
      <c r="N43" s="2943"/>
      <c r="O43" s="2943"/>
      <c r="P43" s="3378"/>
      <c r="Q43" s="1535" t="str">
        <f t="shared" si="11"/>
        <v>内部装修维护情况</v>
      </c>
      <c r="R43" s="711" t="s">
        <v>21</v>
      </c>
      <c r="S43" s="712">
        <f t="shared" si="12"/>
        <v>100</v>
      </c>
      <c r="T43" s="711" t="s">
        <v>21</v>
      </c>
      <c r="U43" s="712">
        <f t="shared" si="13"/>
        <v>100</v>
      </c>
      <c r="V43" s="711" t="s">
        <v>21</v>
      </c>
      <c r="W43" s="712">
        <f t="shared" si="14"/>
        <v>100</v>
      </c>
      <c r="X43" s="1538"/>
      <c r="Y43" s="3313"/>
      <c r="Z43" s="1539" t="str">
        <f t="shared" si="18"/>
        <v>内部装修维护情况</v>
      </c>
      <c r="AA43" s="1536">
        <f t="shared" si="15"/>
        <v>1</v>
      </c>
      <c r="AB43" s="1536">
        <f t="shared" si="16"/>
        <v>1</v>
      </c>
      <c r="AC43" s="1536">
        <f t="shared" si="17"/>
        <v>1</v>
      </c>
    </row>
    <row r="44" spans="1:29" s="113" customFormat="1" ht="15">
      <c r="A44" s="430"/>
      <c r="B44" s="1292">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78"/>
      <c r="L44" s="2944"/>
      <c r="M44" s="2945"/>
      <c r="N44" s="2945"/>
      <c r="O44" s="2945"/>
      <c r="P44" s="3378"/>
      <c r="Q44" s="1526">
        <f t="shared" si="11"/>
        <v>111</v>
      </c>
      <c r="R44" s="707" t="s">
        <v>21</v>
      </c>
      <c r="S44" s="708">
        <f t="shared" si="12"/>
        <v>100</v>
      </c>
      <c r="T44" s="707" t="s">
        <v>21</v>
      </c>
      <c r="U44" s="708">
        <f t="shared" si="13"/>
        <v>100</v>
      </c>
      <c r="V44" s="707" t="s">
        <v>21</v>
      </c>
      <c r="W44" s="708">
        <f t="shared" si="14"/>
        <v>100</v>
      </c>
      <c r="X44" s="709"/>
      <c r="Y44" s="3313"/>
      <c r="Z44" s="55">
        <f t="shared" si="18"/>
        <v>111</v>
      </c>
      <c r="AA44" s="710">
        <f t="shared" si="15"/>
        <v>1</v>
      </c>
      <c r="AB44" s="710">
        <f t="shared" si="16"/>
        <v>1</v>
      </c>
      <c r="AC44" s="710">
        <f t="shared" si="17"/>
        <v>1</v>
      </c>
    </row>
    <row r="45" spans="1:29" ht="15">
      <c r="A45" s="429"/>
      <c r="B45" s="129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78"/>
      <c r="L45" s="2949"/>
      <c r="M45" s="2943"/>
      <c r="N45" s="2943"/>
      <c r="O45" s="2943"/>
      <c r="P45" s="3378"/>
      <c r="Q45" s="1535">
        <f t="shared" si="11"/>
        <v>111</v>
      </c>
      <c r="R45" s="711" t="s">
        <v>21</v>
      </c>
      <c r="S45" s="712">
        <f t="shared" si="12"/>
        <v>100</v>
      </c>
      <c r="T45" s="711" t="s">
        <v>21</v>
      </c>
      <c r="U45" s="712">
        <f t="shared" si="13"/>
        <v>100</v>
      </c>
      <c r="V45" s="711" t="s">
        <v>21</v>
      </c>
      <c r="W45" s="712">
        <f t="shared" si="14"/>
        <v>100</v>
      </c>
      <c r="X45" s="1538"/>
      <c r="Y45" s="3313"/>
      <c r="Z45" s="1539">
        <f t="shared" si="18"/>
        <v>111</v>
      </c>
      <c r="AA45" s="1536">
        <f t="shared" si="15"/>
        <v>1</v>
      </c>
      <c r="AB45" s="1536">
        <f t="shared" si="16"/>
        <v>1</v>
      </c>
      <c r="AC45" s="1536">
        <f t="shared" si="17"/>
        <v>1</v>
      </c>
    </row>
    <row r="46" spans="1:29" ht="15.75" thickBot="1">
      <c r="A46" s="435"/>
      <c r="B46" s="2079">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78"/>
      <c r="L46" s="2949"/>
      <c r="M46" s="2943"/>
      <c r="N46" s="2943"/>
      <c r="O46" s="2943"/>
      <c r="P46" s="3379"/>
      <c r="Q46" s="1535">
        <f t="shared" si="11"/>
        <v>111</v>
      </c>
      <c r="R46" s="711" t="s">
        <v>20</v>
      </c>
      <c r="S46" s="712">
        <f t="shared" si="12"/>
        <v>100</v>
      </c>
      <c r="T46" s="711" t="s">
        <v>20</v>
      </c>
      <c r="U46" s="712">
        <f t="shared" si="13"/>
        <v>100</v>
      </c>
      <c r="V46" s="711" t="s">
        <v>20</v>
      </c>
      <c r="W46" s="712">
        <f t="shared" si="14"/>
        <v>100</v>
      </c>
      <c r="X46" s="1538"/>
      <c r="Y46" s="3380"/>
      <c r="Z46" s="1539">
        <f t="shared" si="18"/>
        <v>111</v>
      </c>
      <c r="AA46" s="1536">
        <f t="shared" si="15"/>
        <v>1</v>
      </c>
      <c r="AB46" s="1536">
        <f t="shared" si="16"/>
        <v>1</v>
      </c>
      <c r="AC46" s="1536">
        <f t="shared" si="17"/>
        <v>1</v>
      </c>
    </row>
    <row r="47" spans="1:29" ht="15">
      <c r="A47" s="436" t="s">
        <v>2397</v>
      </c>
      <c r="B47" s="437"/>
      <c r="C47" s="1313" t="s">
        <v>19</v>
      </c>
      <c r="D47" s="1314"/>
      <c r="E47" s="1315"/>
      <c r="F47" s="1316"/>
      <c r="G47" s="1317"/>
      <c r="H47" s="1318"/>
      <c r="I47" s="1315"/>
      <c r="J47" s="1318"/>
      <c r="K47" s="2098"/>
      <c r="L47" s="2951"/>
      <c r="M47" s="2952"/>
      <c r="N47" s="2943"/>
      <c r="O47" s="2952"/>
      <c r="P47" s="3295" t="str">
        <f>A47</f>
        <v>成交单价（元/平方米）</v>
      </c>
      <c r="Q47" s="3295"/>
      <c r="R47" s="3376">
        <f>E47</f>
        <v>0</v>
      </c>
      <c r="S47" s="3376"/>
      <c r="T47" s="3376">
        <f>G47</f>
        <v>0</v>
      </c>
      <c r="U47" s="3376"/>
      <c r="V47" s="3376">
        <f>I47</f>
        <v>0</v>
      </c>
      <c r="W47" s="3376"/>
      <c r="X47" s="696"/>
      <c r="Y47" s="718"/>
      <c r="Z47" s="696"/>
      <c r="AA47" s="696"/>
      <c r="AB47" s="696"/>
      <c r="AC47" s="696"/>
    </row>
    <row r="48" spans="1:29" ht="15.75" thickBot="1">
      <c r="A48" s="443" t="s">
        <v>2398</v>
      </c>
      <c r="B48" s="444"/>
      <c r="C48" s="1319" t="e">
        <f>R49</f>
        <v>#DIV/0!</v>
      </c>
      <c r="D48" s="2536" t="s">
        <v>2879</v>
      </c>
      <c r="E48" s="1320" t="e">
        <f>R48</f>
        <v>#DIV/0!</v>
      </c>
      <c r="F48" s="2537"/>
      <c r="G48" s="1319" t="e">
        <f>T48</f>
        <v>#DIV/0!</v>
      </c>
      <c r="H48" s="2537"/>
      <c r="I48" s="1320" t="e">
        <f>V48</f>
        <v>#DIV/0!</v>
      </c>
      <c r="J48" s="2537"/>
      <c r="K48" s="2538">
        <f>F48+H48+J48</f>
        <v>0</v>
      </c>
      <c r="L48" s="2951"/>
      <c r="M48" s="2952"/>
      <c r="N48" s="2952"/>
      <c r="O48" s="2952"/>
      <c r="P48" s="3295" t="str">
        <f>A48</f>
        <v>比较价值（元/平方米）</v>
      </c>
      <c r="Q48" s="329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696"/>
      <c r="Y48" s="696"/>
      <c r="Z48" s="696"/>
      <c r="AA48" s="696"/>
      <c r="AB48" s="696"/>
      <c r="AC48" s="696"/>
    </row>
    <row r="49" spans="1:29" ht="15.75" thickBot="1">
      <c r="A49" s="447" t="s">
        <v>2399</v>
      </c>
      <c r="B49" s="448"/>
      <c r="C49" s="1321" t="e">
        <f>R49</f>
        <v>#DIV/0!</v>
      </c>
      <c r="D49" s="1322"/>
      <c r="E49" s="1322"/>
      <c r="F49" s="1322"/>
      <c r="G49" s="1322"/>
      <c r="H49" s="1322"/>
      <c r="I49" s="1322"/>
      <c r="J49" s="1322"/>
      <c r="K49" s="2099"/>
      <c r="L49" s="2951"/>
      <c r="M49" s="2952"/>
      <c r="N49" s="2952"/>
      <c r="O49" s="2952"/>
      <c r="P49" s="3315" t="str">
        <f>A49</f>
        <v>估价对象XX用房的比较价值（楼面单价，元/平方米）</v>
      </c>
      <c r="Q49" s="3316"/>
      <c r="R49" s="3375" t="e">
        <f>IF(F1="售价",ROUND(IF(D48="简单平均",AVERAGE(R48:V48),R48*F48+T48*H48+V48*J48),0),ROUND(IF(D48="简单平均",AVERAGE(R48:V48),R48*F48+T48*H48+V48*J48),1))</f>
        <v>#DIV/0!</v>
      </c>
      <c r="S49" s="3375"/>
      <c r="T49" s="3375"/>
      <c r="U49" s="3375"/>
      <c r="V49" s="3375"/>
      <c r="W49" s="3375"/>
      <c r="X49" s="696"/>
      <c r="Y49" s="696"/>
      <c r="Z49" s="696"/>
      <c r="AA49" s="696"/>
      <c r="AB49" s="696"/>
      <c r="AC49" s="696"/>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2" t="s">
        <v>2400</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7"/>
      <c r="L52" s="2953"/>
      <c r="M52" s="2952"/>
      <c r="N52" s="2952"/>
      <c r="O52" s="2952"/>
    </row>
    <row r="53" spans="1:29" ht="13.5" customHeight="1">
      <c r="A53" s="2952"/>
      <c r="B53" s="2952"/>
      <c r="C53" s="452" t="s">
        <v>2401</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7"/>
      <c r="L53" s="2953"/>
      <c r="M53" s="2952"/>
      <c r="N53" s="2952"/>
      <c r="O53" s="2952"/>
    </row>
    <row r="54" spans="1:29" s="457" customFormat="1" ht="13.5" customHeight="1">
      <c r="A54" s="2955"/>
      <c r="B54" s="2955"/>
      <c r="C54" s="452" t="s">
        <v>2402</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60"/>
      <c r="L54" s="2954"/>
      <c r="M54" s="2955"/>
      <c r="N54" s="2955"/>
      <c r="O54" s="2955"/>
      <c r="P54" s="2101"/>
    </row>
    <row r="55" spans="1:29" s="457"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0" t="s">
        <v>2403</v>
      </c>
      <c r="B57" s="696"/>
      <c r="C57" s="701"/>
      <c r="D57" s="701"/>
      <c r="E57" s="701"/>
      <c r="F57" s="702"/>
      <c r="G57" s="702"/>
      <c r="H57" s="701"/>
      <c r="I57" s="701"/>
      <c r="J57" s="701"/>
      <c r="K57" s="1069"/>
      <c r="L57" s="1070"/>
      <c r="M57" s="1068"/>
      <c r="N57" s="1068"/>
      <c r="O57" s="1068"/>
      <c r="P57" s="2102"/>
      <c r="Q57" s="459"/>
    </row>
    <row r="58" spans="1:29" s="463" customFormat="1" ht="15">
      <c r="A58" s="460" t="s">
        <v>2404</v>
      </c>
      <c r="B58" s="461"/>
      <c r="C58" s="1345" t="str">
        <f>YEAR(C7)&amp;"-"&amp;MONTH(C7)</f>
        <v>2020-11</v>
      </c>
      <c r="D58" s="1344">
        <f>EDATE(C58,-1)</f>
        <v>44105</v>
      </c>
      <c r="E58" s="1344">
        <f>EDATE(D58,-1)</f>
        <v>44075</v>
      </c>
      <c r="F58" s="1344">
        <f t="shared" ref="F58:O58" si="19">EDATE(E58,-1)</f>
        <v>44044</v>
      </c>
      <c r="G58" s="1344">
        <f t="shared" si="19"/>
        <v>44013</v>
      </c>
      <c r="H58" s="1344">
        <f t="shared" si="19"/>
        <v>43983</v>
      </c>
      <c r="I58" s="1344">
        <f t="shared" si="19"/>
        <v>43952</v>
      </c>
      <c r="J58" s="1344">
        <f t="shared" si="19"/>
        <v>43922</v>
      </c>
      <c r="K58" s="1344">
        <f t="shared" si="19"/>
        <v>43891</v>
      </c>
      <c r="L58" s="1344">
        <f t="shared" si="19"/>
        <v>43862</v>
      </c>
      <c r="M58" s="1344">
        <f t="shared" si="19"/>
        <v>43831</v>
      </c>
      <c r="N58" s="1344">
        <f t="shared" si="19"/>
        <v>43800</v>
      </c>
      <c r="O58" s="1344">
        <f t="shared" si="19"/>
        <v>43770</v>
      </c>
      <c r="P58" s="1340"/>
    </row>
    <row r="59" spans="1:29" s="113" customFormat="1" ht="15">
      <c r="A59" s="464"/>
      <c r="B59" s="2103"/>
      <c r="C59" s="1342">
        <v>100</v>
      </c>
      <c r="D59" s="466"/>
      <c r="E59" s="467"/>
      <c r="F59" s="467"/>
      <c r="G59" s="467"/>
      <c r="H59" s="467"/>
      <c r="I59" s="467"/>
      <c r="J59" s="467"/>
      <c r="K59" s="467"/>
      <c r="L59" s="467"/>
      <c r="M59" s="468"/>
      <c r="N59" s="467"/>
      <c r="O59" s="468"/>
      <c r="P59" s="2104"/>
    </row>
    <row r="60" spans="1:29" s="113" customFormat="1" ht="15.75" thickBot="1">
      <c r="A60" s="470" t="s">
        <v>2405</v>
      </c>
      <c r="B60" s="471"/>
      <c r="C60" s="472"/>
      <c r="D60" s="473"/>
      <c r="E60" s="473"/>
      <c r="F60" s="473"/>
      <c r="G60" s="473"/>
      <c r="H60" s="473"/>
      <c r="I60" s="473"/>
      <c r="J60" s="473"/>
      <c r="K60" s="473"/>
      <c r="L60" s="473"/>
      <c r="M60" s="474"/>
      <c r="N60" s="473"/>
      <c r="O60" s="474"/>
      <c r="P60" s="2104"/>
      <c r="Q60" s="459"/>
    </row>
    <row r="61" spans="1:29" s="113" customFormat="1" ht="15">
      <c r="A61" s="476" t="s">
        <v>2406</v>
      </c>
      <c r="B61" s="465"/>
      <c r="C61" s="477" t="s">
        <v>2407</v>
      </c>
      <c r="D61" s="478"/>
      <c r="E61" s="478"/>
      <c r="F61" s="478"/>
      <c r="G61" s="478"/>
      <c r="H61" s="478"/>
      <c r="I61" s="478"/>
      <c r="J61" s="478"/>
      <c r="K61" s="478"/>
      <c r="L61" s="479"/>
      <c r="M61" s="480"/>
      <c r="N61" s="1060"/>
      <c r="O61" s="1060"/>
      <c r="P61" s="2105"/>
      <c r="Q61" s="459"/>
    </row>
    <row r="62" spans="1:29" s="113" customFormat="1" ht="15.75" thickBot="1">
      <c r="A62" s="476"/>
      <c r="B62" s="465"/>
      <c r="C62" s="466">
        <v>100</v>
      </c>
      <c r="D62" s="467"/>
      <c r="E62" s="467"/>
      <c r="F62" s="467"/>
      <c r="G62" s="467"/>
      <c r="H62" s="467"/>
      <c r="I62" s="467"/>
      <c r="J62" s="467"/>
      <c r="K62" s="467"/>
      <c r="L62" s="467"/>
      <c r="M62" s="469"/>
      <c r="N62" s="1060"/>
      <c r="O62" s="1060"/>
      <c r="P62" s="2104"/>
      <c r="Q62" s="459"/>
    </row>
    <row r="63" spans="1:29">
      <c r="A63" s="482" t="s">
        <v>2408</v>
      </c>
      <c r="B63" s="483" t="s">
        <v>2374</v>
      </c>
      <c r="C63" s="484">
        <f>C9</f>
        <v>0</v>
      </c>
      <c r="D63" s="485"/>
      <c r="E63" s="485"/>
      <c r="F63" s="485"/>
      <c r="G63" s="485"/>
      <c r="H63" s="485"/>
      <c r="I63" s="485"/>
      <c r="J63" s="485"/>
      <c r="K63" s="486"/>
      <c r="L63" s="487"/>
      <c r="M63" s="488"/>
      <c r="N63" s="1061"/>
      <c r="O63" s="1061"/>
      <c r="P63" s="2106"/>
      <c r="Q63" s="459"/>
    </row>
    <row r="64" spans="1:29" ht="15.75" thickBot="1">
      <c r="A64" s="489"/>
      <c r="B64" s="490"/>
      <c r="C64" s="491">
        <v>100</v>
      </c>
      <c r="D64" s="491"/>
      <c r="E64" s="491"/>
      <c r="F64" s="491"/>
      <c r="G64" s="491"/>
      <c r="H64" s="491"/>
      <c r="I64" s="491"/>
      <c r="J64" s="491"/>
      <c r="K64" s="491"/>
      <c r="L64" s="491"/>
      <c r="M64" s="492"/>
      <c r="N64" s="1062"/>
      <c r="O64" s="1062"/>
      <c r="P64" s="2106"/>
      <c r="Q64" s="459"/>
    </row>
    <row r="65" spans="1:17" ht="27.75" thickTop="1">
      <c r="A65" s="489"/>
      <c r="B65" s="493" t="s">
        <v>2377</v>
      </c>
      <c r="C65" s="494" t="s">
        <v>2409</v>
      </c>
      <c r="D65" s="494" t="s">
        <v>2410</v>
      </c>
      <c r="E65" s="494" t="s">
        <v>2411</v>
      </c>
      <c r="F65" s="494" t="s">
        <v>2412</v>
      </c>
      <c r="G65" s="494" t="s">
        <v>2413</v>
      </c>
      <c r="H65" s="494" t="s">
        <v>2414</v>
      </c>
      <c r="I65" s="494" t="s">
        <v>2415</v>
      </c>
      <c r="J65" s="494"/>
      <c r="K65" s="495"/>
      <c r="L65" s="496"/>
      <c r="M65" s="497"/>
      <c r="N65" s="1061"/>
      <c r="O65" s="1061"/>
      <c r="P65" s="2106"/>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2"/>
      <c r="O66" s="1062"/>
      <c r="P66" s="2106"/>
      <c r="Q66" s="459"/>
    </row>
    <row r="67" spans="1:17" ht="15.75" thickTop="1">
      <c r="A67" s="489"/>
      <c r="B67" s="501" t="s">
        <v>2378</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2"/>
      <c r="O67" s="1062"/>
      <c r="P67" s="2106"/>
      <c r="Q67" s="459"/>
    </row>
    <row r="68" spans="1:17" ht="15">
      <c r="A68" s="489"/>
      <c r="B68" s="503"/>
      <c r="C68" s="504"/>
      <c r="D68" s="504"/>
      <c r="E68" s="504"/>
      <c r="F68" s="504"/>
      <c r="G68" s="504"/>
      <c r="H68" s="504"/>
      <c r="I68" s="504"/>
      <c r="J68" s="504"/>
      <c r="K68" s="505"/>
      <c r="L68" s="506"/>
      <c r="M68" s="507"/>
      <c r="N68" s="1061"/>
      <c r="O68" s="1061"/>
      <c r="P68" s="2106"/>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2"/>
      <c r="O69" s="1062"/>
      <c r="P69" s="2106"/>
      <c r="Q69" s="459"/>
    </row>
    <row r="70" spans="1:17" s="428" customFormat="1" ht="15.75" thickTop="1">
      <c r="A70" s="508"/>
      <c r="B70" s="493">
        <f>B12</f>
        <v>111</v>
      </c>
      <c r="C70" s="509"/>
      <c r="D70" s="509"/>
      <c r="E70" s="509"/>
      <c r="F70" s="509"/>
      <c r="G70" s="509"/>
      <c r="H70" s="510"/>
      <c r="I70" s="510"/>
      <c r="J70" s="510"/>
      <c r="K70" s="510"/>
      <c r="L70" s="511"/>
      <c r="M70" s="512"/>
      <c r="N70" s="1063"/>
      <c r="O70" s="1063"/>
      <c r="P70" s="2107"/>
      <c r="Q70" s="514"/>
    </row>
    <row r="71" spans="1:17" s="428" customFormat="1" ht="15.75" thickBot="1">
      <c r="A71" s="508"/>
      <c r="B71" s="498"/>
      <c r="C71" s="515"/>
      <c r="D71" s="491"/>
      <c r="E71" s="491"/>
      <c r="F71" s="491"/>
      <c r="G71" s="491"/>
      <c r="H71" s="491"/>
      <c r="I71" s="491"/>
      <c r="J71" s="491"/>
      <c r="K71" s="491"/>
      <c r="L71" s="491"/>
      <c r="M71" s="492"/>
      <c r="N71" s="1062"/>
      <c r="O71" s="1062"/>
      <c r="P71" s="2107"/>
      <c r="Q71" s="514"/>
    </row>
    <row r="72" spans="1:17" s="428" customFormat="1" ht="15.75" thickTop="1">
      <c r="A72" s="508"/>
      <c r="B72" s="493">
        <f>B13</f>
        <v>111</v>
      </c>
      <c r="C72" s="509"/>
      <c r="D72" s="509"/>
      <c r="E72" s="509"/>
      <c r="F72" s="509"/>
      <c r="G72" s="509"/>
      <c r="H72" s="510"/>
      <c r="I72" s="510"/>
      <c r="J72" s="510"/>
      <c r="K72" s="510"/>
      <c r="L72" s="511"/>
      <c r="M72" s="512"/>
      <c r="N72" s="1063"/>
      <c r="O72" s="1063"/>
      <c r="P72" s="2108"/>
      <c r="Q72" s="516"/>
    </row>
    <row r="73" spans="1:17" s="428" customFormat="1" ht="15.75" thickBot="1">
      <c r="A73" s="508"/>
      <c r="B73" s="498"/>
      <c r="C73" s="515"/>
      <c r="D73" s="515"/>
      <c r="E73" s="515"/>
      <c r="F73" s="515"/>
      <c r="G73" s="515"/>
      <c r="H73" s="517"/>
      <c r="I73" s="517"/>
      <c r="J73" s="517"/>
      <c r="K73" s="517"/>
      <c r="L73" s="517"/>
      <c r="M73" s="518"/>
      <c r="N73" s="1063"/>
      <c r="O73" s="1063"/>
      <c r="P73" s="2107"/>
      <c r="Q73" s="514"/>
    </row>
    <row r="74" spans="1:17" s="428" customFormat="1" ht="15.75" thickTop="1">
      <c r="A74" s="508"/>
      <c r="B74" s="501">
        <f>B14</f>
        <v>111</v>
      </c>
      <c r="C74" s="509"/>
      <c r="D74" s="509"/>
      <c r="E74" s="509"/>
      <c r="F74" s="509"/>
      <c r="G74" s="478"/>
      <c r="H74" s="519"/>
      <c r="I74" s="519"/>
      <c r="J74" s="519"/>
      <c r="K74" s="519"/>
      <c r="L74" s="520"/>
      <c r="M74" s="521"/>
      <c r="N74" s="1063"/>
      <c r="O74" s="1063"/>
      <c r="P74" s="2109"/>
      <c r="Q74" s="514"/>
    </row>
    <row r="75" spans="1:17" s="428" customFormat="1" ht="15.75" thickBot="1">
      <c r="A75" s="523"/>
      <c r="B75" s="524"/>
      <c r="C75" s="525"/>
      <c r="D75" s="525"/>
      <c r="E75" s="525"/>
      <c r="F75" s="525"/>
      <c r="G75" s="525"/>
      <c r="H75" s="526"/>
      <c r="I75" s="526"/>
      <c r="J75" s="526"/>
      <c r="K75" s="526"/>
      <c r="L75" s="526"/>
      <c r="M75" s="527"/>
      <c r="N75" s="1063"/>
      <c r="O75" s="1063"/>
      <c r="P75" s="2107"/>
      <c r="Q75" s="514"/>
    </row>
    <row r="76" spans="1:17">
      <c r="A76" s="482" t="s">
        <v>2379</v>
      </c>
      <c r="B76" s="483" t="s">
        <v>2416</v>
      </c>
      <c r="C76" s="528" t="s">
        <v>2417</v>
      </c>
      <c r="D76" s="528" t="s">
        <v>2418</v>
      </c>
      <c r="E76" s="528" t="s">
        <v>2419</v>
      </c>
      <c r="F76" s="528" t="s">
        <v>2420</v>
      </c>
      <c r="G76" s="528" t="s">
        <v>2421</v>
      </c>
      <c r="H76" s="484"/>
      <c r="I76" s="484"/>
      <c r="J76" s="484"/>
      <c r="K76" s="529"/>
      <c r="L76" s="530"/>
      <c r="M76" s="531"/>
      <c r="N76" s="1061"/>
      <c r="O76" s="1061"/>
      <c r="P76" s="2110"/>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2"/>
      <c r="O77" s="1062"/>
      <c r="P77" s="2106"/>
      <c r="Q77" s="459"/>
    </row>
    <row r="78" spans="1:17" ht="15.75" thickTop="1">
      <c r="A78" s="489"/>
      <c r="B78" s="493" t="s">
        <v>2422</v>
      </c>
      <c r="C78" s="533" t="s">
        <v>2417</v>
      </c>
      <c r="D78" s="533" t="s">
        <v>2418</v>
      </c>
      <c r="E78" s="533" t="s">
        <v>2419</v>
      </c>
      <c r="F78" s="533" t="s">
        <v>2420</v>
      </c>
      <c r="G78" s="533" t="s">
        <v>2421</v>
      </c>
      <c r="H78" s="494"/>
      <c r="I78" s="494"/>
      <c r="J78" s="494"/>
      <c r="K78" s="495"/>
      <c r="L78" s="496"/>
      <c r="M78" s="497"/>
      <c r="N78" s="1061"/>
      <c r="O78" s="1061"/>
      <c r="P78" s="2106"/>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2"/>
      <c r="O79" s="1062"/>
      <c r="P79" s="2106"/>
      <c r="Q79" s="459"/>
    </row>
    <row r="80" spans="1:17" ht="15.75" thickTop="1">
      <c r="A80" s="489"/>
      <c r="B80" s="493" t="s">
        <v>2423</v>
      </c>
      <c r="C80" s="533" t="s">
        <v>2417</v>
      </c>
      <c r="D80" s="533" t="s">
        <v>2418</v>
      </c>
      <c r="E80" s="533" t="s">
        <v>2419</v>
      </c>
      <c r="F80" s="533" t="s">
        <v>2420</v>
      </c>
      <c r="G80" s="533" t="s">
        <v>2421</v>
      </c>
      <c r="H80" s="494"/>
      <c r="I80" s="494"/>
      <c r="J80" s="494"/>
      <c r="K80" s="495"/>
      <c r="L80" s="496"/>
      <c r="M80" s="497"/>
      <c r="N80" s="1061"/>
      <c r="O80" s="1061"/>
      <c r="P80" s="2106"/>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2"/>
      <c r="O81" s="1062"/>
      <c r="P81" s="2106"/>
      <c r="Q81" s="459"/>
    </row>
    <row r="82" spans="1:17" ht="15.75" thickTop="1">
      <c r="A82" s="489"/>
      <c r="B82" s="501" t="s">
        <v>1948</v>
      </c>
      <c r="C82" s="494" t="s">
        <v>2424</v>
      </c>
      <c r="D82" s="494" t="s">
        <v>2425</v>
      </c>
      <c r="E82" s="494" t="s">
        <v>2426</v>
      </c>
      <c r="F82" s="494" t="s">
        <v>2427</v>
      </c>
      <c r="G82" s="494" t="s">
        <v>2428</v>
      </c>
      <c r="H82" s="494"/>
      <c r="I82" s="494"/>
      <c r="J82" s="494"/>
      <c r="K82" s="494"/>
      <c r="L82" s="494"/>
      <c r="M82" s="1288"/>
      <c r="N82" s="1062"/>
      <c r="O82" s="1062"/>
      <c r="P82" s="2106"/>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2"/>
      <c r="O83" s="1062"/>
      <c r="P83" s="2106"/>
      <c r="Q83" s="459"/>
    </row>
    <row r="84" spans="1:17" ht="15.75" thickTop="1">
      <c r="A84" s="489"/>
      <c r="B84" s="493" t="s">
        <v>2429</v>
      </c>
      <c r="C84" s="533" t="s">
        <v>2417</v>
      </c>
      <c r="D84" s="533" t="s">
        <v>2418</v>
      </c>
      <c r="E84" s="533" t="s">
        <v>2419</v>
      </c>
      <c r="F84" s="533" t="s">
        <v>2420</v>
      </c>
      <c r="G84" s="533" t="s">
        <v>2421</v>
      </c>
      <c r="H84" s="494"/>
      <c r="I84" s="494"/>
      <c r="J84" s="494"/>
      <c r="K84" s="495"/>
      <c r="L84" s="496"/>
      <c r="M84" s="497"/>
      <c r="N84" s="1061"/>
      <c r="O84" s="1061"/>
      <c r="P84" s="2106"/>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2"/>
      <c r="O85" s="1062"/>
      <c r="P85" s="2106"/>
      <c r="Q85" s="459"/>
    </row>
    <row r="86" spans="1:17" s="113" customFormat="1" ht="15.75" thickTop="1">
      <c r="A86" s="534"/>
      <c r="B86" s="493" t="s">
        <v>2430</v>
      </c>
      <c r="C86" s="509"/>
      <c r="D86" s="509"/>
      <c r="E86" s="509"/>
      <c r="F86" s="509"/>
      <c r="G86" s="509"/>
      <c r="H86" s="509"/>
      <c r="I86" s="509"/>
      <c r="J86" s="509"/>
      <c r="K86" s="509"/>
      <c r="L86" s="535"/>
      <c r="M86" s="536"/>
      <c r="N86" s="1060"/>
      <c r="O86" s="1060"/>
      <c r="P86" s="2106"/>
      <c r="Q86" s="459"/>
    </row>
    <row r="87" spans="1:17" s="113"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2"/>
      <c r="O87" s="1062"/>
      <c r="P87" s="2106"/>
      <c r="Q87" s="459"/>
    </row>
    <row r="88" spans="1:17" s="113" customFormat="1" ht="15.75" thickTop="1">
      <c r="A88" s="534"/>
      <c r="B88" s="493" t="s">
        <v>2431</v>
      </c>
      <c r="C88" s="509"/>
      <c r="D88" s="509"/>
      <c r="E88" s="509"/>
      <c r="F88" s="2111"/>
      <c r="G88" s="509"/>
      <c r="H88" s="509"/>
      <c r="I88" s="509"/>
      <c r="J88" s="509"/>
      <c r="K88" s="509"/>
      <c r="L88" s="509"/>
      <c r="M88" s="536"/>
      <c r="N88" s="1060"/>
      <c r="O88" s="1060"/>
      <c r="P88" s="2106"/>
      <c r="Q88" s="459"/>
    </row>
    <row r="89" spans="1:17" s="113"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2"/>
      <c r="O89" s="1062"/>
      <c r="P89" s="2106"/>
      <c r="Q89" s="459"/>
    </row>
    <row r="90" spans="1:17" s="428" customFormat="1" ht="15.75" thickTop="1">
      <c r="A90" s="508"/>
      <c r="B90" s="493">
        <f>B27</f>
        <v>111</v>
      </c>
      <c r="C90" s="509"/>
      <c r="D90" s="509"/>
      <c r="E90" s="509"/>
      <c r="F90" s="509"/>
      <c r="G90" s="509"/>
      <c r="H90" s="510"/>
      <c r="I90" s="510"/>
      <c r="J90" s="510"/>
      <c r="K90" s="510"/>
      <c r="L90" s="511"/>
      <c r="M90" s="512"/>
      <c r="N90" s="1063"/>
      <c r="O90" s="1063"/>
      <c r="P90" s="2107"/>
      <c r="Q90" s="514"/>
    </row>
    <row r="91" spans="1:17" s="428" customFormat="1" ht="15.75" thickBot="1">
      <c r="A91" s="508"/>
      <c r="B91" s="498"/>
      <c r="C91" s="515"/>
      <c r="D91" s="515"/>
      <c r="E91" s="515"/>
      <c r="F91" s="515"/>
      <c r="G91" s="515"/>
      <c r="H91" s="517"/>
      <c r="I91" s="517"/>
      <c r="J91" s="517"/>
      <c r="K91" s="517"/>
      <c r="L91" s="517"/>
      <c r="M91" s="518"/>
      <c r="N91" s="1063"/>
      <c r="O91" s="1063"/>
      <c r="P91" s="2107"/>
      <c r="Q91" s="514"/>
    </row>
    <row r="92" spans="1:17" ht="15.75" thickTop="1">
      <c r="A92" s="489"/>
      <c r="B92" s="493">
        <f>B28</f>
        <v>111</v>
      </c>
      <c r="C92" s="509"/>
      <c r="D92" s="509"/>
      <c r="E92" s="509"/>
      <c r="F92" s="509"/>
      <c r="G92" s="538"/>
      <c r="H92" s="538"/>
      <c r="I92" s="538"/>
      <c r="J92" s="538"/>
      <c r="K92" s="539"/>
      <c r="L92" s="540"/>
      <c r="M92" s="541"/>
      <c r="N92" s="1061"/>
      <c r="O92" s="1061"/>
      <c r="P92" s="2106"/>
      <c r="Q92" s="459"/>
    </row>
    <row r="93" spans="1:17" ht="15.75" thickBot="1">
      <c r="A93" s="489"/>
      <c r="B93" s="498"/>
      <c r="C93" s="515"/>
      <c r="D93" s="491"/>
      <c r="E93" s="491"/>
      <c r="F93" s="491"/>
      <c r="G93" s="491"/>
      <c r="H93" s="491"/>
      <c r="I93" s="491"/>
      <c r="J93" s="491"/>
      <c r="K93" s="491"/>
      <c r="L93" s="491"/>
      <c r="M93" s="492"/>
      <c r="N93" s="1062"/>
      <c r="O93" s="1062"/>
      <c r="P93" s="2106"/>
      <c r="Q93" s="459"/>
    </row>
    <row r="94" spans="1:17" ht="15.75" thickTop="1">
      <c r="A94" s="489"/>
      <c r="B94" s="493">
        <f>B29</f>
        <v>111</v>
      </c>
      <c r="C94" s="509"/>
      <c r="D94" s="509"/>
      <c r="E94" s="509"/>
      <c r="F94" s="509"/>
      <c r="G94" s="538"/>
      <c r="H94" s="538"/>
      <c r="I94" s="538"/>
      <c r="J94" s="538"/>
      <c r="K94" s="539"/>
      <c r="L94" s="540"/>
      <c r="M94" s="541"/>
      <c r="N94" s="1061"/>
      <c r="O94" s="1061"/>
      <c r="P94" s="2106"/>
      <c r="Q94" s="459"/>
    </row>
    <row r="95" spans="1:17" ht="15.75" thickBot="1">
      <c r="A95" s="489"/>
      <c r="B95" s="498"/>
      <c r="C95" s="515"/>
      <c r="D95" s="515"/>
      <c r="E95" s="515"/>
      <c r="F95" s="515"/>
      <c r="G95" s="491"/>
      <c r="H95" s="491"/>
      <c r="I95" s="491"/>
      <c r="J95" s="491"/>
      <c r="K95" s="491"/>
      <c r="L95" s="491"/>
      <c r="M95" s="492"/>
      <c r="N95" s="1062"/>
      <c r="O95" s="1062"/>
      <c r="P95" s="2106"/>
      <c r="Q95" s="459"/>
    </row>
    <row r="96" spans="1:17" ht="15.75" thickTop="1">
      <c r="A96" s="489"/>
      <c r="B96" s="493">
        <f>B30</f>
        <v>111</v>
      </c>
      <c r="C96" s="509"/>
      <c r="D96" s="509"/>
      <c r="E96" s="509"/>
      <c r="F96" s="509"/>
      <c r="G96" s="538"/>
      <c r="H96" s="538"/>
      <c r="I96" s="538"/>
      <c r="J96" s="538"/>
      <c r="K96" s="539"/>
      <c r="L96" s="540"/>
      <c r="M96" s="541"/>
      <c r="N96" s="1061"/>
      <c r="O96" s="1061"/>
      <c r="P96" s="2106"/>
      <c r="Q96" s="459"/>
    </row>
    <row r="97" spans="1:17" ht="15.75" thickBot="1">
      <c r="A97" s="489"/>
      <c r="B97" s="498"/>
      <c r="C97" s="525"/>
      <c r="D97" s="525"/>
      <c r="E97" s="525"/>
      <c r="F97" s="525"/>
      <c r="G97" s="491"/>
      <c r="H97" s="491"/>
      <c r="I97" s="491"/>
      <c r="J97" s="491"/>
      <c r="K97" s="491"/>
      <c r="L97" s="491"/>
      <c r="M97" s="492"/>
      <c r="N97" s="1062"/>
      <c r="O97" s="1062"/>
      <c r="P97" s="2106"/>
      <c r="Q97" s="459"/>
    </row>
    <row r="98" spans="1:17" ht="15.75" thickTop="1">
      <c r="A98" s="489"/>
      <c r="B98" s="501">
        <f>B31</f>
        <v>111</v>
      </c>
      <c r="C98" s="542"/>
      <c r="D98" s="542"/>
      <c r="E98" s="542"/>
      <c r="F98" s="542"/>
      <c r="G98" s="542"/>
      <c r="H98" s="542"/>
      <c r="I98" s="542"/>
      <c r="J98" s="542"/>
      <c r="K98" s="543"/>
      <c r="L98" s="544"/>
      <c r="M98" s="545"/>
      <c r="N98" s="1061"/>
      <c r="O98" s="1061"/>
      <c r="P98" s="2106"/>
      <c r="Q98" s="459"/>
    </row>
    <row r="99" spans="1:17" ht="15.75" thickBot="1">
      <c r="A99" s="2112"/>
      <c r="B99" s="524"/>
      <c r="C99" s="546"/>
      <c r="D99" s="546"/>
      <c r="E99" s="546"/>
      <c r="F99" s="546"/>
      <c r="G99" s="546"/>
      <c r="H99" s="546"/>
      <c r="I99" s="546"/>
      <c r="J99" s="546"/>
      <c r="K99" s="546"/>
      <c r="L99" s="546"/>
      <c r="M99" s="547"/>
      <c r="N99" s="1062"/>
      <c r="O99" s="1062"/>
      <c r="P99" s="2106"/>
      <c r="Q99" s="459"/>
    </row>
    <row r="100" spans="1:17">
      <c r="A100" s="482" t="s">
        <v>2383</v>
      </c>
      <c r="B100" s="483" t="s">
        <v>2432</v>
      </c>
      <c r="C100" s="485"/>
      <c r="D100" s="485"/>
      <c r="E100" s="485"/>
      <c r="F100" s="485"/>
      <c r="G100" s="485"/>
      <c r="H100" s="485"/>
      <c r="I100" s="485"/>
      <c r="J100" s="485"/>
      <c r="K100" s="486"/>
      <c r="L100" s="487"/>
      <c r="M100" s="488"/>
      <c r="N100" s="1061"/>
      <c r="O100" s="1061"/>
      <c r="P100" s="2106"/>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2"/>
      <c r="O101" s="1062"/>
      <c r="P101" s="2106"/>
      <c r="Q101" s="459"/>
    </row>
    <row r="102" spans="1:17" ht="15.75" thickTop="1">
      <c r="A102" s="489"/>
      <c r="B102" s="493" t="s">
        <v>2433</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0"/>
      <c r="O102" s="1060"/>
      <c r="P102" s="2106"/>
      <c r="Q102" s="459"/>
    </row>
    <row r="103" spans="1:17" s="428" customFormat="1">
      <c r="A103" s="548"/>
      <c r="B103" s="549"/>
      <c r="C103" s="550"/>
      <c r="D103" s="550"/>
      <c r="E103" s="550"/>
      <c r="F103" s="550"/>
      <c r="G103" s="550"/>
      <c r="H103" s="550"/>
      <c r="I103" s="550"/>
      <c r="J103" s="551"/>
      <c r="K103" s="551"/>
      <c r="L103" s="552"/>
      <c r="M103" s="553"/>
      <c r="N103" s="1063"/>
      <c r="O103" s="1063"/>
      <c r="P103" s="2107"/>
      <c r="Q103" s="514"/>
    </row>
    <row r="104" spans="1:17" s="428" customFormat="1" ht="15.75" thickBot="1">
      <c r="A104" s="508"/>
      <c r="B104" s="498"/>
      <c r="C104" s="515"/>
      <c r="D104" s="491"/>
      <c r="E104" s="491"/>
      <c r="F104" s="491"/>
      <c r="G104" s="491"/>
      <c r="H104" s="491"/>
      <c r="I104" s="491"/>
      <c r="J104" s="491"/>
      <c r="K104" s="491"/>
      <c r="L104" s="491"/>
      <c r="M104" s="491"/>
      <c r="N104" s="1062"/>
      <c r="O104" s="1062"/>
      <c r="P104" s="2107"/>
      <c r="Q104" s="514"/>
    </row>
    <row r="105" spans="1:17" ht="15" thickTop="1">
      <c r="A105" s="554"/>
      <c r="B105" s="493" t="s">
        <v>2434</v>
      </c>
      <c r="C105" s="509"/>
      <c r="D105" s="509"/>
      <c r="E105" s="538"/>
      <c r="F105" s="538"/>
      <c r="G105" s="538"/>
      <c r="H105" s="538"/>
      <c r="I105" s="538"/>
      <c r="J105" s="538"/>
      <c r="K105" s="539"/>
      <c r="L105" s="540"/>
      <c r="M105" s="541"/>
      <c r="N105" s="1061"/>
      <c r="O105" s="1061"/>
      <c r="P105" s="2106"/>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2"/>
      <c r="O106" s="1062"/>
      <c r="P106" s="2106"/>
      <c r="Q106" s="459"/>
    </row>
    <row r="107" spans="1:17" ht="15" thickTop="1">
      <c r="A107" s="554"/>
      <c r="B107" s="493" t="s">
        <v>2435</v>
      </c>
      <c r="C107" s="538"/>
      <c r="D107" s="538"/>
      <c r="E107" s="538"/>
      <c r="F107" s="538"/>
      <c r="G107" s="538"/>
      <c r="H107" s="538"/>
      <c r="I107" s="538"/>
      <c r="J107" s="538"/>
      <c r="K107" s="539"/>
      <c r="L107" s="540"/>
      <c r="M107" s="541"/>
      <c r="N107" s="1061"/>
      <c r="O107" s="1061"/>
      <c r="P107" s="2106"/>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2"/>
      <c r="O108" s="1062"/>
      <c r="P108" s="2106"/>
      <c r="Q108" s="459"/>
    </row>
    <row r="109" spans="1:17" ht="15" thickTop="1">
      <c r="A109" s="554"/>
      <c r="B109" s="493" t="s">
        <v>2436</v>
      </c>
      <c r="C109" s="509"/>
      <c r="D109" s="509"/>
      <c r="E109" s="509"/>
      <c r="F109" s="538"/>
      <c r="G109" s="538"/>
      <c r="H109" s="538"/>
      <c r="I109" s="538"/>
      <c r="J109" s="538"/>
      <c r="K109" s="539"/>
      <c r="L109" s="540"/>
      <c r="M109" s="541"/>
      <c r="N109" s="1061"/>
      <c r="O109" s="1061"/>
      <c r="P109" s="2106"/>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2"/>
      <c r="O110" s="1062"/>
      <c r="P110" s="2106"/>
      <c r="Q110" s="459"/>
    </row>
    <row r="111" spans="1:17" s="428" customFormat="1" ht="15" thickTop="1">
      <c r="A111" s="548"/>
      <c r="B111" s="493" t="s">
        <v>1877</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3"/>
      <c r="O111" s="1063"/>
      <c r="P111" s="2107"/>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3"/>
      <c r="O112" s="1063"/>
      <c r="P112" s="2107"/>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3"/>
      <c r="O113" s="1063"/>
      <c r="P113" s="2107"/>
      <c r="Q113" s="514"/>
    </row>
    <row r="114" spans="1:17" ht="15" thickTop="1">
      <c r="A114" s="554"/>
      <c r="B114" s="493" t="s">
        <v>2437</v>
      </c>
      <c r="C114" s="509"/>
      <c r="D114" s="509"/>
      <c r="E114" s="538"/>
      <c r="F114" s="538"/>
      <c r="G114" s="538"/>
      <c r="H114" s="538"/>
      <c r="I114" s="538"/>
      <c r="J114" s="538"/>
      <c r="K114" s="539"/>
      <c r="L114" s="540"/>
      <c r="M114" s="541"/>
      <c r="N114" s="1061"/>
      <c r="O114" s="1061"/>
      <c r="P114" s="2106"/>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2"/>
      <c r="O115" s="1062"/>
      <c r="P115" s="2106"/>
      <c r="Q115" s="459"/>
    </row>
    <row r="116" spans="1:17" ht="15" thickTop="1">
      <c r="A116" s="554"/>
      <c r="B116" s="493" t="s">
        <v>2438</v>
      </c>
      <c r="C116" s="509"/>
      <c r="D116" s="509"/>
      <c r="E116" s="509"/>
      <c r="F116" s="509"/>
      <c r="G116" s="509"/>
      <c r="H116" s="538"/>
      <c r="I116" s="538"/>
      <c r="J116" s="538"/>
      <c r="K116" s="539"/>
      <c r="L116" s="540"/>
      <c r="M116" s="541"/>
      <c r="N116" s="1061"/>
      <c r="O116" s="1061"/>
      <c r="P116" s="2106"/>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2"/>
      <c r="O117" s="1062"/>
      <c r="P117" s="2106"/>
      <c r="Q117" s="459"/>
    </row>
    <row r="118" spans="1:17" ht="15" thickTop="1">
      <c r="A118" s="554"/>
      <c r="B118" s="493" t="s">
        <v>2439</v>
      </c>
      <c r="C118" s="538"/>
      <c r="D118" s="538"/>
      <c r="E118" s="538"/>
      <c r="F118" s="538"/>
      <c r="G118" s="538"/>
      <c r="H118" s="538"/>
      <c r="I118" s="538"/>
      <c r="J118" s="538"/>
      <c r="K118" s="539"/>
      <c r="L118" s="540"/>
      <c r="M118" s="541"/>
      <c r="N118" s="1061"/>
      <c r="O118" s="1061"/>
      <c r="P118" s="2106"/>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2"/>
      <c r="O119" s="1062"/>
      <c r="P119" s="2106"/>
      <c r="Q119" s="459"/>
    </row>
    <row r="120" spans="1:17" s="428" customFormat="1" ht="28.5" thickTop="1">
      <c r="A120" s="548"/>
      <c r="B120" s="493" t="s">
        <v>2394</v>
      </c>
      <c r="C120" s="509"/>
      <c r="D120" s="509"/>
      <c r="E120" s="509"/>
      <c r="F120" s="509"/>
      <c r="G120" s="509"/>
      <c r="H120" s="509"/>
      <c r="I120" s="509"/>
      <c r="J120" s="509"/>
      <c r="K120" s="509"/>
      <c r="L120" s="535"/>
      <c r="M120" s="536"/>
      <c r="N120" s="1063"/>
      <c r="O120" s="1063"/>
      <c r="P120" s="2107"/>
      <c r="Q120" s="514"/>
    </row>
    <row r="121" spans="1:17" s="428" customFormat="1" ht="15.75" thickBot="1">
      <c r="A121" s="508"/>
      <c r="B121" s="490"/>
      <c r="C121" s="515"/>
      <c r="D121" s="491"/>
      <c r="E121" s="491"/>
      <c r="F121" s="491"/>
      <c r="G121" s="491"/>
      <c r="H121" s="491"/>
      <c r="I121" s="491"/>
      <c r="J121" s="491"/>
      <c r="K121" s="491"/>
      <c r="L121" s="491"/>
      <c r="M121" s="491"/>
      <c r="N121" s="1063"/>
      <c r="O121" s="1063"/>
      <c r="P121" s="2107"/>
      <c r="Q121" s="514"/>
    </row>
    <row r="122" spans="1:17" ht="15" thickTop="1">
      <c r="A122" s="554"/>
      <c r="B122" s="493" t="s">
        <v>2440</v>
      </c>
      <c r="C122" s="509"/>
      <c r="D122" s="509"/>
      <c r="E122" s="509"/>
      <c r="F122" s="538"/>
      <c r="G122" s="538"/>
      <c r="H122" s="538"/>
      <c r="I122" s="538"/>
      <c r="J122" s="538"/>
      <c r="K122" s="539"/>
      <c r="L122" s="540"/>
      <c r="M122" s="541"/>
      <c r="N122" s="1061"/>
      <c r="O122" s="1061"/>
      <c r="P122" s="2106"/>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2"/>
      <c r="O123" s="1062"/>
      <c r="P123" s="2106"/>
      <c r="Q123" s="459"/>
    </row>
    <row r="124" spans="1:17" ht="15" thickTop="1">
      <c r="A124" s="554"/>
      <c r="B124" s="493" t="s">
        <v>2441</v>
      </c>
      <c r="C124" s="533" t="s">
        <v>2417</v>
      </c>
      <c r="D124" s="533" t="s">
        <v>2418</v>
      </c>
      <c r="E124" s="533" t="s">
        <v>2419</v>
      </c>
      <c r="F124" s="533" t="s">
        <v>2420</v>
      </c>
      <c r="G124" s="533" t="s">
        <v>2421</v>
      </c>
      <c r="H124" s="494"/>
      <c r="I124" s="494"/>
      <c r="J124" s="494"/>
      <c r="K124" s="495"/>
      <c r="L124" s="496"/>
      <c r="M124" s="497"/>
      <c r="N124" s="1061"/>
      <c r="O124" s="1061"/>
      <c r="P124" s="2107"/>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2"/>
      <c r="O125" s="1062"/>
      <c r="P125" s="2106"/>
      <c r="Q125" s="459"/>
    </row>
    <row r="126" spans="1:17" s="428" customFormat="1" ht="15" thickTop="1">
      <c r="A126" s="548"/>
      <c r="B126" s="493">
        <f>B44</f>
        <v>111</v>
      </c>
      <c r="C126" s="509"/>
      <c r="D126" s="509"/>
      <c r="E126" s="509"/>
      <c r="F126" s="509"/>
      <c r="G126" s="509"/>
      <c r="H126" s="510"/>
      <c r="I126" s="510"/>
      <c r="J126" s="510"/>
      <c r="K126" s="510"/>
      <c r="L126" s="511"/>
      <c r="M126" s="512"/>
      <c r="N126" s="1063"/>
      <c r="O126" s="1063"/>
      <c r="P126" s="2107"/>
      <c r="Q126" s="514"/>
    </row>
    <row r="127" spans="1:17" s="428" customFormat="1" ht="15.75" thickBot="1">
      <c r="A127" s="508"/>
      <c r="B127" s="498"/>
      <c r="C127" s="515"/>
      <c r="D127" s="491"/>
      <c r="E127" s="491"/>
      <c r="F127" s="491"/>
      <c r="G127" s="515"/>
      <c r="H127" s="517"/>
      <c r="I127" s="517"/>
      <c r="J127" s="517"/>
      <c r="K127" s="517"/>
      <c r="L127" s="517"/>
      <c r="M127" s="518"/>
      <c r="N127" s="1063"/>
      <c r="O127" s="1063"/>
      <c r="P127" s="2107"/>
      <c r="Q127" s="514"/>
    </row>
    <row r="128" spans="1:17" ht="15" thickTop="1">
      <c r="A128" s="554"/>
      <c r="B128" s="493">
        <f>B45</f>
        <v>111</v>
      </c>
      <c r="C128" s="509"/>
      <c r="D128" s="509"/>
      <c r="E128" s="509"/>
      <c r="F128" s="509"/>
      <c r="G128" s="538"/>
      <c r="H128" s="538"/>
      <c r="I128" s="538"/>
      <c r="J128" s="538"/>
      <c r="K128" s="539"/>
      <c r="L128" s="540"/>
      <c r="M128" s="541"/>
      <c r="N128" s="1061"/>
      <c r="O128" s="1061"/>
      <c r="P128" s="2106"/>
      <c r="Q128" s="459"/>
    </row>
    <row r="129" spans="1:17" ht="15.75" thickBot="1">
      <c r="A129" s="489"/>
      <c r="B129" s="498"/>
      <c r="C129" s="515"/>
      <c r="D129" s="515"/>
      <c r="E129" s="515"/>
      <c r="F129" s="515"/>
      <c r="G129" s="491"/>
      <c r="H129" s="491"/>
      <c r="I129" s="491"/>
      <c r="J129" s="491"/>
      <c r="K129" s="491"/>
      <c r="L129" s="491"/>
      <c r="M129" s="492"/>
      <c r="N129" s="1062"/>
      <c r="O129" s="1062"/>
      <c r="P129" s="2106"/>
      <c r="Q129" s="459"/>
    </row>
    <row r="130" spans="1:17" ht="15" thickTop="1">
      <c r="A130" s="554"/>
      <c r="B130" s="501">
        <f>B46</f>
        <v>111</v>
      </c>
      <c r="C130" s="509"/>
      <c r="D130" s="509"/>
      <c r="E130" s="509"/>
      <c r="F130" s="509"/>
      <c r="G130" s="542"/>
      <c r="H130" s="542"/>
      <c r="I130" s="542"/>
      <c r="J130" s="542"/>
      <c r="K130" s="478"/>
      <c r="L130" s="479"/>
      <c r="M130" s="545"/>
      <c r="N130" s="1061"/>
      <c r="O130" s="1061"/>
      <c r="P130" s="2106"/>
      <c r="Q130" s="459"/>
    </row>
    <row r="131" spans="1:17" ht="15.75" thickBot="1">
      <c r="A131" s="2112"/>
      <c r="B131" s="524"/>
      <c r="C131" s="525"/>
      <c r="D131" s="525"/>
      <c r="E131" s="525"/>
      <c r="F131" s="525"/>
      <c r="G131" s="546"/>
      <c r="H131" s="546"/>
      <c r="I131" s="546"/>
      <c r="J131" s="546"/>
      <c r="K131" s="546"/>
      <c r="L131" s="546"/>
      <c r="M131" s="547"/>
      <c r="N131" s="1062"/>
      <c r="O131" s="1062"/>
      <c r="P131" s="2106"/>
      <c r="Q131" s="459"/>
    </row>
    <row r="136" spans="1:17" ht="15" thickBot="1">
      <c r="B136" s="2113" t="s">
        <v>2442</v>
      </c>
    </row>
    <row r="137" spans="1:17" ht="15">
      <c r="B137" s="2114" t="s">
        <v>2443</v>
      </c>
      <c r="C137" s="2115"/>
      <c r="D137" s="2115"/>
      <c r="E137" s="2115"/>
      <c r="F137" s="2115"/>
      <c r="G137" s="2116"/>
      <c r="H137" s="2117"/>
      <c r="I137" s="2118" t="s">
        <v>2444</v>
      </c>
      <c r="J137" s="2115"/>
      <c r="K137" s="2119"/>
    </row>
    <row r="138" spans="1:17" ht="15">
      <c r="B138" s="2120"/>
      <c r="C138" s="140" t="s">
        <v>2445</v>
      </c>
      <c r="D138" s="140" t="s">
        <v>2446</v>
      </c>
      <c r="E138" s="2121" t="s">
        <v>2447</v>
      </c>
      <c r="F138" s="2122" t="s">
        <v>2448</v>
      </c>
      <c r="G138" s="140" t="s">
        <v>2446</v>
      </c>
      <c r="H138" s="141" t="s">
        <v>2447</v>
      </c>
      <c r="I138" s="2123"/>
      <c r="J138" s="140" t="s">
        <v>2449</v>
      </c>
      <c r="K138" s="141" t="s">
        <v>2450</v>
      </c>
    </row>
    <row r="139" spans="1:17" ht="15">
      <c r="B139" s="995">
        <v>6</v>
      </c>
      <c r="C139" s="996">
        <v>96</v>
      </c>
      <c r="D139" s="2124" t="s">
        <v>2451</v>
      </c>
      <c r="E139" s="997">
        <v>100</v>
      </c>
      <c r="F139" s="998">
        <v>102.5</v>
      </c>
      <c r="G139" s="2124" t="s">
        <v>2451</v>
      </c>
      <c r="H139" s="999">
        <v>105</v>
      </c>
      <c r="I139" s="2125" t="s">
        <v>2452</v>
      </c>
      <c r="J139" s="996">
        <v>20</v>
      </c>
      <c r="K139" s="1000">
        <f>C145/(J139-2)</f>
        <v>4.0555555555555553E-3</v>
      </c>
    </row>
    <row r="140" spans="1:17" ht="15">
      <c r="B140" s="1001">
        <v>5</v>
      </c>
      <c r="C140" s="1002">
        <v>100</v>
      </c>
      <c r="D140" s="1002"/>
      <c r="E140" s="1003"/>
      <c r="F140" s="1004">
        <v>102</v>
      </c>
      <c r="G140" s="1002"/>
      <c r="H140" s="1005"/>
      <c r="I140" s="2126" t="s">
        <v>2453</v>
      </c>
      <c r="J140" s="275">
        <f>ROUNDUP((J139-1)/2,0)</f>
        <v>10</v>
      </c>
      <c r="K140" s="1006">
        <v>100</v>
      </c>
    </row>
    <row r="141" spans="1:17" ht="15">
      <c r="B141" s="1001">
        <v>4</v>
      </c>
      <c r="C141" s="1002">
        <v>102</v>
      </c>
      <c r="D141" s="1002"/>
      <c r="E141" s="1003"/>
      <c r="F141" s="1004">
        <v>101.5</v>
      </c>
      <c r="G141" s="1002"/>
      <c r="H141" s="1005"/>
      <c r="I141" s="2126" t="s">
        <v>2454</v>
      </c>
      <c r="J141" s="275">
        <v>1</v>
      </c>
      <c r="K141" s="1007">
        <f>ROUND(100+(J141-J140)*K139*100,1)</f>
        <v>96.4</v>
      </c>
    </row>
    <row r="142" spans="1:17" ht="15">
      <c r="B142" s="1001">
        <v>3</v>
      </c>
      <c r="C142" s="1002">
        <v>103</v>
      </c>
      <c r="D142" s="1002"/>
      <c r="E142" s="1003"/>
      <c r="F142" s="1004">
        <v>101</v>
      </c>
      <c r="G142" s="1002"/>
      <c r="H142" s="1005"/>
      <c r="I142" s="2126" t="s">
        <v>2455</v>
      </c>
      <c r="J142" s="275">
        <f>J139</f>
        <v>20</v>
      </c>
      <c r="K142" s="1008">
        <v>95</v>
      </c>
    </row>
    <row r="143" spans="1:17" ht="15">
      <c r="B143" s="1001">
        <v>2</v>
      </c>
      <c r="C143" s="1002">
        <v>100</v>
      </c>
      <c r="D143" s="1002"/>
      <c r="E143" s="1003"/>
      <c r="F143" s="1004">
        <v>100.5</v>
      </c>
      <c r="G143" s="1002"/>
      <c r="H143" s="1005"/>
      <c r="I143" s="2126" t="s">
        <v>2456</v>
      </c>
      <c r="J143" s="1002">
        <v>15</v>
      </c>
      <c r="K143" s="1007">
        <f>ROUND(100+(J143-J140)*K139*100,1)</f>
        <v>102</v>
      </c>
    </row>
    <row r="144" spans="1:17" ht="15">
      <c r="B144" s="1001">
        <v>1</v>
      </c>
      <c r="C144" s="1002">
        <v>98</v>
      </c>
      <c r="D144" s="2127" t="s">
        <v>2457</v>
      </c>
      <c r="E144" s="1003">
        <v>102</v>
      </c>
      <c r="F144" s="1009">
        <v>100</v>
      </c>
      <c r="G144" s="2127" t="s">
        <v>2457</v>
      </c>
      <c r="H144" s="1005">
        <v>105</v>
      </c>
      <c r="I144" s="2126" t="s">
        <v>2456</v>
      </c>
      <c r="J144" s="1002">
        <v>18</v>
      </c>
      <c r="K144" s="1007">
        <f>ROUND(100+(J144-J140)*K139*100,1)</f>
        <v>103.2</v>
      </c>
    </row>
    <row r="145" spans="2:11" ht="15.75" thickBot="1">
      <c r="B145" s="2128" t="s">
        <v>2458</v>
      </c>
      <c r="C145" s="1010">
        <f>ROUND(MAX(C139:C144)/MIN(C139:C144)-1,3)</f>
        <v>7.2999999999999995E-2</v>
      </c>
      <c r="D145" s="1011"/>
      <c r="E145" s="1011"/>
      <c r="F145" s="2129" t="s">
        <v>2459</v>
      </c>
      <c r="G145" s="2130"/>
      <c r="H145" s="2131"/>
      <c r="I145" s="2132" t="s">
        <v>2456</v>
      </c>
      <c r="J145" s="1012">
        <v>8</v>
      </c>
      <c r="K145" s="1013">
        <f>ROUND(100+(J145-J140)*K139*100,1)</f>
        <v>99.2</v>
      </c>
    </row>
    <row r="147" spans="2:11">
      <c r="B147" s="2113" t="s">
        <v>2460</v>
      </c>
    </row>
    <row r="148" spans="2:11">
      <c r="B148" s="2113"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10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2348</v>
      </c>
      <c r="B1" s="2062" t="s">
        <v>2462</v>
      </c>
      <c r="C1" s="1403" t="s">
        <v>2350</v>
      </c>
      <c r="D1" s="1390"/>
      <c r="E1" s="2541"/>
      <c r="F1" s="2063"/>
      <c r="G1" s="1400" t="s">
        <v>2463</v>
      </c>
      <c r="H1" s="1399"/>
      <c r="I1" s="1399"/>
      <c r="J1" s="1399"/>
      <c r="K1" s="1401"/>
      <c r="L1" s="1402"/>
      <c r="M1" s="1403"/>
      <c r="N1" s="1403"/>
      <c r="O1" s="1403"/>
      <c r="P1" s="2133"/>
      <c r="Q1" s="2134"/>
      <c r="R1" s="2134"/>
      <c r="S1" s="2134"/>
      <c r="T1" s="2134"/>
      <c r="U1" s="2134"/>
      <c r="V1" s="2134"/>
      <c r="W1" s="2134"/>
      <c r="X1" s="2134"/>
      <c r="Y1" s="2134"/>
      <c r="Z1" s="2134"/>
      <c r="AA1" s="2134"/>
      <c r="AB1" s="2134"/>
      <c r="AC1" s="2135"/>
    </row>
    <row r="2" spans="1:29" s="356" customFormat="1" ht="28.5" customHeight="1" thickTop="1">
      <c r="A2" s="1386" t="s">
        <v>2150</v>
      </c>
      <c r="B2" s="1323" t="e">
        <f ca="1">IF(C2="——",ROUND(C49*D3/10000,0),ROUND(C49*D3/10000,0)-D2)</f>
        <v>#DIV/0!</v>
      </c>
      <c r="C2" s="2065"/>
      <c r="D2" s="1272" t="e">
        <f ca="1">SUMIF(INDIRECT("'"&amp;F2&amp;"'"&amp;"!A:A"),"承租人权益价值",INDIRECT("'"&amp;F2&amp;"'"&amp;"!c:c"))</f>
        <v>#REF!</v>
      </c>
      <c r="E2" s="2066" t="s">
        <v>2151</v>
      </c>
      <c r="F2" s="2067"/>
      <c r="G2" s="1036"/>
      <c r="H2" s="1036"/>
      <c r="I2" s="1036"/>
      <c r="J2" s="1036"/>
      <c r="K2" s="1036"/>
      <c r="L2" s="2961"/>
      <c r="M2" s="2962"/>
      <c r="N2" s="2962"/>
      <c r="O2" s="2962"/>
      <c r="P2" s="2136"/>
      <c r="Q2" s="1040"/>
      <c r="R2" s="1040"/>
      <c r="S2" s="1040"/>
      <c r="T2" s="1040"/>
      <c r="U2" s="1040"/>
      <c r="V2" s="1040"/>
      <c r="W2" s="1040"/>
      <c r="X2" s="1040"/>
      <c r="Y2" s="1040"/>
      <c r="Z2" s="1040"/>
      <c r="AA2" s="1040"/>
      <c r="AB2" s="1040"/>
      <c r="AC2" s="2137"/>
    </row>
    <row r="3" spans="1:29" s="356" customFormat="1" ht="28.5" customHeight="1" thickBot="1">
      <c r="A3" s="207" t="s">
        <v>2152</v>
      </c>
      <c r="B3" s="564" t="e">
        <f ca="1">IF(C2="——",C49,ROUND(B2*10000/D3,0))</f>
        <v>#DIV/0!</v>
      </c>
      <c r="C3" s="358" t="s">
        <v>2464</v>
      </c>
      <c r="D3" s="357">
        <f>IF(D1="",'数据-汇总表'!E3,SUMIF('数据-汇总表'!$C19:$C33,D1,'数据-汇总表'!$E19:$E33))</f>
        <v>160498.87</v>
      </c>
      <c r="E3" s="2138"/>
      <c r="F3" s="1037"/>
      <c r="G3" s="1036"/>
      <c r="H3" s="1036"/>
      <c r="I3" s="1036"/>
      <c r="J3" s="1036"/>
      <c r="K3" s="1038"/>
      <c r="L3" s="2961"/>
      <c r="M3" s="2962"/>
      <c r="N3" s="2962"/>
      <c r="O3" s="2962"/>
      <c r="P3" s="2136"/>
      <c r="Q3" s="1040"/>
      <c r="R3" s="1040"/>
      <c r="S3" s="1040"/>
      <c r="T3" s="1040"/>
      <c r="U3" s="1040"/>
      <c r="V3" s="1040"/>
      <c r="W3" s="1040"/>
      <c r="X3" s="1040"/>
      <c r="Y3" s="1040"/>
      <c r="Z3" s="1040"/>
      <c r="AA3" s="1040"/>
      <c r="AB3" s="1040"/>
      <c r="AC3" s="2138"/>
    </row>
    <row r="4" spans="1:29" ht="15">
      <c r="A4" s="359" t="s">
        <v>2465</v>
      </c>
      <c r="B4" s="360"/>
      <c r="C4" s="3296" t="s">
        <v>2466</v>
      </c>
      <c r="D4" s="3297"/>
      <c r="E4" s="3298" t="s">
        <v>2467</v>
      </c>
      <c r="F4" s="3299"/>
      <c r="G4" s="3296" t="s">
        <v>2468</v>
      </c>
      <c r="H4" s="3297"/>
      <c r="I4" s="3296" t="s">
        <v>2469</v>
      </c>
      <c r="J4" s="3297"/>
      <c r="K4" s="565" t="s">
        <v>2470</v>
      </c>
      <c r="L4" s="2942"/>
      <c r="M4" s="2943"/>
      <c r="N4" s="2943"/>
      <c r="O4" s="2943"/>
      <c r="P4" s="3300" t="s">
        <v>2471</v>
      </c>
      <c r="Q4" s="3301"/>
      <c r="R4" s="3283" t="s">
        <v>2467</v>
      </c>
      <c r="S4" s="3284"/>
      <c r="T4" s="3283" t="s">
        <v>2468</v>
      </c>
      <c r="U4" s="3284"/>
      <c r="V4" s="3308" t="s">
        <v>2469</v>
      </c>
      <c r="W4" s="3308"/>
      <c r="X4" s="1538"/>
      <c r="Y4" s="3283" t="s">
        <v>2471</v>
      </c>
      <c r="Z4" s="3284"/>
      <c r="AA4" s="3278" t="s">
        <v>2467</v>
      </c>
      <c r="AB4" s="3308" t="s">
        <v>2468</v>
      </c>
      <c r="AC4" s="3278" t="s">
        <v>2469</v>
      </c>
    </row>
    <row r="5" spans="1:29" ht="15">
      <c r="A5" s="362"/>
      <c r="B5" s="363"/>
      <c r="C5" s="3289" t="s">
        <v>2362</v>
      </c>
      <c r="D5" s="3290"/>
      <c r="E5" s="3287" t="s">
        <v>2363</v>
      </c>
      <c r="F5" s="3288"/>
      <c r="G5" s="3289" t="s">
        <v>2364</v>
      </c>
      <c r="H5" s="3290"/>
      <c r="I5" s="3289" t="s">
        <v>2365</v>
      </c>
      <c r="J5" s="3290"/>
      <c r="K5" s="565"/>
      <c r="L5" s="2942"/>
      <c r="M5" s="2943"/>
      <c r="N5" s="2943"/>
      <c r="O5" s="2943"/>
      <c r="P5" s="3302"/>
      <c r="Q5" s="3303"/>
      <c r="R5" s="3285"/>
      <c r="S5" s="3286"/>
      <c r="T5" s="3285"/>
      <c r="U5" s="3286"/>
      <c r="V5" s="3308"/>
      <c r="W5" s="3308"/>
      <c r="X5" s="1538"/>
      <c r="Y5" s="3285"/>
      <c r="Z5" s="3286"/>
      <c r="AA5" s="3279"/>
      <c r="AB5" s="3308"/>
      <c r="AC5" s="3279"/>
    </row>
    <row r="6" spans="1:29" ht="15.75" thickBot="1">
      <c r="A6" s="364"/>
      <c r="B6" s="365"/>
      <c r="C6" s="3291" t="s">
        <v>2366</v>
      </c>
      <c r="D6" s="3292"/>
      <c r="E6" s="3293" t="s">
        <v>2366</v>
      </c>
      <c r="F6" s="3294"/>
      <c r="G6" s="3291" t="s">
        <v>2366</v>
      </c>
      <c r="H6" s="3292"/>
      <c r="I6" s="3291" t="s">
        <v>2366</v>
      </c>
      <c r="J6" s="3292"/>
      <c r="K6" s="565" t="s">
        <v>2367</v>
      </c>
      <c r="L6" s="2942"/>
      <c r="M6" s="2943"/>
      <c r="N6" s="2943"/>
      <c r="O6" s="2943"/>
      <c r="P6" s="3304"/>
      <c r="Q6" s="3305"/>
      <c r="R6" s="3285"/>
      <c r="S6" s="3286"/>
      <c r="T6" s="3306"/>
      <c r="U6" s="3307"/>
      <c r="V6" s="3308"/>
      <c r="W6" s="3308"/>
      <c r="X6" s="1538"/>
      <c r="Y6" s="3306"/>
      <c r="Z6" s="3307"/>
      <c r="AA6" s="3280"/>
      <c r="AB6" s="3308"/>
      <c r="AC6" s="3280"/>
    </row>
    <row r="7" spans="1:29" s="113" customFormat="1" ht="15.75" thickBot="1">
      <c r="A7" s="366" t="s">
        <v>2368</v>
      </c>
      <c r="B7" s="367"/>
      <c r="C7" s="368">
        <f>'数据-取费表'!B2</f>
        <v>44141</v>
      </c>
      <c r="D7" s="369">
        <v>100</v>
      </c>
      <c r="E7" s="370"/>
      <c r="F7" s="371">
        <f>SUMIF(58:58,YEAR(E7)&amp;"-"&amp;MONTH(E7),59:59)</f>
        <v>0</v>
      </c>
      <c r="G7" s="370"/>
      <c r="H7" s="369">
        <f>SUMIF(58:58,YEAR(G7)&amp;"-"&amp;MONTH(G7),59:59)</f>
        <v>0</v>
      </c>
      <c r="I7" s="370"/>
      <c r="J7" s="369">
        <f>SUMIF(58:58,YEAR(I7)&amp;"-"&amp;MONTH(I7),59:59)</f>
        <v>0</v>
      </c>
      <c r="K7" s="566"/>
      <c r="L7" s="2944"/>
      <c r="M7" s="2945"/>
      <c r="N7" s="2945"/>
      <c r="O7" s="2945"/>
      <c r="P7" s="3281" t="s">
        <v>2369</v>
      </c>
      <c r="Q7" s="3309"/>
      <c r="R7" s="707" t="s">
        <v>17</v>
      </c>
      <c r="S7" s="708">
        <f t="shared" ref="S7:S15" si="0">F7</f>
        <v>0</v>
      </c>
      <c r="T7" s="707" t="s">
        <v>17</v>
      </c>
      <c r="U7" s="708">
        <f t="shared" ref="U7:U15" si="1">H7</f>
        <v>0</v>
      </c>
      <c r="V7" s="707" t="s">
        <v>17</v>
      </c>
      <c r="W7" s="708">
        <f t="shared" ref="W7:W15" si="2">J7</f>
        <v>0</v>
      </c>
      <c r="X7" s="709"/>
      <c r="Y7" s="3281" t="s">
        <v>2369</v>
      </c>
      <c r="Z7" s="3282"/>
      <c r="AA7" s="710" t="e">
        <f>D7/F7</f>
        <v>#DIV/0!</v>
      </c>
      <c r="AB7" s="710" t="e">
        <f>D7/H7</f>
        <v>#DIV/0!</v>
      </c>
      <c r="AC7" s="710" t="e">
        <f>D7/J7</f>
        <v>#DIV/0!</v>
      </c>
    </row>
    <row r="8" spans="1:29" s="113" customFormat="1" ht="15.75" thickBot="1">
      <c r="A8" s="366" t="s">
        <v>2370</v>
      </c>
      <c r="B8" s="367"/>
      <c r="C8" s="372" t="s">
        <v>2472</v>
      </c>
      <c r="D8" s="369">
        <v>100</v>
      </c>
      <c r="E8" s="372"/>
      <c r="F8" s="371">
        <f>SUMIF(61:61,E8,62:62)-SUMIF(61:61,C8,62:62)+100</f>
        <v>0</v>
      </c>
      <c r="G8" s="372"/>
      <c r="H8" s="369">
        <f>SUMIF(61:61,G8,62:62)-SUMIF(61:61,C8,62:62)+100</f>
        <v>0</v>
      </c>
      <c r="I8" s="372"/>
      <c r="J8" s="369">
        <f>SUMIF(61:61,I8,62:62)-SUMIF(61:61,C8,62:62)+100</f>
        <v>0</v>
      </c>
      <c r="K8" s="566"/>
      <c r="L8" s="2944"/>
      <c r="M8" s="2945"/>
      <c r="N8" s="2945"/>
      <c r="O8" s="2945"/>
      <c r="P8" s="3281" t="s">
        <v>2372</v>
      </c>
      <c r="Q8" s="3282"/>
      <c r="R8" s="707" t="s">
        <v>17</v>
      </c>
      <c r="S8" s="708">
        <f t="shared" si="0"/>
        <v>0</v>
      </c>
      <c r="T8" s="707" t="s">
        <v>17</v>
      </c>
      <c r="U8" s="708">
        <f t="shared" si="1"/>
        <v>0</v>
      </c>
      <c r="V8" s="707" t="s">
        <v>17</v>
      </c>
      <c r="W8" s="708">
        <f t="shared" si="2"/>
        <v>0</v>
      </c>
      <c r="X8" s="709"/>
      <c r="Y8" s="3281" t="s">
        <v>2372</v>
      </c>
      <c r="Z8" s="3282"/>
      <c r="AA8" s="710" t="e">
        <f t="shared" ref="AA8:AA46" si="3">D8/F8</f>
        <v>#DIV/0!</v>
      </c>
      <c r="AB8" s="710" t="e">
        <f t="shared" ref="AB8:AB46" si="4">D8/H8</f>
        <v>#DIV/0!</v>
      </c>
      <c r="AC8" s="710" t="e">
        <f t="shared" ref="AC8:AC46" si="5">D8/J8</f>
        <v>#DIV/0!</v>
      </c>
    </row>
    <row r="9" spans="1:29" s="113" customFormat="1">
      <c r="A9" s="373" t="s">
        <v>2373</v>
      </c>
      <c r="B9" s="67" t="s">
        <v>2374</v>
      </c>
      <c r="C9" s="374"/>
      <c r="D9" s="129">
        <v>100</v>
      </c>
      <c r="E9" s="375"/>
      <c r="F9" s="376">
        <f>SUMIF(63:63,E9,64:64)-SUMIF(63:63,C9,64:64)+100</f>
        <v>100</v>
      </c>
      <c r="G9" s="375"/>
      <c r="H9" s="129">
        <f>SUMIF(63:63,G9,64:64)-SUMIF(63:63,C9,64:64)+100</f>
        <v>100</v>
      </c>
      <c r="I9" s="375"/>
      <c r="J9" s="129">
        <f>SUMIF(63:63,I9,64:64)-SUMIF(63:63,C9,64:64)+100</f>
        <v>100</v>
      </c>
      <c r="K9" s="566"/>
      <c r="L9" s="2944"/>
      <c r="M9" s="2945"/>
      <c r="N9" s="2945"/>
      <c r="O9" s="2945"/>
      <c r="P9" s="3319" t="s">
        <v>2375</v>
      </c>
      <c r="Q9" s="1526" t="str">
        <f t="shared" ref="Q9:Q15" si="6">B9</f>
        <v>用途</v>
      </c>
      <c r="R9" s="707" t="s">
        <v>17</v>
      </c>
      <c r="S9" s="708">
        <f t="shared" si="0"/>
        <v>100</v>
      </c>
      <c r="T9" s="707" t="s">
        <v>17</v>
      </c>
      <c r="U9" s="708">
        <f t="shared" si="1"/>
        <v>100</v>
      </c>
      <c r="V9" s="707" t="s">
        <v>17</v>
      </c>
      <c r="W9" s="708">
        <f t="shared" si="2"/>
        <v>100</v>
      </c>
      <c r="X9" s="709"/>
      <c r="Y9" s="3251" t="s">
        <v>2376</v>
      </c>
      <c r="Z9" s="55" t="str">
        <f t="shared" ref="Z9:Z15" si="7">Q9</f>
        <v>用途</v>
      </c>
      <c r="AA9" s="710">
        <f t="shared" si="3"/>
        <v>1</v>
      </c>
      <c r="AB9" s="710">
        <f t="shared" si="4"/>
        <v>1</v>
      </c>
      <c r="AC9" s="710">
        <f t="shared" si="5"/>
        <v>1</v>
      </c>
    </row>
    <row r="10" spans="1:29" s="384" customFormat="1" ht="27">
      <c r="A10" s="378"/>
      <c r="B10" s="379" t="s">
        <v>2377</v>
      </c>
      <c r="C10" s="380"/>
      <c r="D10" s="130">
        <v>100</v>
      </c>
      <c r="E10" s="381"/>
      <c r="F10" s="382">
        <f>SUMIF(65:65,E10,66:66)-SUMIF(65:65,C10,66:66)+100</f>
        <v>100</v>
      </c>
      <c r="G10" s="380"/>
      <c r="H10" s="130">
        <f>SUMIF(65:65,G10,66:66)-SUMIF(65:65,C10,66:66)+100</f>
        <v>100</v>
      </c>
      <c r="I10" s="380"/>
      <c r="J10" s="130">
        <f>SUMIF(65:65,I10,66:66)-SUMIF(65:65,C10,66:66)+100</f>
        <v>100</v>
      </c>
      <c r="K10" s="567"/>
      <c r="L10" s="2946"/>
      <c r="M10" s="2947"/>
      <c r="N10" s="2947"/>
      <c r="O10" s="2947"/>
      <c r="P10" s="3319"/>
      <c r="Q10" s="1526" t="str">
        <f t="shared" si="6"/>
        <v>土地使用年限（年）</v>
      </c>
      <c r="R10" s="707" t="s">
        <v>17</v>
      </c>
      <c r="S10" s="708">
        <f t="shared" si="0"/>
        <v>100</v>
      </c>
      <c r="T10" s="707" t="s">
        <v>17</v>
      </c>
      <c r="U10" s="708">
        <f t="shared" si="1"/>
        <v>100</v>
      </c>
      <c r="V10" s="707" t="s">
        <v>17</v>
      </c>
      <c r="W10" s="708">
        <f t="shared" si="2"/>
        <v>100</v>
      </c>
      <c r="X10" s="709"/>
      <c r="Y10" s="3251"/>
      <c r="Z10" s="55" t="str">
        <f t="shared" si="7"/>
        <v>土地使用年限（年）</v>
      </c>
      <c r="AA10" s="710">
        <f t="shared" si="3"/>
        <v>1</v>
      </c>
      <c r="AB10" s="710">
        <f t="shared" si="4"/>
        <v>1</v>
      </c>
      <c r="AC10" s="710">
        <f t="shared" si="5"/>
        <v>1</v>
      </c>
    </row>
    <row r="11" spans="1:29" ht="15">
      <c r="A11" s="385"/>
      <c r="B11" s="379" t="s">
        <v>2378</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48"/>
      <c r="M11" s="2943"/>
      <c r="N11" s="2943"/>
      <c r="O11" s="2943"/>
      <c r="P11" s="3319"/>
      <c r="Q11" s="1526" t="str">
        <f t="shared" si="6"/>
        <v>容积率</v>
      </c>
      <c r="R11" s="707" t="s">
        <v>17</v>
      </c>
      <c r="S11" s="708" t="e">
        <f t="shared" si="0"/>
        <v>#N/A</v>
      </c>
      <c r="T11" s="707" t="s">
        <v>17</v>
      </c>
      <c r="U11" s="708" t="e">
        <f t="shared" si="1"/>
        <v>#N/A</v>
      </c>
      <c r="V11" s="707" t="s">
        <v>17</v>
      </c>
      <c r="W11" s="708" t="e">
        <f t="shared" si="2"/>
        <v>#N/A</v>
      </c>
      <c r="X11" s="709"/>
      <c r="Y11" s="3251"/>
      <c r="Z11" s="55" t="str">
        <f t="shared" si="7"/>
        <v>容积率</v>
      </c>
      <c r="AA11" s="710" t="e">
        <f t="shared" si="3"/>
        <v>#N/A</v>
      </c>
      <c r="AB11" s="710" t="e">
        <f t="shared" si="4"/>
        <v>#N/A</v>
      </c>
      <c r="AC11" s="710" t="e">
        <f t="shared" si="5"/>
        <v>#N/A</v>
      </c>
    </row>
    <row r="12" spans="1:29" s="113" customFormat="1" ht="15">
      <c r="A12" s="388"/>
      <c r="B12" s="2077">
        <v>111</v>
      </c>
      <c r="C12" s="389"/>
      <c r="D12" s="390">
        <v>100</v>
      </c>
      <c r="E12" s="391"/>
      <c r="F12" s="382">
        <f>SUMIF(70:70,E12,71:71)-SUMIF(70:70,C12,71:71)+100</f>
        <v>100</v>
      </c>
      <c r="G12" s="391"/>
      <c r="H12" s="130">
        <f>SUMIF(70:70,G12,71:71)-SUMIF(70:70,C12,71:71)+100</f>
        <v>100</v>
      </c>
      <c r="I12" s="391"/>
      <c r="J12" s="130">
        <f>SUMIF(70:70,I12,71:71)-SUMIF(70:70,C12,71:71)+100</f>
        <v>100</v>
      </c>
      <c r="K12" s="568"/>
      <c r="L12" s="2944"/>
      <c r="M12" s="2945"/>
      <c r="N12" s="2945"/>
      <c r="O12" s="2945"/>
      <c r="P12" s="3319"/>
      <c r="Q12" s="1526">
        <f t="shared" si="6"/>
        <v>111</v>
      </c>
      <c r="R12" s="707" t="s">
        <v>17</v>
      </c>
      <c r="S12" s="708">
        <f t="shared" si="0"/>
        <v>100</v>
      </c>
      <c r="T12" s="707" t="s">
        <v>17</v>
      </c>
      <c r="U12" s="708">
        <f t="shared" si="1"/>
        <v>100</v>
      </c>
      <c r="V12" s="707" t="s">
        <v>17</v>
      </c>
      <c r="W12" s="708">
        <f t="shared" si="2"/>
        <v>100</v>
      </c>
      <c r="X12" s="709"/>
      <c r="Y12" s="3251"/>
      <c r="Z12" s="55">
        <f t="shared" si="7"/>
        <v>111</v>
      </c>
      <c r="AA12" s="710">
        <f>D12/F12</f>
        <v>1</v>
      </c>
      <c r="AB12" s="710">
        <f>D12/H12</f>
        <v>1</v>
      </c>
      <c r="AC12" s="710">
        <f>D12/J12</f>
        <v>1</v>
      </c>
    </row>
    <row r="13" spans="1:29" ht="15">
      <c r="A13" s="385"/>
      <c r="B13" s="2077">
        <v>111</v>
      </c>
      <c r="C13" s="391"/>
      <c r="D13" s="392">
        <v>100</v>
      </c>
      <c r="E13" s="391"/>
      <c r="F13" s="382">
        <f>SUMIF(72:72,E13,73:73)-SUMIF(72:72,C13,73:73)+100</f>
        <v>100</v>
      </c>
      <c r="G13" s="391"/>
      <c r="H13" s="392">
        <f>SUMIF(72:72,G13,73:73)-SUMIF(72:72,C13,73:73)+100</f>
        <v>100</v>
      </c>
      <c r="I13" s="391"/>
      <c r="J13" s="392">
        <f>SUMIF(72:72,I13,73:73)-SUMIF(72:72,C13,73:73)+100</f>
        <v>100</v>
      </c>
      <c r="K13" s="568"/>
      <c r="L13" s="2949"/>
      <c r="M13" s="2943"/>
      <c r="N13" s="2943"/>
      <c r="O13" s="2943"/>
      <c r="P13" s="3319"/>
      <c r="Q13" s="1526">
        <f t="shared" si="6"/>
        <v>111</v>
      </c>
      <c r="R13" s="707" t="s">
        <v>17</v>
      </c>
      <c r="S13" s="708">
        <f t="shared" si="0"/>
        <v>100</v>
      </c>
      <c r="T13" s="707" t="s">
        <v>17</v>
      </c>
      <c r="U13" s="708">
        <f t="shared" si="1"/>
        <v>100</v>
      </c>
      <c r="V13" s="707" t="s">
        <v>17</v>
      </c>
      <c r="W13" s="708">
        <f t="shared" si="2"/>
        <v>100</v>
      </c>
      <c r="X13" s="709"/>
      <c r="Y13" s="3251"/>
      <c r="Z13" s="55">
        <f t="shared" si="7"/>
        <v>111</v>
      </c>
      <c r="AA13" s="710">
        <f t="shared" si="3"/>
        <v>1</v>
      </c>
      <c r="AB13" s="710">
        <f t="shared" si="4"/>
        <v>1</v>
      </c>
      <c r="AC13" s="710">
        <f t="shared" si="5"/>
        <v>1</v>
      </c>
    </row>
    <row r="14" spans="1:29" ht="15.75" thickBot="1">
      <c r="A14" s="393"/>
      <c r="B14" s="2079">
        <v>111</v>
      </c>
      <c r="C14" s="394"/>
      <c r="D14" s="395">
        <v>100</v>
      </c>
      <c r="E14" s="391"/>
      <c r="F14" s="396">
        <f>SUMIF(74:74,E14,75:75)-SUMIF(74:74,C14,75:75)+100</f>
        <v>100</v>
      </c>
      <c r="G14" s="391"/>
      <c r="H14" s="395">
        <f>SUMIF(74:74,G14,75:75)-SUMIF(74:74,C14,75:75)+100</f>
        <v>100</v>
      </c>
      <c r="I14" s="391"/>
      <c r="J14" s="395">
        <f>SUMIF(74:74,I14,75:75)-SUMIF(74:74,C14,75:75)+100</f>
        <v>100</v>
      </c>
      <c r="K14" s="568"/>
      <c r="L14" s="2949"/>
      <c r="M14" s="2943"/>
      <c r="N14" s="2943"/>
      <c r="O14" s="2943"/>
      <c r="P14" s="3319"/>
      <c r="Q14" s="1526">
        <f t="shared" si="6"/>
        <v>111</v>
      </c>
      <c r="R14" s="707" t="s">
        <v>17</v>
      </c>
      <c r="S14" s="708">
        <f t="shared" si="0"/>
        <v>100</v>
      </c>
      <c r="T14" s="707" t="s">
        <v>17</v>
      </c>
      <c r="U14" s="708">
        <f t="shared" si="1"/>
        <v>100</v>
      </c>
      <c r="V14" s="707" t="s">
        <v>17</v>
      </c>
      <c r="W14" s="708">
        <f t="shared" si="2"/>
        <v>100</v>
      </c>
      <c r="X14" s="709"/>
      <c r="Y14" s="3251"/>
      <c r="Z14" s="55">
        <f t="shared" si="7"/>
        <v>111</v>
      </c>
      <c r="AA14" s="710">
        <f t="shared" si="3"/>
        <v>1</v>
      </c>
      <c r="AB14" s="710">
        <f t="shared" si="4"/>
        <v>1</v>
      </c>
      <c r="AC14" s="710">
        <f t="shared" si="5"/>
        <v>1</v>
      </c>
    </row>
    <row r="15" spans="1:29" ht="71.25">
      <c r="A15" s="397" t="s">
        <v>2379</v>
      </c>
      <c r="B15" s="65" t="s">
        <v>2473</v>
      </c>
      <c r="C15" s="2080"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49"/>
      <c r="M15" s="2943"/>
      <c r="N15" s="2943"/>
      <c r="O15" s="2943"/>
      <c r="P15" s="3381" t="s">
        <v>2380</v>
      </c>
      <c r="Q15" s="1535" t="str">
        <f t="shared" si="6"/>
        <v>商业繁华度</v>
      </c>
      <c r="R15" s="711" t="s">
        <v>17</v>
      </c>
      <c r="S15" s="712">
        <f t="shared" si="0"/>
        <v>100</v>
      </c>
      <c r="T15" s="711" t="s">
        <v>17</v>
      </c>
      <c r="U15" s="712">
        <f t="shared" si="1"/>
        <v>100</v>
      </c>
      <c r="V15" s="711" t="s">
        <v>17</v>
      </c>
      <c r="W15" s="712">
        <f t="shared" si="2"/>
        <v>100</v>
      </c>
      <c r="X15" s="1538"/>
      <c r="Y15" s="3310" t="s">
        <v>2380</v>
      </c>
      <c r="Z15" s="1539" t="str">
        <f t="shared" si="7"/>
        <v>商业繁华度</v>
      </c>
      <c r="AA15" s="1536">
        <f t="shared" si="3"/>
        <v>1</v>
      </c>
      <c r="AB15" s="1536">
        <f t="shared" si="4"/>
        <v>1</v>
      </c>
      <c r="AC15" s="1536">
        <f t="shared" si="5"/>
        <v>1</v>
      </c>
    </row>
    <row r="16" spans="1:29" ht="15">
      <c r="A16" s="385"/>
      <c r="B16" s="403"/>
      <c r="C16" s="404"/>
      <c r="D16" s="405"/>
      <c r="E16" s="404"/>
      <c r="F16" s="406"/>
      <c r="G16" s="404"/>
      <c r="H16" s="407"/>
      <c r="I16" s="404"/>
      <c r="J16" s="405"/>
      <c r="K16" s="570"/>
      <c r="L16" s="2949"/>
      <c r="M16" s="2943"/>
      <c r="N16" s="2943"/>
      <c r="O16" s="2943"/>
      <c r="P16" s="3382"/>
      <c r="Q16" s="1535"/>
      <c r="R16" s="711"/>
      <c r="S16" s="712"/>
      <c r="T16" s="711"/>
      <c r="U16" s="712"/>
      <c r="V16" s="711"/>
      <c r="W16" s="712"/>
      <c r="X16" s="1538"/>
      <c r="Y16" s="3311"/>
      <c r="Z16" s="1539"/>
      <c r="AA16" s="1536">
        <v>1</v>
      </c>
      <c r="AB16" s="1536">
        <v>1</v>
      </c>
      <c r="AC16" s="1536">
        <v>1</v>
      </c>
    </row>
    <row r="17" spans="1:29" ht="85.5">
      <c r="A17" s="385"/>
      <c r="B17" s="408" t="s">
        <v>1947</v>
      </c>
      <c r="C17" s="2084"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49"/>
      <c r="M17" s="2943"/>
      <c r="N17" s="2943"/>
      <c r="O17" s="2943"/>
      <c r="P17" s="3382"/>
      <c r="Q17" s="1535" t="str">
        <f>B17</f>
        <v>交通便捷度</v>
      </c>
      <c r="R17" s="711" t="s">
        <v>17</v>
      </c>
      <c r="S17" s="712">
        <f>F17</f>
        <v>100</v>
      </c>
      <c r="T17" s="711" t="s">
        <v>17</v>
      </c>
      <c r="U17" s="712">
        <f>H17</f>
        <v>100</v>
      </c>
      <c r="V17" s="711" t="s">
        <v>17</v>
      </c>
      <c r="W17" s="712">
        <f>J17</f>
        <v>100</v>
      </c>
      <c r="X17" s="1538"/>
      <c r="Y17" s="3311"/>
      <c r="Z17" s="1539" t="str">
        <f>Q17</f>
        <v>交通便捷度</v>
      </c>
      <c r="AA17" s="1536">
        <f t="shared" si="3"/>
        <v>1</v>
      </c>
      <c r="AB17" s="1536">
        <f t="shared" si="4"/>
        <v>1</v>
      </c>
      <c r="AC17" s="1536">
        <f t="shared" si="5"/>
        <v>1</v>
      </c>
    </row>
    <row r="18" spans="1:29" ht="15">
      <c r="A18" s="385"/>
      <c r="B18" s="413"/>
      <c r="C18" s="2085"/>
      <c r="D18" s="407"/>
      <c r="E18" s="2087"/>
      <c r="F18" s="410"/>
      <c r="G18" s="2086"/>
      <c r="H18" s="405"/>
      <c r="I18" s="2087"/>
      <c r="J18" s="405"/>
      <c r="K18" s="570"/>
      <c r="L18" s="2949"/>
      <c r="M18" s="2943"/>
      <c r="N18" s="2943"/>
      <c r="O18" s="2943"/>
      <c r="P18" s="3382"/>
      <c r="Q18" s="1535"/>
      <c r="R18" s="711"/>
      <c r="S18" s="712"/>
      <c r="T18" s="711"/>
      <c r="U18" s="712"/>
      <c r="V18" s="711"/>
      <c r="W18" s="712"/>
      <c r="X18" s="1538"/>
      <c r="Y18" s="3311"/>
      <c r="Z18" s="1539"/>
      <c r="AA18" s="1536">
        <v>1</v>
      </c>
      <c r="AB18" s="1536">
        <v>1</v>
      </c>
      <c r="AC18" s="1536">
        <v>1</v>
      </c>
    </row>
    <row r="19" spans="1:29" ht="42.75">
      <c r="A19" s="385"/>
      <c r="B19" s="408" t="s">
        <v>2474</v>
      </c>
      <c r="C19" s="2084"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49"/>
      <c r="M19" s="2943"/>
      <c r="N19" s="2943"/>
      <c r="O19" s="2943"/>
      <c r="P19" s="3382"/>
      <c r="Q19" s="1535" t="str">
        <f>B19</f>
        <v>公共配套设施</v>
      </c>
      <c r="R19" s="711" t="s">
        <v>17</v>
      </c>
      <c r="S19" s="712">
        <f>F19</f>
        <v>100</v>
      </c>
      <c r="T19" s="711" t="s">
        <v>17</v>
      </c>
      <c r="U19" s="712">
        <f>H19</f>
        <v>100</v>
      </c>
      <c r="V19" s="711" t="s">
        <v>17</v>
      </c>
      <c r="W19" s="712">
        <f>J19</f>
        <v>100</v>
      </c>
      <c r="X19" s="1538"/>
      <c r="Y19" s="3311"/>
      <c r="Z19" s="1539" t="str">
        <f>Q19</f>
        <v>公共配套设施</v>
      </c>
      <c r="AA19" s="1536">
        <f t="shared" si="3"/>
        <v>1</v>
      </c>
      <c r="AB19" s="1536">
        <f t="shared" si="4"/>
        <v>1</v>
      </c>
      <c r="AC19" s="1536">
        <f t="shared" si="5"/>
        <v>1</v>
      </c>
    </row>
    <row r="20" spans="1:29" ht="15">
      <c r="A20" s="385"/>
      <c r="B20" s="413"/>
      <c r="C20" s="404"/>
      <c r="D20" s="405"/>
      <c r="E20" s="2082"/>
      <c r="F20" s="406"/>
      <c r="G20" s="2081"/>
      <c r="H20" s="405"/>
      <c r="I20" s="2082"/>
      <c r="J20" s="405"/>
      <c r="K20" s="570"/>
      <c r="L20" s="2949"/>
      <c r="M20" s="2943"/>
      <c r="N20" s="2943"/>
      <c r="O20" s="2943"/>
      <c r="P20" s="3382"/>
      <c r="Q20" s="1535"/>
      <c r="R20" s="711"/>
      <c r="S20" s="712"/>
      <c r="T20" s="711"/>
      <c r="U20" s="712"/>
      <c r="V20" s="711"/>
      <c r="W20" s="712"/>
      <c r="X20" s="1538"/>
      <c r="Y20" s="3311"/>
      <c r="Z20" s="1539"/>
      <c r="AA20" s="1536">
        <v>1</v>
      </c>
      <c r="AB20" s="1536">
        <v>1</v>
      </c>
      <c r="AC20" s="1536">
        <v>1</v>
      </c>
    </row>
    <row r="21" spans="1:29" ht="28.5">
      <c r="A21" s="385"/>
      <c r="B21" s="1290" t="s">
        <v>2475</v>
      </c>
      <c r="C21" s="2084"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49"/>
      <c r="M21" s="2943"/>
      <c r="N21" s="2943"/>
      <c r="O21" s="2943"/>
      <c r="P21" s="3382"/>
      <c r="Q21" s="1535" t="str">
        <f>B21</f>
        <v>基础设施水平</v>
      </c>
      <c r="R21" s="711" t="s">
        <v>17</v>
      </c>
      <c r="S21" s="712">
        <f>F21</f>
        <v>100</v>
      </c>
      <c r="T21" s="711" t="s">
        <v>17</v>
      </c>
      <c r="U21" s="712">
        <f>H21</f>
        <v>100</v>
      </c>
      <c r="V21" s="711" t="s">
        <v>17</v>
      </c>
      <c r="W21" s="712">
        <f>J21</f>
        <v>100</v>
      </c>
      <c r="X21" s="1538"/>
      <c r="Y21" s="3311"/>
      <c r="Z21" s="1539" t="str">
        <f>Q21</f>
        <v>基础设施水平</v>
      </c>
      <c r="AA21" s="1536">
        <f t="shared" ref="AA21" si="8">D21/F21</f>
        <v>1</v>
      </c>
      <c r="AB21" s="1536">
        <f t="shared" ref="AB21" si="9">D21/H21</f>
        <v>1</v>
      </c>
      <c r="AC21" s="1536">
        <f t="shared" ref="AC21" si="10">D21/J21</f>
        <v>1</v>
      </c>
    </row>
    <row r="22" spans="1:29" ht="15">
      <c r="A22" s="385"/>
      <c r="B22" s="1290"/>
      <c r="C22" s="2085"/>
      <c r="D22" s="405"/>
      <c r="E22" s="404"/>
      <c r="F22" s="406"/>
      <c r="G22" s="404"/>
      <c r="H22" s="405"/>
      <c r="I22" s="404"/>
      <c r="J22" s="405"/>
      <c r="K22" s="1289"/>
      <c r="L22" s="2949"/>
      <c r="M22" s="2943"/>
      <c r="N22" s="2943"/>
      <c r="O22" s="2943"/>
      <c r="P22" s="3382"/>
      <c r="Q22" s="1535"/>
      <c r="R22" s="711"/>
      <c r="S22" s="712"/>
      <c r="T22" s="711"/>
      <c r="U22" s="712"/>
      <c r="V22" s="711"/>
      <c r="W22" s="712"/>
      <c r="X22" s="1538"/>
      <c r="Y22" s="3311"/>
      <c r="Z22" s="1539"/>
      <c r="AA22" s="1536">
        <v>1</v>
      </c>
      <c r="AB22" s="1536">
        <v>1</v>
      </c>
      <c r="AC22" s="1536">
        <v>1</v>
      </c>
    </row>
    <row r="23" spans="1:29" ht="57">
      <c r="A23" s="385"/>
      <c r="B23" s="408" t="s">
        <v>1949</v>
      </c>
      <c r="C23" s="2139"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49"/>
      <c r="M23" s="2943"/>
      <c r="N23" s="2943"/>
      <c r="O23" s="2943"/>
      <c r="P23" s="3382"/>
      <c r="Q23" s="1535" t="str">
        <f>B23</f>
        <v>自然及人文环境</v>
      </c>
      <c r="R23" s="711" t="s">
        <v>17</v>
      </c>
      <c r="S23" s="712">
        <f>F23</f>
        <v>100</v>
      </c>
      <c r="T23" s="711" t="s">
        <v>17</v>
      </c>
      <c r="U23" s="712">
        <f>H23</f>
        <v>100</v>
      </c>
      <c r="V23" s="711" t="s">
        <v>17</v>
      </c>
      <c r="W23" s="712">
        <f>J23</f>
        <v>100</v>
      </c>
      <c r="X23" s="1538"/>
      <c r="Y23" s="3311"/>
      <c r="Z23" s="1539" t="str">
        <f>Q23</f>
        <v>自然及人文环境</v>
      </c>
      <c r="AA23" s="1536">
        <f t="shared" si="3"/>
        <v>1</v>
      </c>
      <c r="AB23" s="1536">
        <f t="shared" si="4"/>
        <v>1</v>
      </c>
      <c r="AC23" s="1536">
        <f t="shared" si="5"/>
        <v>1</v>
      </c>
    </row>
    <row r="24" spans="1:29" ht="15">
      <c r="A24" s="385"/>
      <c r="B24" s="413"/>
      <c r="C24" s="404"/>
      <c r="D24" s="405"/>
      <c r="E24" s="2082"/>
      <c r="F24" s="406"/>
      <c r="G24" s="2081"/>
      <c r="H24" s="405"/>
      <c r="I24" s="2082"/>
      <c r="J24" s="405"/>
      <c r="K24" s="570"/>
      <c r="L24" s="2949"/>
      <c r="M24" s="2943"/>
      <c r="N24" s="2943"/>
      <c r="O24" s="2943"/>
      <c r="P24" s="3382"/>
      <c r="Q24" s="1535"/>
      <c r="R24" s="711"/>
      <c r="S24" s="712"/>
      <c r="T24" s="711"/>
      <c r="U24" s="712"/>
      <c r="V24" s="711"/>
      <c r="W24" s="712"/>
      <c r="X24" s="1538"/>
      <c r="Y24" s="3311"/>
      <c r="Z24" s="1539"/>
      <c r="AA24" s="1536">
        <v>1</v>
      </c>
      <c r="AB24" s="1536">
        <v>1</v>
      </c>
      <c r="AC24" s="1536">
        <v>1</v>
      </c>
    </row>
    <row r="25" spans="1:29" ht="15">
      <c r="A25" s="385"/>
      <c r="B25" s="379" t="s">
        <v>2476</v>
      </c>
      <c r="C25" s="571"/>
      <c r="D25" s="392">
        <v>100</v>
      </c>
      <c r="E25" s="571"/>
      <c r="F25" s="418">
        <f>SUMIF(86:86,E25,87:87)-SUMIF(86:86,C25,87:87)+100</f>
        <v>100</v>
      </c>
      <c r="G25" s="571"/>
      <c r="H25" s="392">
        <f>SUMIF(86:86,G25,87:87)-SUMIF(86:86,C25,87:87)+100</f>
        <v>100</v>
      </c>
      <c r="I25" s="571"/>
      <c r="J25" s="392">
        <f>SUMIF(86:86,I25,87:87)-SUMIF(86:86,C25,87:87)+100</f>
        <v>100</v>
      </c>
      <c r="K25" s="567"/>
      <c r="L25" s="2949"/>
      <c r="M25" s="2943"/>
      <c r="N25" s="2943"/>
      <c r="O25" s="2943"/>
      <c r="P25" s="3382"/>
      <c r="Q25" s="1535" t="str">
        <f t="shared" ref="Q25:Q46" si="11">B25</f>
        <v>临街状况</v>
      </c>
      <c r="R25" s="711" t="s">
        <v>17</v>
      </c>
      <c r="S25" s="712">
        <f>F25</f>
        <v>100</v>
      </c>
      <c r="T25" s="711" t="s">
        <v>17</v>
      </c>
      <c r="U25" s="712">
        <f>H25</f>
        <v>100</v>
      </c>
      <c r="V25" s="711" t="s">
        <v>17</v>
      </c>
      <c r="W25" s="712">
        <f>J25</f>
        <v>100</v>
      </c>
      <c r="X25" s="1538"/>
      <c r="Y25" s="3311"/>
      <c r="Z25" s="1539" t="str">
        <f>Q25</f>
        <v>临街状况</v>
      </c>
      <c r="AA25" s="1536">
        <f t="shared" si="3"/>
        <v>1</v>
      </c>
      <c r="AB25" s="1536">
        <f t="shared" si="4"/>
        <v>1</v>
      </c>
      <c r="AC25" s="1536">
        <f t="shared" si="5"/>
        <v>1</v>
      </c>
    </row>
    <row r="26" spans="1:29" ht="15">
      <c r="A26" s="385"/>
      <c r="B26" s="1292" t="s">
        <v>2477</v>
      </c>
      <c r="C26" s="391"/>
      <c r="D26" s="392">
        <v>100</v>
      </c>
      <c r="E26" s="391"/>
      <c r="F26" s="418">
        <f>SUMIF(88:88,E26,89:89)-SUMIF(88:88,C26,89:89)+100</f>
        <v>100</v>
      </c>
      <c r="G26" s="391"/>
      <c r="H26" s="392">
        <f>SUMIF(88:88,G26,89:89)-SUMIF(88:88,C26,89:89)+100</f>
        <v>100</v>
      </c>
      <c r="I26" s="391"/>
      <c r="J26" s="392">
        <f>SUMIF(88:88,I26,89:89)-SUMIF(88:88,C26,89:89)+100</f>
        <v>100</v>
      </c>
      <c r="K26" s="568"/>
      <c r="L26" s="2949"/>
      <c r="M26" s="2943"/>
      <c r="N26" s="2943"/>
      <c r="O26" s="2943"/>
      <c r="P26" s="3382"/>
      <c r="Q26" s="1535" t="str">
        <f t="shared" si="11"/>
        <v>平面位置/可视性</v>
      </c>
      <c r="R26" s="711" t="s">
        <v>17</v>
      </c>
      <c r="S26" s="712">
        <f>F26</f>
        <v>100</v>
      </c>
      <c r="T26" s="711" t="s">
        <v>17</v>
      </c>
      <c r="U26" s="712">
        <f>H26</f>
        <v>100</v>
      </c>
      <c r="V26" s="711" t="s">
        <v>17</v>
      </c>
      <c r="W26" s="712">
        <f>J26</f>
        <v>100</v>
      </c>
      <c r="X26" s="1538"/>
      <c r="Y26" s="3311"/>
      <c r="Z26" s="1539" t="str">
        <f>Q26</f>
        <v>平面位置/可视性</v>
      </c>
      <c r="AA26" s="1536">
        <f t="shared" si="3"/>
        <v>1</v>
      </c>
      <c r="AB26" s="1536">
        <f t="shared" si="4"/>
        <v>1</v>
      </c>
      <c r="AC26" s="1536">
        <f t="shared" si="5"/>
        <v>1</v>
      </c>
    </row>
    <row r="27" spans="1:29" s="113" customFormat="1" ht="15">
      <c r="A27" s="388"/>
      <c r="B27" s="408" t="s">
        <v>2478</v>
      </c>
      <c r="C27" s="2140"/>
      <c r="D27" s="419">
        <v>100</v>
      </c>
      <c r="E27" s="2140"/>
      <c r="F27" s="421">
        <f>SUMIF(90:90,E27,91:91)-SUMIF(90:90,C27,91:91)+100</f>
        <v>100</v>
      </c>
      <c r="G27" s="2140"/>
      <c r="H27" s="419">
        <f>SUMIF(90:90,G27,91:91)-SUMIF(90:90,C27,91:91)+100</f>
        <v>100</v>
      </c>
      <c r="I27" s="2140"/>
      <c r="J27" s="419">
        <f>SUMIF(90:90,I27,91:91)-SUMIF(90:90,C27,91:91)+100</f>
        <v>100</v>
      </c>
      <c r="K27" s="567"/>
      <c r="L27" s="2944"/>
      <c r="M27" s="2945"/>
      <c r="N27" s="2945"/>
      <c r="O27" s="2945"/>
      <c r="P27" s="3382"/>
      <c r="Q27" s="1526" t="str">
        <f t="shared" si="11"/>
        <v>人流量</v>
      </c>
      <c r="R27" s="707" t="s">
        <v>17</v>
      </c>
      <c r="S27" s="708">
        <f>F27</f>
        <v>100</v>
      </c>
      <c r="T27" s="707" t="s">
        <v>17</v>
      </c>
      <c r="U27" s="708">
        <f>H27</f>
        <v>100</v>
      </c>
      <c r="V27" s="707" t="s">
        <v>17</v>
      </c>
      <c r="W27" s="708">
        <f>J27</f>
        <v>100</v>
      </c>
      <c r="X27" s="709"/>
      <c r="Y27" s="3311"/>
      <c r="Z27" s="55" t="str">
        <f>Q27</f>
        <v>人流量</v>
      </c>
      <c r="AA27" s="1536">
        <f>D27/F27</f>
        <v>1</v>
      </c>
      <c r="AB27" s="1536">
        <f>D27/H27</f>
        <v>1</v>
      </c>
      <c r="AC27" s="1536">
        <f>D27/J27</f>
        <v>1</v>
      </c>
    </row>
    <row r="28" spans="1:29" ht="15">
      <c r="A28" s="385"/>
      <c r="B28" s="379" t="s">
        <v>2479</v>
      </c>
      <c r="C28" s="571"/>
      <c r="D28" s="392">
        <v>100</v>
      </c>
      <c r="E28" s="571"/>
      <c r="F28" s="418">
        <f>SUMIF(92:92,E28,93:93)-SUMIF(92:92,C28,93:93)+100</f>
        <v>100</v>
      </c>
      <c r="G28" s="571"/>
      <c r="H28" s="392">
        <f>SUMIF(92:92,G28,93:93)-SUMIF(92:92,C28,93:93)+100</f>
        <v>100</v>
      </c>
      <c r="I28" s="571"/>
      <c r="J28" s="392">
        <f>SUMIF(92:92,I28,93:93)-SUMIF(92:92,C28,93:93)+100</f>
        <v>100</v>
      </c>
      <c r="K28" s="568"/>
      <c r="L28" s="2949"/>
      <c r="M28" s="2943"/>
      <c r="N28" s="2943"/>
      <c r="O28" s="2943"/>
      <c r="P28" s="3382"/>
      <c r="Q28" s="1535" t="str">
        <f t="shared" si="11"/>
        <v>楼层</v>
      </c>
      <c r="R28" s="711" t="s">
        <v>17</v>
      </c>
      <c r="S28" s="712">
        <f t="shared" ref="S28:S46" si="12">F28</f>
        <v>100</v>
      </c>
      <c r="T28" s="711" t="s">
        <v>17</v>
      </c>
      <c r="U28" s="712">
        <f t="shared" ref="U28:U46" si="13">H28</f>
        <v>100</v>
      </c>
      <c r="V28" s="711" t="s">
        <v>17</v>
      </c>
      <c r="W28" s="712">
        <f t="shared" ref="W28:W46" si="14">J28</f>
        <v>100</v>
      </c>
      <c r="X28" s="1538"/>
      <c r="Y28" s="3311"/>
      <c r="Z28" s="1539" t="str">
        <f t="shared" ref="Z28:Z46" si="15">Q28</f>
        <v>楼层</v>
      </c>
      <c r="AA28" s="1536">
        <f t="shared" si="3"/>
        <v>1</v>
      </c>
      <c r="AB28" s="1536">
        <f t="shared" si="4"/>
        <v>1</v>
      </c>
      <c r="AC28" s="1536">
        <f t="shared" si="5"/>
        <v>1</v>
      </c>
    </row>
    <row r="29" spans="1:29" ht="15">
      <c r="A29" s="385"/>
      <c r="B29" s="1292">
        <v>111</v>
      </c>
      <c r="C29" s="391"/>
      <c r="D29" s="392">
        <v>100</v>
      </c>
      <c r="E29" s="391"/>
      <c r="F29" s="418">
        <f>SUMIF(94:94,E29,95:95)-SUMIF(94:94,C29,95:95)+100</f>
        <v>100</v>
      </c>
      <c r="G29" s="391"/>
      <c r="H29" s="392">
        <f>SUMIF(94:94,G29,95:95)-SUMIF(94:94,C29,95:95)+100</f>
        <v>100</v>
      </c>
      <c r="I29" s="391"/>
      <c r="J29" s="392">
        <f>SUMIF(94:94,I29,95:95)-SUMIF(94:94,C29,95:95)+100</f>
        <v>100</v>
      </c>
      <c r="K29" s="568"/>
      <c r="L29" s="2949"/>
      <c r="M29" s="2943"/>
      <c r="N29" s="2943"/>
      <c r="O29" s="2943"/>
      <c r="P29" s="3382"/>
      <c r="Q29" s="1535">
        <f t="shared" si="11"/>
        <v>111</v>
      </c>
      <c r="R29" s="711" t="s">
        <v>17</v>
      </c>
      <c r="S29" s="712">
        <f t="shared" si="12"/>
        <v>100</v>
      </c>
      <c r="T29" s="711" t="s">
        <v>17</v>
      </c>
      <c r="U29" s="712">
        <f t="shared" si="13"/>
        <v>100</v>
      </c>
      <c r="V29" s="711" t="s">
        <v>17</v>
      </c>
      <c r="W29" s="712">
        <f t="shared" si="14"/>
        <v>100</v>
      </c>
      <c r="X29" s="1538"/>
      <c r="Y29" s="3311"/>
      <c r="Z29" s="1539">
        <f t="shared" si="15"/>
        <v>111</v>
      </c>
      <c r="AA29" s="1536">
        <f t="shared" si="3"/>
        <v>1</v>
      </c>
      <c r="AB29" s="1536">
        <f t="shared" si="4"/>
        <v>1</v>
      </c>
      <c r="AC29" s="1536">
        <f t="shared" si="5"/>
        <v>1</v>
      </c>
    </row>
    <row r="30" spans="1:29" ht="15">
      <c r="A30" s="385"/>
      <c r="B30" s="1292">
        <v>111</v>
      </c>
      <c r="C30" s="391"/>
      <c r="D30" s="392">
        <v>100</v>
      </c>
      <c r="E30" s="391"/>
      <c r="F30" s="418">
        <f>SUMIF(96:96,E30,97:97)-SUMIF(96:96,C30,97:97)+100</f>
        <v>100</v>
      </c>
      <c r="G30" s="391"/>
      <c r="H30" s="392">
        <f>SUMIF(96:96,G30,97:97)-SUMIF(96:96,C30,97:97)+100</f>
        <v>100</v>
      </c>
      <c r="I30" s="391"/>
      <c r="J30" s="392">
        <f>SUMIF(96:96,I30,97:97)-SUMIF(96:96,C30,97:97)+100</f>
        <v>100</v>
      </c>
      <c r="K30" s="568"/>
      <c r="L30" s="2949"/>
      <c r="M30" s="2943"/>
      <c r="N30" s="2943"/>
      <c r="O30" s="2943"/>
      <c r="P30" s="3382"/>
      <c r="Q30" s="1535">
        <f t="shared" si="11"/>
        <v>111</v>
      </c>
      <c r="R30" s="711" t="s">
        <v>17</v>
      </c>
      <c r="S30" s="712">
        <f t="shared" si="12"/>
        <v>100</v>
      </c>
      <c r="T30" s="711" t="s">
        <v>17</v>
      </c>
      <c r="U30" s="712">
        <f t="shared" si="13"/>
        <v>100</v>
      </c>
      <c r="V30" s="711" t="s">
        <v>17</v>
      </c>
      <c r="W30" s="712">
        <f t="shared" si="14"/>
        <v>100</v>
      </c>
      <c r="X30" s="1538"/>
      <c r="Y30" s="3311"/>
      <c r="Z30" s="1539">
        <f t="shared" si="15"/>
        <v>111</v>
      </c>
      <c r="AA30" s="1536">
        <f t="shared" si="3"/>
        <v>1</v>
      </c>
      <c r="AB30" s="1536">
        <f t="shared" si="4"/>
        <v>1</v>
      </c>
      <c r="AC30" s="1536">
        <f t="shared" si="5"/>
        <v>1</v>
      </c>
    </row>
    <row r="31" spans="1:29" ht="15.75" thickBot="1">
      <c r="A31" s="393"/>
      <c r="B31" s="1292">
        <v>111</v>
      </c>
      <c r="C31" s="394"/>
      <c r="D31" s="395">
        <v>100</v>
      </c>
      <c r="E31" s="391"/>
      <c r="F31" s="396">
        <f>SUMIF(98:98,E31,99:99)-SUMIF(98:98,C31,99:99)+100</f>
        <v>100</v>
      </c>
      <c r="G31" s="391"/>
      <c r="H31" s="395">
        <f>SUMIF(98:98,G31,99:99)-SUMIF(98:98,C31,99:99)+100</f>
        <v>100</v>
      </c>
      <c r="I31" s="391"/>
      <c r="J31" s="395">
        <f>SUMIF(98:98,I31,99:99)-SUMIF(98:98,C31,99:99)+100</f>
        <v>100</v>
      </c>
      <c r="K31" s="568"/>
      <c r="L31" s="2949"/>
      <c r="M31" s="2943"/>
      <c r="N31" s="2943"/>
      <c r="O31" s="2943"/>
      <c r="P31" s="3382"/>
      <c r="Q31" s="1535">
        <f t="shared" si="11"/>
        <v>111</v>
      </c>
      <c r="R31" s="711" t="s">
        <v>17</v>
      </c>
      <c r="S31" s="712">
        <f t="shared" si="12"/>
        <v>100</v>
      </c>
      <c r="T31" s="711" t="s">
        <v>17</v>
      </c>
      <c r="U31" s="712">
        <f t="shared" si="13"/>
        <v>100</v>
      </c>
      <c r="V31" s="711" t="s">
        <v>17</v>
      </c>
      <c r="W31" s="712">
        <f t="shared" si="14"/>
        <v>100</v>
      </c>
      <c r="X31" s="1538"/>
      <c r="Y31" s="3311"/>
      <c r="Z31" s="1539">
        <f t="shared" si="15"/>
        <v>111</v>
      </c>
      <c r="AA31" s="1536">
        <f t="shared" si="3"/>
        <v>1</v>
      </c>
      <c r="AB31" s="1536">
        <f t="shared" si="4"/>
        <v>1</v>
      </c>
      <c r="AC31" s="1536">
        <f t="shared" si="5"/>
        <v>1</v>
      </c>
    </row>
    <row r="32" spans="1:29" ht="15">
      <c r="A32" s="397" t="s">
        <v>2383</v>
      </c>
      <c r="B32" s="67" t="s">
        <v>2480</v>
      </c>
      <c r="C32" s="2094"/>
      <c r="D32" s="424">
        <v>100</v>
      </c>
      <c r="E32" s="2094"/>
      <c r="F32" s="418">
        <f>SUMIF(100:100,E32,101:101)-SUMIF(100:100,C32,101:101)+100</f>
        <v>100</v>
      </c>
      <c r="G32" s="2094"/>
      <c r="H32" s="392">
        <f>SUMIF(100:100,G32,101:101)-SUMIF(100:100,C32,101:101)+100</f>
        <v>100</v>
      </c>
      <c r="I32" s="2094"/>
      <c r="J32" s="424">
        <f>SUMIF(100:100,I32,101:101)-SUMIF(100:100,C32,101:101)+100</f>
        <v>100</v>
      </c>
      <c r="K32" s="567"/>
      <c r="L32" s="2949"/>
      <c r="M32" s="2943"/>
      <c r="N32" s="2943"/>
      <c r="O32" s="2943"/>
      <c r="P32" s="3377" t="s">
        <v>2385</v>
      </c>
      <c r="Q32" s="1535" t="str">
        <f t="shared" si="11"/>
        <v>商业类型</v>
      </c>
      <c r="R32" s="711" t="s">
        <v>17</v>
      </c>
      <c r="S32" s="712">
        <f t="shared" si="12"/>
        <v>100</v>
      </c>
      <c r="T32" s="711" t="s">
        <v>17</v>
      </c>
      <c r="U32" s="712">
        <f t="shared" si="13"/>
        <v>100</v>
      </c>
      <c r="V32" s="711" t="s">
        <v>17</v>
      </c>
      <c r="W32" s="712">
        <f t="shared" si="14"/>
        <v>100</v>
      </c>
      <c r="X32" s="1538"/>
      <c r="Y32" s="3313" t="s">
        <v>2385</v>
      </c>
      <c r="Z32" s="1539" t="str">
        <f t="shared" si="15"/>
        <v>商业类型</v>
      </c>
      <c r="AA32" s="1536">
        <f t="shared" si="3"/>
        <v>1</v>
      </c>
      <c r="AB32" s="1536">
        <f t="shared" si="4"/>
        <v>1</v>
      </c>
      <c r="AC32" s="1536">
        <f t="shared" si="5"/>
        <v>1</v>
      </c>
    </row>
    <row r="33" spans="1:29" s="428" customFormat="1" ht="15">
      <c r="A33" s="425"/>
      <c r="B33" s="379" t="s">
        <v>2386</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48"/>
      <c r="M33" s="2950"/>
      <c r="N33" s="2950"/>
      <c r="O33" s="2950"/>
      <c r="P33" s="3378"/>
      <c r="Q33" s="713" t="str">
        <f t="shared" si="11"/>
        <v>项目建筑规模</v>
      </c>
      <c r="R33" s="714" t="s">
        <v>17</v>
      </c>
      <c r="S33" s="715" t="e">
        <f t="shared" si="12"/>
        <v>#N/A</v>
      </c>
      <c r="T33" s="714" t="s">
        <v>17</v>
      </c>
      <c r="U33" s="715" t="e">
        <f t="shared" si="13"/>
        <v>#N/A</v>
      </c>
      <c r="V33" s="714" t="s">
        <v>17</v>
      </c>
      <c r="W33" s="715" t="e">
        <f t="shared" si="14"/>
        <v>#N/A</v>
      </c>
      <c r="X33" s="716"/>
      <c r="Y33" s="3313"/>
      <c r="Z33" s="717" t="str">
        <f t="shared" si="15"/>
        <v>项目建筑规模</v>
      </c>
      <c r="AA33" s="1536" t="e">
        <f t="shared" si="3"/>
        <v>#N/A</v>
      </c>
      <c r="AB33" s="1536" t="e">
        <f t="shared" si="4"/>
        <v>#N/A</v>
      </c>
      <c r="AC33" s="1536" t="e">
        <f t="shared" si="5"/>
        <v>#N/A</v>
      </c>
    </row>
    <row r="34" spans="1:29" ht="15">
      <c r="A34" s="429"/>
      <c r="B34" s="379" t="s">
        <v>2387</v>
      </c>
      <c r="C34" s="2096"/>
      <c r="D34" s="392">
        <v>100</v>
      </c>
      <c r="E34" s="2096"/>
      <c r="F34" s="418">
        <f>SUMIF(105:105,E34,106:106)-SUMIF(105:105,C34,106:106)+100</f>
        <v>100</v>
      </c>
      <c r="G34" s="2096"/>
      <c r="H34" s="392">
        <f>SUMIF(105:105,G34,106:106)-SUMIF(105:105,C34,106:106)+100</f>
        <v>100</v>
      </c>
      <c r="I34" s="2096"/>
      <c r="J34" s="392">
        <f>SUMIF(105:105,I34,106:106)-SUMIF(105:105,C34,106:106)+100</f>
        <v>100</v>
      </c>
      <c r="K34" s="567"/>
      <c r="L34" s="2949"/>
      <c r="M34" s="2943"/>
      <c r="N34" s="2943"/>
      <c r="O34" s="2943"/>
      <c r="P34" s="3378"/>
      <c r="Q34" s="1535" t="str">
        <f t="shared" si="11"/>
        <v>建筑结构</v>
      </c>
      <c r="R34" s="711" t="s">
        <v>17</v>
      </c>
      <c r="S34" s="712">
        <f t="shared" si="12"/>
        <v>100</v>
      </c>
      <c r="T34" s="711" t="s">
        <v>17</v>
      </c>
      <c r="U34" s="712">
        <f t="shared" si="13"/>
        <v>100</v>
      </c>
      <c r="V34" s="711" t="s">
        <v>17</v>
      </c>
      <c r="W34" s="712">
        <f t="shared" si="14"/>
        <v>100</v>
      </c>
      <c r="X34" s="1538"/>
      <c r="Y34" s="3313"/>
      <c r="Z34" s="1539" t="str">
        <f t="shared" si="15"/>
        <v>建筑结构</v>
      </c>
      <c r="AA34" s="1536">
        <f t="shared" si="3"/>
        <v>1</v>
      </c>
      <c r="AB34" s="1536">
        <f t="shared" si="4"/>
        <v>1</v>
      </c>
      <c r="AC34" s="1536">
        <f t="shared" si="5"/>
        <v>1</v>
      </c>
    </row>
    <row r="35" spans="1:29" ht="15">
      <c r="A35" s="429"/>
      <c r="B35" s="379" t="s">
        <v>2481</v>
      </c>
      <c r="C35" s="2090"/>
      <c r="D35" s="392">
        <v>100</v>
      </c>
      <c r="E35" s="2090"/>
      <c r="F35" s="418">
        <f>SUMIF(107:107,E35,108:108)-SUMIF(107:107,C35,108:108)+100</f>
        <v>100</v>
      </c>
      <c r="G35" s="2090"/>
      <c r="H35" s="392">
        <f>SUMIF(107:107,G35,108:108)-SUMIF(107:107,C35,108:108)+100</f>
        <v>100</v>
      </c>
      <c r="I35" s="2090"/>
      <c r="J35" s="392">
        <f>SUMIF(107:107,I35,108:108)-SUMIF(107:107,C35,108:108)+100</f>
        <v>100</v>
      </c>
      <c r="K35" s="567"/>
      <c r="L35" s="2949"/>
      <c r="M35" s="2943"/>
      <c r="N35" s="2943"/>
      <c r="O35" s="2943"/>
      <c r="P35" s="3378"/>
      <c r="Q35" s="1535" t="str">
        <f t="shared" si="11"/>
        <v>公共部分装修</v>
      </c>
      <c r="R35" s="711" t="s">
        <v>17</v>
      </c>
      <c r="S35" s="712">
        <f t="shared" si="12"/>
        <v>100</v>
      </c>
      <c r="T35" s="711" t="s">
        <v>17</v>
      </c>
      <c r="U35" s="712">
        <f t="shared" si="13"/>
        <v>100</v>
      </c>
      <c r="V35" s="711" t="s">
        <v>17</v>
      </c>
      <c r="W35" s="712">
        <f t="shared" si="14"/>
        <v>100</v>
      </c>
      <c r="X35" s="1538"/>
      <c r="Y35" s="3313"/>
      <c r="Z35" s="1539" t="str">
        <f t="shared" si="15"/>
        <v>公共部分装修</v>
      </c>
      <c r="AA35" s="1536">
        <f t="shared" si="3"/>
        <v>1</v>
      </c>
      <c r="AB35" s="1536">
        <f t="shared" si="4"/>
        <v>1</v>
      </c>
      <c r="AC35" s="1536">
        <f t="shared" si="5"/>
        <v>1</v>
      </c>
    </row>
    <row r="36" spans="1:29" ht="15">
      <c r="A36" s="429"/>
      <c r="B36" s="379" t="s">
        <v>2482</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49"/>
      <c r="M36" s="2943"/>
      <c r="N36" s="2943"/>
      <c r="O36" s="2943"/>
      <c r="P36" s="3378"/>
      <c r="Q36" s="1535" t="str">
        <f t="shared" si="11"/>
        <v>成新度</v>
      </c>
      <c r="R36" s="711" t="s">
        <v>17</v>
      </c>
      <c r="S36" s="712" t="e">
        <f t="shared" si="12"/>
        <v>#N/A</v>
      </c>
      <c r="T36" s="711" t="s">
        <v>17</v>
      </c>
      <c r="U36" s="712" t="e">
        <f t="shared" si="13"/>
        <v>#N/A</v>
      </c>
      <c r="V36" s="711" t="s">
        <v>17</v>
      </c>
      <c r="W36" s="712" t="e">
        <f t="shared" si="14"/>
        <v>#N/A</v>
      </c>
      <c r="X36" s="1538"/>
      <c r="Y36" s="3313"/>
      <c r="Z36" s="1539" t="str">
        <f t="shared" si="15"/>
        <v>成新度</v>
      </c>
      <c r="AA36" s="1536" t="e">
        <f t="shared" si="3"/>
        <v>#N/A</v>
      </c>
      <c r="AB36" s="1536" t="e">
        <f t="shared" si="4"/>
        <v>#N/A</v>
      </c>
      <c r="AC36" s="1536" t="e">
        <f t="shared" si="5"/>
        <v>#N/A</v>
      </c>
    </row>
    <row r="37" spans="1:29" s="113" customFormat="1" ht="15">
      <c r="A37" s="430"/>
      <c r="B37" s="379" t="s">
        <v>2483</v>
      </c>
      <c r="C37" s="2090"/>
      <c r="D37" s="130">
        <v>100</v>
      </c>
      <c r="E37" s="2090"/>
      <c r="F37" s="418">
        <f>SUMIF(112:112,E37,113:113)-SUMIF(112:112,C37,113:113)+100</f>
        <v>100</v>
      </c>
      <c r="G37" s="2090"/>
      <c r="H37" s="392">
        <f>SUMIF(112:112,G37,113:113)-SUMIF(112:112,C37,113:113)+100</f>
        <v>100</v>
      </c>
      <c r="I37" s="2090"/>
      <c r="J37" s="392">
        <f>SUMIF(112:112,I37,113:113)-SUMIF(112:112,C37,113:113)+100</f>
        <v>100</v>
      </c>
      <c r="K37" s="567"/>
      <c r="L37" s="2944"/>
      <c r="M37" s="2945"/>
      <c r="N37" s="2945"/>
      <c r="O37" s="2945"/>
      <c r="P37" s="3378"/>
      <c r="Q37" s="1526" t="str">
        <f t="shared" si="11"/>
        <v>市政基础设施</v>
      </c>
      <c r="R37" s="707" t="s">
        <v>17</v>
      </c>
      <c r="S37" s="708">
        <f t="shared" si="12"/>
        <v>100</v>
      </c>
      <c r="T37" s="707" t="s">
        <v>17</v>
      </c>
      <c r="U37" s="708">
        <f t="shared" si="13"/>
        <v>100</v>
      </c>
      <c r="V37" s="707" t="s">
        <v>17</v>
      </c>
      <c r="W37" s="708">
        <f t="shared" si="14"/>
        <v>100</v>
      </c>
      <c r="X37" s="709"/>
      <c r="Y37" s="3313"/>
      <c r="Z37" s="55" t="str">
        <f t="shared" si="15"/>
        <v>市政基础设施</v>
      </c>
      <c r="AA37" s="710">
        <f t="shared" si="3"/>
        <v>1</v>
      </c>
      <c r="AB37" s="710">
        <f t="shared" si="4"/>
        <v>1</v>
      </c>
      <c r="AC37" s="710">
        <f t="shared" si="5"/>
        <v>1</v>
      </c>
    </row>
    <row r="38" spans="1:29" ht="15">
      <c r="A38" s="429"/>
      <c r="B38" s="379" t="s">
        <v>2484</v>
      </c>
      <c r="C38" s="2090"/>
      <c r="D38" s="392">
        <v>100</v>
      </c>
      <c r="E38" s="2090"/>
      <c r="F38" s="418">
        <f>SUMIF(114:114,E38,115:115)-SUMIF(114:114,C38,115:115)+100</f>
        <v>100</v>
      </c>
      <c r="G38" s="2090"/>
      <c r="H38" s="392">
        <f>SUMIF(114:114,G38,115:115)-SUMIF(114:114,C38,115:115)+100</f>
        <v>100</v>
      </c>
      <c r="I38" s="2090"/>
      <c r="J38" s="392">
        <f>SUMIF(114:114,I38,115:115)-SUMIF(114:114,C38,115:115)+100</f>
        <v>100</v>
      </c>
      <c r="K38" s="567"/>
      <c r="L38" s="2949"/>
      <c r="M38" s="2943"/>
      <c r="N38" s="2943"/>
      <c r="O38" s="2943"/>
      <c r="P38" s="3378" t="s">
        <v>2385</v>
      </c>
      <c r="Q38" s="1535" t="str">
        <f t="shared" si="11"/>
        <v>业态</v>
      </c>
      <c r="R38" s="711" t="s">
        <v>17</v>
      </c>
      <c r="S38" s="712">
        <f t="shared" si="12"/>
        <v>100</v>
      </c>
      <c r="T38" s="711" t="s">
        <v>17</v>
      </c>
      <c r="U38" s="712">
        <f t="shared" si="13"/>
        <v>100</v>
      </c>
      <c r="V38" s="711" t="s">
        <v>17</v>
      </c>
      <c r="W38" s="712">
        <f t="shared" si="14"/>
        <v>100</v>
      </c>
      <c r="X38" s="1538"/>
      <c r="Y38" s="3313" t="s">
        <v>2385</v>
      </c>
      <c r="Z38" s="1539" t="str">
        <f t="shared" si="15"/>
        <v>业态</v>
      </c>
      <c r="AA38" s="1536">
        <f t="shared" si="3"/>
        <v>1</v>
      </c>
      <c r="AB38" s="1536">
        <f t="shared" si="4"/>
        <v>1</v>
      </c>
      <c r="AC38" s="1536">
        <f t="shared" si="5"/>
        <v>1</v>
      </c>
    </row>
    <row r="39" spans="1:29" ht="15">
      <c r="A39" s="429"/>
      <c r="B39" s="379" t="s">
        <v>2485</v>
      </c>
      <c r="C39" s="2090"/>
      <c r="D39" s="392">
        <v>100</v>
      </c>
      <c r="E39" s="2090"/>
      <c r="F39" s="418">
        <f>SUMIF(116:116,E39,117:117)-SUMIF(116:116,C39,117:117)+100</f>
        <v>100</v>
      </c>
      <c r="G39" s="2090"/>
      <c r="H39" s="392">
        <f>SUMIF(116:116,G39,117:117)-SUMIF(116:116,C39,117:117)+100</f>
        <v>100</v>
      </c>
      <c r="I39" s="2090"/>
      <c r="J39" s="392">
        <f>SUMIF(116:116,I39,117:117)-SUMIF(116:116,C39,117:117)+100</f>
        <v>100</v>
      </c>
      <c r="K39" s="567"/>
      <c r="L39" s="2949"/>
      <c r="M39" s="2943"/>
      <c r="N39" s="2943"/>
      <c r="O39" s="2943"/>
      <c r="P39" s="3378"/>
      <c r="Q39" s="1535" t="str">
        <f t="shared" si="11"/>
        <v>层高</v>
      </c>
      <c r="R39" s="711" t="s">
        <v>17</v>
      </c>
      <c r="S39" s="712">
        <f t="shared" si="12"/>
        <v>100</v>
      </c>
      <c r="T39" s="711" t="s">
        <v>17</v>
      </c>
      <c r="U39" s="712">
        <f t="shared" si="13"/>
        <v>100</v>
      </c>
      <c r="V39" s="711" t="s">
        <v>17</v>
      </c>
      <c r="W39" s="712">
        <f t="shared" si="14"/>
        <v>100</v>
      </c>
      <c r="X39" s="1538"/>
      <c r="Y39" s="3313"/>
      <c r="Z39" s="1539" t="str">
        <f t="shared" si="15"/>
        <v>层高</v>
      </c>
      <c r="AA39" s="1536">
        <f t="shared" si="3"/>
        <v>1</v>
      </c>
      <c r="AB39" s="1536">
        <f t="shared" si="4"/>
        <v>1</v>
      </c>
      <c r="AC39" s="1536">
        <f t="shared" si="5"/>
        <v>1</v>
      </c>
    </row>
    <row r="40" spans="1:29" ht="15">
      <c r="A40" s="429"/>
      <c r="B40" s="379" t="s">
        <v>2486</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49"/>
      <c r="M40" s="2943"/>
      <c r="N40" s="2943"/>
      <c r="O40" s="2943"/>
      <c r="P40" s="3378"/>
      <c r="Q40" s="1535" t="str">
        <f t="shared" si="11"/>
        <v>单套建筑面积</v>
      </c>
      <c r="R40" s="711" t="s">
        <v>17</v>
      </c>
      <c r="S40" s="712">
        <f t="shared" si="12"/>
        <v>100</v>
      </c>
      <c r="T40" s="711" t="s">
        <v>17</v>
      </c>
      <c r="U40" s="712">
        <f t="shared" si="13"/>
        <v>100</v>
      </c>
      <c r="V40" s="711" t="s">
        <v>17</v>
      </c>
      <c r="W40" s="712">
        <f t="shared" si="14"/>
        <v>100</v>
      </c>
      <c r="X40" s="1538"/>
      <c r="Y40" s="3313"/>
      <c r="Z40" s="1539" t="str">
        <f t="shared" si="15"/>
        <v>单套建筑面积</v>
      </c>
      <c r="AA40" s="1536">
        <f t="shared" si="3"/>
        <v>1</v>
      </c>
      <c r="AB40" s="1536">
        <f t="shared" si="4"/>
        <v>1</v>
      </c>
      <c r="AC40" s="1536">
        <f t="shared" si="5"/>
        <v>1</v>
      </c>
    </row>
    <row r="41" spans="1:29" s="428" customFormat="1" ht="15">
      <c r="A41" s="425"/>
      <c r="B41" s="1537" t="s">
        <v>2487</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48"/>
      <c r="M41" s="2950"/>
      <c r="N41" s="2950"/>
      <c r="O41" s="2950"/>
      <c r="P41" s="3378"/>
      <c r="Q41" s="713" t="str">
        <f t="shared" si="11"/>
        <v>进深比</v>
      </c>
      <c r="R41" s="714" t="s">
        <v>17</v>
      </c>
      <c r="S41" s="715">
        <f t="shared" si="12"/>
        <v>100</v>
      </c>
      <c r="T41" s="714" t="s">
        <v>17</v>
      </c>
      <c r="U41" s="715">
        <f t="shared" si="13"/>
        <v>100</v>
      </c>
      <c r="V41" s="714" t="s">
        <v>17</v>
      </c>
      <c r="W41" s="715">
        <f t="shared" si="14"/>
        <v>100</v>
      </c>
      <c r="X41" s="716"/>
      <c r="Y41" s="3313"/>
      <c r="Z41" s="717" t="str">
        <f t="shared" si="15"/>
        <v>进深比</v>
      </c>
      <c r="AA41" s="1536">
        <f t="shared" si="3"/>
        <v>1</v>
      </c>
      <c r="AB41" s="1536">
        <f t="shared" si="4"/>
        <v>1</v>
      </c>
      <c r="AC41" s="1536">
        <f t="shared" si="5"/>
        <v>1</v>
      </c>
    </row>
    <row r="42" spans="1:29" ht="15">
      <c r="A42" s="429"/>
      <c r="B42" s="379" t="s">
        <v>2488</v>
      </c>
      <c r="C42" s="2090"/>
      <c r="D42" s="392">
        <v>100</v>
      </c>
      <c r="E42" s="2090"/>
      <c r="F42" s="418">
        <f>SUMIF(122:122,E42,123:123)-SUMIF(122:122,C42,123:123)+100</f>
        <v>100</v>
      </c>
      <c r="G42" s="2090"/>
      <c r="H42" s="392">
        <f>SUMIF(122:122,G42,123:123)-SUMIF(122:122,C42,123:123)+100</f>
        <v>100</v>
      </c>
      <c r="I42" s="2090"/>
      <c r="J42" s="392">
        <f>SUMIF(122:122,I42,123:123)-SUMIF(122:122,C42,123:123)+100</f>
        <v>100</v>
      </c>
      <c r="K42" s="567"/>
      <c r="L42" s="2949"/>
      <c r="M42" s="2943"/>
      <c r="N42" s="2943"/>
      <c r="O42" s="2943"/>
      <c r="P42" s="3378"/>
      <c r="Q42" s="1535" t="str">
        <f t="shared" si="11"/>
        <v>内部装修</v>
      </c>
      <c r="R42" s="711" t="s">
        <v>17</v>
      </c>
      <c r="S42" s="712">
        <f t="shared" si="12"/>
        <v>100</v>
      </c>
      <c r="T42" s="711" t="s">
        <v>17</v>
      </c>
      <c r="U42" s="712">
        <f t="shared" si="13"/>
        <v>100</v>
      </c>
      <c r="V42" s="711" t="s">
        <v>17</v>
      </c>
      <c r="W42" s="712">
        <f t="shared" si="14"/>
        <v>100</v>
      </c>
      <c r="X42" s="1538"/>
      <c r="Y42" s="3313"/>
      <c r="Z42" s="1539" t="str">
        <f t="shared" si="15"/>
        <v>内部装修</v>
      </c>
      <c r="AA42" s="1536">
        <f t="shared" si="3"/>
        <v>1</v>
      </c>
      <c r="AB42" s="1536">
        <f t="shared" si="4"/>
        <v>1</v>
      </c>
      <c r="AC42" s="1536">
        <f t="shared" si="5"/>
        <v>1</v>
      </c>
    </row>
    <row r="43" spans="1:29" ht="15">
      <c r="A43" s="429"/>
      <c r="B43" s="379" t="s">
        <v>2396</v>
      </c>
      <c r="C43" s="2090"/>
      <c r="D43" s="392">
        <v>100</v>
      </c>
      <c r="E43" s="2090"/>
      <c r="F43" s="418">
        <f>SUMIF(124:124,E43,125:125)-SUMIF(124:124,C43,125:125)+100</f>
        <v>100</v>
      </c>
      <c r="G43" s="2090"/>
      <c r="H43" s="392">
        <f>SUMIF(124:124,G43,125:125)-SUMIF(124:124,C43,125:125)+100</f>
        <v>100</v>
      </c>
      <c r="I43" s="2090"/>
      <c r="J43" s="392">
        <f>SUMIF(124:124,I43,125:125)-SUMIF(124:124,C43,125:125)+100</f>
        <v>100</v>
      </c>
      <c r="K43" s="567"/>
      <c r="L43" s="2949"/>
      <c r="M43" s="2943"/>
      <c r="N43" s="2943"/>
      <c r="O43" s="2943"/>
      <c r="P43" s="3378"/>
      <c r="Q43" s="1535" t="str">
        <f t="shared" si="11"/>
        <v>内部装修维护情况</v>
      </c>
      <c r="R43" s="711" t="s">
        <v>17</v>
      </c>
      <c r="S43" s="712">
        <f t="shared" si="12"/>
        <v>100</v>
      </c>
      <c r="T43" s="711" t="s">
        <v>17</v>
      </c>
      <c r="U43" s="712">
        <f t="shared" si="13"/>
        <v>100</v>
      </c>
      <c r="V43" s="711" t="s">
        <v>17</v>
      </c>
      <c r="W43" s="712">
        <f t="shared" si="14"/>
        <v>100</v>
      </c>
      <c r="X43" s="1538"/>
      <c r="Y43" s="3313"/>
      <c r="Z43" s="1539" t="str">
        <f t="shared" si="15"/>
        <v>内部装修维护情况</v>
      </c>
      <c r="AA43" s="1536">
        <f t="shared" si="3"/>
        <v>1</v>
      </c>
      <c r="AB43" s="1536">
        <f t="shared" si="4"/>
        <v>1</v>
      </c>
      <c r="AC43" s="1536">
        <f t="shared" si="5"/>
        <v>1</v>
      </c>
    </row>
    <row r="44" spans="1:29" s="113" customFormat="1" ht="15">
      <c r="A44" s="430"/>
      <c r="B44" s="1292">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44"/>
      <c r="M44" s="2945"/>
      <c r="N44" s="2945"/>
      <c r="O44" s="2945"/>
      <c r="P44" s="3378"/>
      <c r="Q44" s="1526">
        <f t="shared" si="11"/>
        <v>111</v>
      </c>
      <c r="R44" s="707" t="s">
        <v>17</v>
      </c>
      <c r="S44" s="708">
        <f t="shared" si="12"/>
        <v>100</v>
      </c>
      <c r="T44" s="707" t="s">
        <v>17</v>
      </c>
      <c r="U44" s="708">
        <f t="shared" si="13"/>
        <v>100</v>
      </c>
      <c r="V44" s="707" t="s">
        <v>17</v>
      </c>
      <c r="W44" s="708">
        <f t="shared" si="14"/>
        <v>100</v>
      </c>
      <c r="X44" s="709"/>
      <c r="Y44" s="3313"/>
      <c r="Z44" s="55">
        <f t="shared" si="15"/>
        <v>111</v>
      </c>
      <c r="AA44" s="710">
        <f t="shared" si="3"/>
        <v>1</v>
      </c>
      <c r="AB44" s="710">
        <f t="shared" si="4"/>
        <v>1</v>
      </c>
      <c r="AC44" s="710">
        <f t="shared" si="5"/>
        <v>1</v>
      </c>
    </row>
    <row r="45" spans="1:29" ht="15">
      <c r="A45" s="429"/>
      <c r="B45" s="129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49"/>
      <c r="M45" s="2943"/>
      <c r="N45" s="2943"/>
      <c r="O45" s="2943"/>
      <c r="P45" s="3378"/>
      <c r="Q45" s="1535">
        <f t="shared" si="11"/>
        <v>111</v>
      </c>
      <c r="R45" s="711" t="s">
        <v>17</v>
      </c>
      <c r="S45" s="712">
        <f t="shared" si="12"/>
        <v>100</v>
      </c>
      <c r="T45" s="711" t="s">
        <v>17</v>
      </c>
      <c r="U45" s="712">
        <f t="shared" si="13"/>
        <v>100</v>
      </c>
      <c r="V45" s="711" t="s">
        <v>17</v>
      </c>
      <c r="W45" s="712">
        <f t="shared" si="14"/>
        <v>100</v>
      </c>
      <c r="X45" s="1538"/>
      <c r="Y45" s="3313"/>
      <c r="Z45" s="1539">
        <f t="shared" si="15"/>
        <v>111</v>
      </c>
      <c r="AA45" s="1536">
        <f t="shared" si="3"/>
        <v>1</v>
      </c>
      <c r="AB45" s="1536">
        <f t="shared" si="4"/>
        <v>1</v>
      </c>
      <c r="AC45" s="1536">
        <f t="shared" si="5"/>
        <v>1</v>
      </c>
    </row>
    <row r="46" spans="1:29" ht="15.75" thickBot="1">
      <c r="A46" s="435"/>
      <c r="B46" s="2079">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49"/>
      <c r="M46" s="2943"/>
      <c r="N46" s="2943"/>
      <c r="O46" s="2943"/>
      <c r="P46" s="3379"/>
      <c r="Q46" s="1535">
        <f t="shared" si="11"/>
        <v>111</v>
      </c>
      <c r="R46" s="711" t="s">
        <v>17</v>
      </c>
      <c r="S46" s="712">
        <f t="shared" si="12"/>
        <v>100</v>
      </c>
      <c r="T46" s="711" t="s">
        <v>17</v>
      </c>
      <c r="U46" s="712">
        <f t="shared" si="13"/>
        <v>100</v>
      </c>
      <c r="V46" s="711" t="s">
        <v>17</v>
      </c>
      <c r="W46" s="712">
        <f t="shared" si="14"/>
        <v>100</v>
      </c>
      <c r="X46" s="1538"/>
      <c r="Y46" s="3380"/>
      <c r="Z46" s="1539">
        <f t="shared" si="15"/>
        <v>111</v>
      </c>
      <c r="AA46" s="1536">
        <f t="shared" si="3"/>
        <v>1</v>
      </c>
      <c r="AB46" s="1536">
        <f t="shared" si="4"/>
        <v>1</v>
      </c>
      <c r="AC46" s="1536">
        <f t="shared" si="5"/>
        <v>1</v>
      </c>
    </row>
    <row r="47" spans="1:29" ht="15">
      <c r="A47" s="436" t="s">
        <v>2397</v>
      </c>
      <c r="B47" s="437"/>
      <c r="C47" s="1313" t="s">
        <v>1</v>
      </c>
      <c r="D47" s="1314"/>
      <c r="E47" s="1315"/>
      <c r="F47" s="1316"/>
      <c r="G47" s="1317"/>
      <c r="H47" s="1318"/>
      <c r="I47" s="1315"/>
      <c r="J47" s="1318"/>
      <c r="K47" s="720"/>
      <c r="L47" s="2951"/>
      <c r="M47" s="2952"/>
      <c r="N47" s="2943"/>
      <c r="O47" s="2952"/>
      <c r="P47" s="3295" t="str">
        <f>A47</f>
        <v>成交单价（元/平方米）</v>
      </c>
      <c r="Q47" s="3295"/>
      <c r="R47" s="3308">
        <f>E47</f>
        <v>0</v>
      </c>
      <c r="S47" s="3308"/>
      <c r="T47" s="3308">
        <f>G47</f>
        <v>0</v>
      </c>
      <c r="U47" s="3308"/>
      <c r="V47" s="3308">
        <f>I47</f>
        <v>0</v>
      </c>
      <c r="W47" s="3308"/>
      <c r="X47" s="696"/>
      <c r="Y47" s="718"/>
      <c r="Z47" s="696"/>
      <c r="AA47" s="696"/>
      <c r="AB47" s="696"/>
      <c r="AC47" s="696"/>
    </row>
    <row r="48" spans="1:29" ht="15.75" thickBot="1">
      <c r="A48" s="443" t="s">
        <v>2489</v>
      </c>
      <c r="B48" s="444"/>
      <c r="C48" s="1319" t="e">
        <f>R49</f>
        <v>#DIV/0!</v>
      </c>
      <c r="D48" s="2536" t="s">
        <v>2879</v>
      </c>
      <c r="E48" s="1320" t="e">
        <f>R48</f>
        <v>#DIV/0!</v>
      </c>
      <c r="F48" s="2537"/>
      <c r="G48" s="1319" t="e">
        <f>T48</f>
        <v>#DIV/0!</v>
      </c>
      <c r="H48" s="2537"/>
      <c r="I48" s="1320" t="e">
        <f>V48</f>
        <v>#DIV/0!</v>
      </c>
      <c r="J48" s="2537"/>
      <c r="K48" s="2539">
        <f>F48+H48+J48</f>
        <v>0</v>
      </c>
      <c r="L48" s="2951"/>
      <c r="M48" s="2952"/>
      <c r="N48" s="2943"/>
      <c r="O48" s="2952"/>
      <c r="P48" s="3295" t="str">
        <f>A48</f>
        <v>比较价值（元/平方米）</v>
      </c>
      <c r="Q48" s="329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696"/>
      <c r="Y48" s="696"/>
      <c r="Z48" s="696"/>
      <c r="AA48" s="696"/>
      <c r="AB48" s="696"/>
      <c r="AC48" s="696"/>
    </row>
    <row r="49" spans="1:29" ht="15.75" thickBot="1">
      <c r="A49" s="447" t="s">
        <v>2490</v>
      </c>
      <c r="B49" s="448"/>
      <c r="C49" s="1322" t="e">
        <f>R49</f>
        <v>#DIV/0!</v>
      </c>
      <c r="D49" s="1322"/>
      <c r="E49" s="1322"/>
      <c r="F49" s="1322"/>
      <c r="G49" s="1322"/>
      <c r="H49" s="1322"/>
      <c r="I49" s="1322"/>
      <c r="J49" s="1322"/>
      <c r="K49" s="721"/>
      <c r="L49" s="2951"/>
      <c r="M49" s="2952"/>
      <c r="N49" s="2943"/>
      <c r="O49" s="2952"/>
      <c r="P49" s="3315" t="str">
        <f>A49</f>
        <v>估价对象XX用房的比较价值（楼面单价，元/平方米）</v>
      </c>
      <c r="Q49" s="3316"/>
      <c r="R49" s="3375" t="e">
        <f>IF(F1="售价",ROUND(IF(D48="简单平均",AVERAGE(R48:V48),R48*F48+T48*H48+V48*J48),0),ROUND(IF(D48="简单平均",AVERAGE(R48:V48),R48*F48+T48*H48+V48*J48),1))</f>
        <v>#DIV/0!</v>
      </c>
      <c r="S49" s="3375"/>
      <c r="T49" s="3375"/>
      <c r="U49" s="3375"/>
      <c r="V49" s="3375"/>
      <c r="W49" s="3375"/>
      <c r="X49" s="696"/>
      <c r="Y49" s="696"/>
      <c r="Z49" s="696"/>
      <c r="AA49" s="696"/>
      <c r="AB49" s="696"/>
      <c r="AC49" s="696"/>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2" t="s">
        <v>2491</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2" t="s">
        <v>2492</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7" customFormat="1" ht="13.5" customHeight="1">
      <c r="A54" s="2955"/>
      <c r="B54" s="2955"/>
      <c r="C54" s="452" t="s">
        <v>2493</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7"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0" t="s">
        <v>2494</v>
      </c>
      <c r="B57" s="696"/>
      <c r="C57" s="701"/>
      <c r="D57" s="701"/>
      <c r="E57" s="701"/>
      <c r="F57" s="702"/>
      <c r="G57" s="702"/>
      <c r="H57" s="701"/>
      <c r="I57" s="701"/>
      <c r="J57" s="701"/>
      <c r="K57" s="703"/>
      <c r="L57" s="1070"/>
      <c r="M57" s="1068"/>
      <c r="N57" s="1068"/>
      <c r="O57" s="1068"/>
      <c r="P57" s="2965"/>
      <c r="Q57" s="2966"/>
      <c r="R57" s="2952"/>
      <c r="S57" s="2952"/>
      <c r="T57" s="2952"/>
      <c r="U57" s="2952"/>
      <c r="V57" s="2952"/>
      <c r="W57" s="2952"/>
      <c r="X57" s="2952"/>
      <c r="Y57" s="2952"/>
      <c r="Z57" s="2952"/>
      <c r="AA57" s="2952"/>
      <c r="AB57" s="2952"/>
      <c r="AC57" s="2952"/>
    </row>
    <row r="58" spans="1:29" s="463" customFormat="1" ht="15">
      <c r="A58" s="460" t="s">
        <v>2368</v>
      </c>
      <c r="B58" s="461"/>
      <c r="C58" s="1343" t="str">
        <f>YEAR(C7)&amp;"-"&amp;MONTH(C7)</f>
        <v>2020-11</v>
      </c>
      <c r="D58" s="1344">
        <f>EDATE(C58,-1)</f>
        <v>44105</v>
      </c>
      <c r="E58" s="1344">
        <f t="shared" ref="E58:N58" si="16">EDATE(D58,-1)</f>
        <v>44075</v>
      </c>
      <c r="F58" s="1344">
        <f t="shared" si="16"/>
        <v>44044</v>
      </c>
      <c r="G58" s="1344">
        <f t="shared" si="16"/>
        <v>44013</v>
      </c>
      <c r="H58" s="1344">
        <f t="shared" si="16"/>
        <v>43983</v>
      </c>
      <c r="I58" s="1344">
        <f t="shared" si="16"/>
        <v>43952</v>
      </c>
      <c r="J58" s="1344">
        <f t="shared" si="16"/>
        <v>43922</v>
      </c>
      <c r="K58" s="1344">
        <f t="shared" si="16"/>
        <v>43891</v>
      </c>
      <c r="L58" s="1344">
        <f t="shared" si="16"/>
        <v>43862</v>
      </c>
      <c r="M58" s="1344">
        <f t="shared" si="16"/>
        <v>43831</v>
      </c>
      <c r="N58" s="1344">
        <f t="shared" si="16"/>
        <v>43800</v>
      </c>
      <c r="O58" s="1344">
        <f>EDATE(N58,-1)</f>
        <v>43770</v>
      </c>
      <c r="P58" s="2967"/>
      <c r="Q58" s="2968"/>
      <c r="R58" s="2968"/>
      <c r="S58" s="2968"/>
      <c r="T58" s="2968"/>
      <c r="U58" s="2968"/>
      <c r="V58" s="2968"/>
      <c r="W58" s="2968"/>
      <c r="X58" s="2968"/>
      <c r="Y58" s="2968"/>
      <c r="Z58" s="2968"/>
      <c r="AA58" s="2968"/>
      <c r="AB58" s="2968"/>
      <c r="AC58" s="2968"/>
    </row>
    <row r="59" spans="1:29" s="113" customFormat="1" ht="15">
      <c r="A59" s="464"/>
      <c r="B59" s="465"/>
      <c r="C59" s="1342">
        <v>100</v>
      </c>
      <c r="D59" s="467"/>
      <c r="E59" s="467"/>
      <c r="F59" s="467"/>
      <c r="G59" s="467"/>
      <c r="H59" s="467"/>
      <c r="I59" s="467"/>
      <c r="J59" s="467"/>
      <c r="K59" s="467"/>
      <c r="L59" s="467"/>
      <c r="M59" s="468"/>
      <c r="N59" s="467"/>
      <c r="O59" s="468"/>
      <c r="P59" s="2969"/>
      <c r="Q59" s="2886"/>
      <c r="R59" s="2886"/>
      <c r="S59" s="2886"/>
      <c r="T59" s="2886"/>
      <c r="U59" s="2886"/>
      <c r="V59" s="2886"/>
      <c r="W59" s="2886"/>
      <c r="X59" s="2886"/>
      <c r="Y59" s="2886"/>
      <c r="Z59" s="2886"/>
      <c r="AA59" s="2886"/>
      <c r="AB59" s="2886"/>
      <c r="AC59" s="2886"/>
    </row>
    <row r="60" spans="1:29" s="113" customFormat="1" ht="15.75" thickBot="1">
      <c r="A60" s="470" t="s">
        <v>2405</v>
      </c>
      <c r="B60" s="471"/>
      <c r="C60" s="472"/>
      <c r="D60" s="473"/>
      <c r="E60" s="473"/>
      <c r="F60" s="473"/>
      <c r="G60" s="473"/>
      <c r="H60" s="473"/>
      <c r="I60" s="473"/>
      <c r="J60" s="473"/>
      <c r="K60" s="473"/>
      <c r="L60" s="473"/>
      <c r="M60" s="474"/>
      <c r="N60" s="473"/>
      <c r="O60" s="474"/>
      <c r="P60" s="2969"/>
      <c r="Q60" s="2966"/>
      <c r="R60" s="2886"/>
      <c r="S60" s="2886"/>
      <c r="T60" s="2886"/>
      <c r="U60" s="2886"/>
      <c r="V60" s="2886"/>
      <c r="W60" s="2886"/>
      <c r="X60" s="2886"/>
      <c r="Y60" s="2886"/>
      <c r="Z60" s="2886"/>
      <c r="AA60" s="2886"/>
      <c r="AB60" s="2886"/>
      <c r="AC60" s="2886"/>
    </row>
    <row r="61" spans="1:29" s="113" customFormat="1" ht="15">
      <c r="A61" s="476" t="s">
        <v>2370</v>
      </c>
      <c r="B61" s="465"/>
      <c r="C61" s="477" t="s">
        <v>2472</v>
      </c>
      <c r="D61" s="478"/>
      <c r="E61" s="478"/>
      <c r="F61" s="478"/>
      <c r="G61" s="478"/>
      <c r="H61" s="478"/>
      <c r="I61" s="478"/>
      <c r="J61" s="478"/>
      <c r="K61" s="478"/>
      <c r="L61" s="479"/>
      <c r="M61" s="480"/>
      <c r="N61" s="2979"/>
      <c r="O61" s="2979"/>
      <c r="P61" s="2970"/>
      <c r="Q61" s="2966"/>
      <c r="R61" s="2886"/>
      <c r="S61" s="2886"/>
      <c r="T61" s="2886"/>
      <c r="U61" s="2886"/>
      <c r="V61" s="2886"/>
      <c r="W61" s="2886"/>
      <c r="X61" s="2886"/>
      <c r="Y61" s="2886"/>
      <c r="Z61" s="2886"/>
      <c r="AA61" s="2886"/>
      <c r="AB61" s="2886"/>
      <c r="AC61" s="2886"/>
    </row>
    <row r="62" spans="1:29" s="113" customFormat="1" ht="15.75" thickBot="1">
      <c r="A62" s="476"/>
      <c r="B62" s="465"/>
      <c r="C62" s="466">
        <v>100</v>
      </c>
      <c r="D62" s="467"/>
      <c r="E62" s="467"/>
      <c r="F62" s="467"/>
      <c r="G62" s="467"/>
      <c r="H62" s="467"/>
      <c r="I62" s="467"/>
      <c r="J62" s="467"/>
      <c r="K62" s="467"/>
      <c r="L62" s="467"/>
      <c r="M62" s="469"/>
      <c r="N62" s="2979"/>
      <c r="O62" s="2979"/>
      <c r="P62" s="2969"/>
      <c r="Q62" s="2966"/>
      <c r="R62" s="2886"/>
      <c r="S62" s="2886"/>
      <c r="T62" s="2886"/>
      <c r="U62" s="2886"/>
      <c r="V62" s="2886"/>
      <c r="W62" s="2886"/>
      <c r="X62" s="2886"/>
      <c r="Y62" s="2886"/>
      <c r="Z62" s="2886"/>
      <c r="AA62" s="2886"/>
      <c r="AB62" s="2886"/>
      <c r="AC62" s="2886"/>
    </row>
    <row r="63" spans="1:29">
      <c r="A63" s="482" t="s">
        <v>2408</v>
      </c>
      <c r="B63" s="483" t="s">
        <v>2374</v>
      </c>
      <c r="C63" s="484">
        <f>C9</f>
        <v>0</v>
      </c>
      <c r="D63" s="485"/>
      <c r="E63" s="485"/>
      <c r="F63" s="485"/>
      <c r="G63" s="485"/>
      <c r="H63" s="485"/>
      <c r="I63" s="485"/>
      <c r="J63" s="485"/>
      <c r="K63" s="486"/>
      <c r="L63" s="487"/>
      <c r="M63" s="488"/>
      <c r="N63" s="2980"/>
      <c r="O63" s="2980"/>
      <c r="P63" s="2971"/>
      <c r="Q63" s="2966"/>
      <c r="R63" s="2952"/>
      <c r="S63" s="2952"/>
      <c r="T63" s="2952"/>
      <c r="U63" s="2952"/>
      <c r="V63" s="2952"/>
      <c r="W63" s="2952"/>
      <c r="X63" s="2952"/>
      <c r="Y63" s="2952"/>
      <c r="Z63" s="2952"/>
      <c r="AA63" s="2952"/>
      <c r="AB63" s="2952"/>
      <c r="AC63" s="2952"/>
    </row>
    <row r="64" spans="1:29" ht="15.75" thickBot="1">
      <c r="A64" s="489"/>
      <c r="B64" s="490"/>
      <c r="C64" s="491">
        <v>100</v>
      </c>
      <c r="D64" s="491"/>
      <c r="E64" s="491"/>
      <c r="F64" s="491"/>
      <c r="G64" s="491"/>
      <c r="H64" s="491"/>
      <c r="I64" s="491"/>
      <c r="J64" s="491"/>
      <c r="K64" s="491"/>
      <c r="L64" s="491"/>
      <c r="M64" s="492"/>
      <c r="N64" s="2981"/>
      <c r="O64" s="2981"/>
      <c r="P64" s="2971"/>
      <c r="Q64" s="2966"/>
      <c r="R64" s="2952"/>
      <c r="S64" s="2952"/>
      <c r="T64" s="2952"/>
      <c r="U64" s="2952"/>
      <c r="V64" s="2952"/>
      <c r="W64" s="2952"/>
      <c r="X64" s="2952"/>
      <c r="Y64" s="2952"/>
      <c r="Z64" s="2952"/>
      <c r="AA64" s="2952"/>
      <c r="AB64" s="2952"/>
      <c r="AC64" s="2952"/>
    </row>
    <row r="65" spans="1:29" ht="27.75" thickTop="1">
      <c r="A65" s="489"/>
      <c r="B65" s="493" t="s">
        <v>2377</v>
      </c>
      <c r="C65" s="494" t="s">
        <v>2409</v>
      </c>
      <c r="D65" s="494" t="s">
        <v>2410</v>
      </c>
      <c r="E65" s="494" t="s">
        <v>2411</v>
      </c>
      <c r="F65" s="494" t="s">
        <v>2412</v>
      </c>
      <c r="G65" s="494" t="s">
        <v>2413</v>
      </c>
      <c r="H65" s="494" t="s">
        <v>2414</v>
      </c>
      <c r="I65" s="494" t="s">
        <v>2415</v>
      </c>
      <c r="J65" s="494"/>
      <c r="K65" s="495"/>
      <c r="L65" s="496"/>
      <c r="M65" s="497"/>
      <c r="N65" s="2980"/>
      <c r="O65" s="2980"/>
      <c r="P65" s="2971"/>
      <c r="Q65" s="2966"/>
      <c r="R65" s="2952"/>
      <c r="S65" s="2952"/>
      <c r="T65" s="2952"/>
      <c r="U65" s="2952"/>
      <c r="V65" s="2952"/>
      <c r="W65" s="2952"/>
      <c r="X65" s="2952"/>
      <c r="Y65" s="2952"/>
      <c r="Z65" s="2952"/>
      <c r="AA65" s="2952"/>
      <c r="AB65" s="2952"/>
      <c r="AC65" s="2952"/>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81"/>
      <c r="O66" s="2981"/>
      <c r="P66" s="2971"/>
      <c r="Q66" s="2966"/>
      <c r="R66" s="2952"/>
      <c r="S66" s="2952"/>
      <c r="T66" s="2952"/>
      <c r="U66" s="2952"/>
      <c r="V66" s="2952"/>
      <c r="W66" s="2952"/>
      <c r="X66" s="2952"/>
      <c r="Y66" s="2952"/>
      <c r="Z66" s="2952"/>
      <c r="AA66" s="2952"/>
      <c r="AB66" s="2952"/>
      <c r="AC66" s="2952"/>
    </row>
    <row r="67" spans="1:29" ht="15.75" thickTop="1">
      <c r="A67" s="489"/>
      <c r="B67" s="501" t="s">
        <v>2378</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89"/>
      <c r="B68" s="503"/>
      <c r="C68" s="504"/>
      <c r="D68" s="504"/>
      <c r="E68" s="504"/>
      <c r="F68" s="504"/>
      <c r="G68" s="504"/>
      <c r="H68" s="504"/>
      <c r="I68" s="504"/>
      <c r="J68" s="504"/>
      <c r="K68" s="505"/>
      <c r="L68" s="506"/>
      <c r="M68" s="507"/>
      <c r="N68" s="2980"/>
      <c r="O68" s="2980"/>
      <c r="P68" s="2971"/>
      <c r="Q68" s="2966"/>
      <c r="R68" s="2952"/>
      <c r="S68" s="2952"/>
      <c r="T68" s="2952"/>
      <c r="U68" s="2952"/>
      <c r="V68" s="2952"/>
      <c r="W68" s="2952"/>
      <c r="X68" s="2952"/>
      <c r="Y68" s="2952"/>
      <c r="Z68" s="2952"/>
      <c r="AA68" s="2952"/>
      <c r="AB68" s="2952"/>
      <c r="AC68" s="2952"/>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81"/>
      <c r="O69" s="2981"/>
      <c r="P69" s="2971"/>
      <c r="Q69" s="2966"/>
      <c r="R69" s="2952"/>
      <c r="S69" s="2952"/>
      <c r="T69" s="2952"/>
      <c r="U69" s="2952"/>
      <c r="V69" s="2952"/>
      <c r="W69" s="2952"/>
      <c r="X69" s="2952"/>
      <c r="Y69" s="2952"/>
      <c r="Z69" s="2952"/>
      <c r="AA69" s="2952"/>
      <c r="AB69" s="2952"/>
      <c r="AC69" s="2952"/>
    </row>
    <row r="70" spans="1:29" s="428" customFormat="1" ht="15.75" thickTop="1">
      <c r="A70" s="508"/>
      <c r="B70" s="493">
        <f>B12</f>
        <v>111</v>
      </c>
      <c r="C70" s="509"/>
      <c r="D70" s="509"/>
      <c r="E70" s="509"/>
      <c r="F70" s="509"/>
      <c r="G70" s="509"/>
      <c r="H70" s="510"/>
      <c r="I70" s="510"/>
      <c r="J70" s="510"/>
      <c r="K70" s="510"/>
      <c r="L70" s="511"/>
      <c r="M70" s="512"/>
      <c r="N70" s="2982"/>
      <c r="O70" s="2982"/>
      <c r="P70" s="2972"/>
      <c r="Q70" s="2973"/>
      <c r="R70" s="2974"/>
      <c r="S70" s="2974"/>
      <c r="T70" s="2974"/>
      <c r="U70" s="2974"/>
      <c r="V70" s="2974"/>
      <c r="W70" s="2974"/>
      <c r="X70" s="2974"/>
      <c r="Y70" s="2974"/>
      <c r="Z70" s="2974"/>
      <c r="AA70" s="2974"/>
      <c r="AB70" s="2974"/>
      <c r="AC70" s="2974"/>
    </row>
    <row r="71" spans="1:29" s="428" customFormat="1" ht="15.75" thickBot="1">
      <c r="A71" s="508"/>
      <c r="B71" s="498"/>
      <c r="C71" s="515"/>
      <c r="D71" s="491"/>
      <c r="E71" s="491"/>
      <c r="F71" s="491"/>
      <c r="G71" s="491"/>
      <c r="H71" s="491"/>
      <c r="I71" s="491"/>
      <c r="J71" s="491"/>
      <c r="K71" s="491"/>
      <c r="L71" s="491"/>
      <c r="M71" s="492"/>
      <c r="N71" s="2981"/>
      <c r="O71" s="2981"/>
      <c r="P71" s="2972"/>
      <c r="Q71" s="2973"/>
      <c r="R71" s="2974"/>
      <c r="S71" s="2974"/>
      <c r="T71" s="2974"/>
      <c r="U71" s="2974"/>
      <c r="V71" s="2974"/>
      <c r="W71" s="2974"/>
      <c r="X71" s="2974"/>
      <c r="Y71" s="2974"/>
      <c r="Z71" s="2974"/>
      <c r="AA71" s="2974"/>
      <c r="AB71" s="2974"/>
      <c r="AC71" s="2974"/>
    </row>
    <row r="72" spans="1:29" s="428" customFormat="1" ht="15.75" thickTop="1">
      <c r="A72" s="508"/>
      <c r="B72" s="493">
        <f>B13</f>
        <v>111</v>
      </c>
      <c r="C72" s="509"/>
      <c r="D72" s="509"/>
      <c r="E72" s="509"/>
      <c r="F72" s="509"/>
      <c r="G72" s="509"/>
      <c r="H72" s="510"/>
      <c r="I72" s="510"/>
      <c r="J72" s="510"/>
      <c r="K72" s="510"/>
      <c r="L72" s="511"/>
      <c r="M72" s="512"/>
      <c r="N72" s="2982"/>
      <c r="O72" s="2982"/>
      <c r="P72" s="2975"/>
      <c r="Q72" s="2976"/>
      <c r="R72" s="2974"/>
      <c r="S72" s="2974"/>
      <c r="T72" s="2974"/>
      <c r="U72" s="2974"/>
      <c r="V72" s="2974"/>
      <c r="W72" s="2974"/>
      <c r="X72" s="2974"/>
      <c r="Y72" s="2974"/>
      <c r="Z72" s="2974"/>
      <c r="AA72" s="2974"/>
      <c r="AB72" s="2974"/>
      <c r="AC72" s="2974"/>
    </row>
    <row r="73" spans="1:29" s="428" customFormat="1" ht="15.75" thickBot="1">
      <c r="A73" s="508"/>
      <c r="B73" s="498"/>
      <c r="C73" s="515"/>
      <c r="D73" s="491"/>
      <c r="E73" s="491"/>
      <c r="F73" s="491"/>
      <c r="G73" s="515"/>
      <c r="H73" s="517"/>
      <c r="I73" s="517"/>
      <c r="J73" s="517"/>
      <c r="K73" s="517"/>
      <c r="L73" s="517"/>
      <c r="M73" s="518"/>
      <c r="N73" s="2982"/>
      <c r="O73" s="2982"/>
      <c r="P73" s="2972"/>
      <c r="Q73" s="2973"/>
      <c r="R73" s="2974"/>
      <c r="S73" s="2974"/>
      <c r="T73" s="2974"/>
      <c r="U73" s="2974"/>
      <c r="V73" s="2974"/>
      <c r="W73" s="2974"/>
      <c r="X73" s="2974"/>
      <c r="Y73" s="2974"/>
      <c r="Z73" s="2974"/>
      <c r="AA73" s="2974"/>
      <c r="AB73" s="2974"/>
      <c r="AC73" s="2974"/>
    </row>
    <row r="74" spans="1:29" s="428" customFormat="1" ht="15.75" thickTop="1">
      <c r="A74" s="508"/>
      <c r="B74" s="501">
        <f>B14</f>
        <v>111</v>
      </c>
      <c r="C74" s="509"/>
      <c r="D74" s="509"/>
      <c r="E74" s="509"/>
      <c r="F74" s="509"/>
      <c r="G74" s="478"/>
      <c r="H74" s="519"/>
      <c r="I74" s="519"/>
      <c r="J74" s="519"/>
      <c r="K74" s="519"/>
      <c r="L74" s="520"/>
      <c r="M74" s="521"/>
      <c r="N74" s="2982"/>
      <c r="O74" s="2982"/>
      <c r="P74" s="2977"/>
      <c r="Q74" s="2973"/>
      <c r="R74" s="2974"/>
      <c r="S74" s="2974"/>
      <c r="T74" s="2974"/>
      <c r="U74" s="2974"/>
      <c r="V74" s="2974"/>
      <c r="W74" s="2974"/>
      <c r="X74" s="2974"/>
      <c r="Y74" s="2974"/>
      <c r="Z74" s="2974"/>
      <c r="AA74" s="2974"/>
      <c r="AB74" s="2974"/>
      <c r="AC74" s="2974"/>
    </row>
    <row r="75" spans="1:29" s="428" customFormat="1" ht="15.75" thickBot="1">
      <c r="A75" s="523"/>
      <c r="B75" s="524"/>
      <c r="C75" s="525"/>
      <c r="D75" s="525"/>
      <c r="E75" s="525"/>
      <c r="F75" s="525"/>
      <c r="G75" s="525"/>
      <c r="H75" s="526"/>
      <c r="I75" s="526"/>
      <c r="J75" s="526"/>
      <c r="K75" s="526"/>
      <c r="L75" s="526"/>
      <c r="M75" s="527"/>
      <c r="N75" s="2982"/>
      <c r="O75" s="2982"/>
      <c r="P75" s="2972"/>
      <c r="Q75" s="2973"/>
      <c r="R75" s="2974"/>
      <c r="S75" s="2974"/>
      <c r="T75" s="2974"/>
      <c r="U75" s="2974"/>
      <c r="V75" s="2974"/>
      <c r="W75" s="2974"/>
      <c r="X75" s="2974"/>
      <c r="Y75" s="2974"/>
      <c r="Z75" s="2974"/>
      <c r="AA75" s="2974"/>
      <c r="AB75" s="2974"/>
      <c r="AC75" s="2974"/>
    </row>
    <row r="76" spans="1:29">
      <c r="A76" s="482" t="s">
        <v>2379</v>
      </c>
      <c r="B76" s="483" t="s">
        <v>2416</v>
      </c>
      <c r="C76" s="528" t="s">
        <v>2417</v>
      </c>
      <c r="D76" s="528" t="s">
        <v>2418</v>
      </c>
      <c r="E76" s="528" t="s">
        <v>2419</v>
      </c>
      <c r="F76" s="528" t="s">
        <v>2420</v>
      </c>
      <c r="G76" s="528" t="s">
        <v>2421</v>
      </c>
      <c r="H76" s="484"/>
      <c r="I76" s="484"/>
      <c r="J76" s="484"/>
      <c r="K76" s="529"/>
      <c r="L76" s="530"/>
      <c r="M76" s="531"/>
      <c r="N76" s="2980"/>
      <c r="O76" s="2980"/>
      <c r="P76" s="2978"/>
      <c r="Q76" s="2966"/>
      <c r="R76" s="2952"/>
      <c r="S76" s="2952"/>
      <c r="T76" s="2952"/>
      <c r="U76" s="2952"/>
      <c r="V76" s="2952"/>
      <c r="W76" s="2952"/>
      <c r="X76" s="2952"/>
      <c r="Y76" s="2952"/>
      <c r="Z76" s="2952"/>
      <c r="AA76" s="2952"/>
      <c r="AB76" s="2952"/>
      <c r="AC76" s="2952"/>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81"/>
      <c r="O77" s="2981"/>
      <c r="P77" s="2971"/>
      <c r="Q77" s="2966"/>
      <c r="R77" s="2952"/>
      <c r="S77" s="2952"/>
      <c r="T77" s="2952"/>
      <c r="U77" s="2952"/>
      <c r="V77" s="2952"/>
      <c r="W77" s="2952"/>
      <c r="X77" s="2952"/>
      <c r="Y77" s="2952"/>
      <c r="Z77" s="2952"/>
      <c r="AA77" s="2952"/>
      <c r="AB77" s="2952"/>
      <c r="AC77" s="2952"/>
    </row>
    <row r="78" spans="1:29" ht="15.75" thickTop="1">
      <c r="A78" s="489"/>
      <c r="B78" s="493" t="s">
        <v>2422</v>
      </c>
      <c r="C78" s="533" t="s">
        <v>2417</v>
      </c>
      <c r="D78" s="533" t="s">
        <v>2418</v>
      </c>
      <c r="E78" s="533" t="s">
        <v>2419</v>
      </c>
      <c r="F78" s="533" t="s">
        <v>2420</v>
      </c>
      <c r="G78" s="533" t="s">
        <v>2421</v>
      </c>
      <c r="H78" s="494"/>
      <c r="I78" s="494"/>
      <c r="J78" s="494"/>
      <c r="K78" s="495"/>
      <c r="L78" s="496"/>
      <c r="M78" s="497"/>
      <c r="N78" s="2980"/>
      <c r="O78" s="2980"/>
      <c r="P78" s="2971"/>
      <c r="Q78" s="2966"/>
      <c r="R78" s="2952"/>
      <c r="S78" s="2952"/>
      <c r="T78" s="2952"/>
      <c r="U78" s="2952"/>
      <c r="V78" s="2952"/>
      <c r="W78" s="2952"/>
      <c r="X78" s="2952"/>
      <c r="Y78" s="2952"/>
      <c r="Z78" s="2952"/>
      <c r="AA78" s="2952"/>
      <c r="AB78" s="2952"/>
      <c r="AC78" s="2952"/>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81"/>
      <c r="O79" s="2981"/>
      <c r="P79" s="2971"/>
      <c r="Q79" s="2966"/>
      <c r="R79" s="2952"/>
      <c r="S79" s="2952"/>
      <c r="T79" s="2952"/>
      <c r="U79" s="2952"/>
      <c r="V79" s="2952"/>
      <c r="W79" s="2952"/>
      <c r="X79" s="2952"/>
      <c r="Y79" s="2952"/>
      <c r="Z79" s="2952"/>
      <c r="AA79" s="2952"/>
      <c r="AB79" s="2952"/>
      <c r="AC79" s="2952"/>
    </row>
    <row r="80" spans="1:29" ht="15.75" thickTop="1">
      <c r="A80" s="489"/>
      <c r="B80" s="493" t="s">
        <v>2423</v>
      </c>
      <c r="C80" s="533" t="s">
        <v>2417</v>
      </c>
      <c r="D80" s="533" t="s">
        <v>2418</v>
      </c>
      <c r="E80" s="533" t="s">
        <v>2419</v>
      </c>
      <c r="F80" s="533" t="s">
        <v>2420</v>
      </c>
      <c r="G80" s="533" t="s">
        <v>2421</v>
      </c>
      <c r="H80" s="494"/>
      <c r="I80" s="494"/>
      <c r="J80" s="494"/>
      <c r="K80" s="495"/>
      <c r="L80" s="496"/>
      <c r="M80" s="497"/>
      <c r="N80" s="2980"/>
      <c r="O80" s="2980"/>
      <c r="P80" s="2971"/>
      <c r="Q80" s="2966"/>
      <c r="R80" s="2952"/>
      <c r="S80" s="2952"/>
      <c r="T80" s="2952"/>
      <c r="U80" s="2952"/>
      <c r="V80" s="2952"/>
      <c r="W80" s="2952"/>
      <c r="X80" s="2952"/>
      <c r="Y80" s="2952"/>
      <c r="Z80" s="2952"/>
      <c r="AA80" s="2952"/>
      <c r="AB80" s="2952"/>
      <c r="AC80" s="2952"/>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81"/>
      <c r="O81" s="2981"/>
      <c r="P81" s="2971"/>
      <c r="Q81" s="2966"/>
      <c r="R81" s="2952"/>
      <c r="S81" s="2952"/>
      <c r="T81" s="2952"/>
      <c r="U81" s="2952"/>
      <c r="V81" s="2952"/>
      <c r="W81" s="2952"/>
      <c r="X81" s="2952"/>
      <c r="Y81" s="2952"/>
      <c r="Z81" s="2952"/>
      <c r="AA81" s="2952"/>
      <c r="AB81" s="2952"/>
      <c r="AC81" s="2952"/>
    </row>
    <row r="82" spans="1:29" ht="15.75" thickTop="1">
      <c r="A82" s="489"/>
      <c r="B82" s="501" t="s">
        <v>2475</v>
      </c>
      <c r="C82" s="614" t="s">
        <v>2495</v>
      </c>
      <c r="D82" s="614" t="s">
        <v>2496</v>
      </c>
      <c r="E82" s="614" t="s">
        <v>2497</v>
      </c>
      <c r="F82" s="614" t="s">
        <v>2498</v>
      </c>
      <c r="G82" s="614" t="s">
        <v>2499</v>
      </c>
      <c r="H82" s="494"/>
      <c r="I82" s="494"/>
      <c r="J82" s="494"/>
      <c r="K82" s="494"/>
      <c r="L82" s="494"/>
      <c r="M82" s="1288"/>
      <c r="N82" s="2981"/>
      <c r="O82" s="2981"/>
      <c r="P82" s="2971"/>
      <c r="Q82" s="2966"/>
      <c r="R82" s="2952"/>
      <c r="S82" s="2952"/>
      <c r="T82" s="2952"/>
      <c r="U82" s="2952"/>
      <c r="V82" s="2952"/>
      <c r="W82" s="2952"/>
      <c r="X82" s="2952"/>
      <c r="Y82" s="2952"/>
      <c r="Z82" s="2952"/>
      <c r="AA82" s="2952"/>
      <c r="AB82" s="2952"/>
      <c r="AC82" s="2952"/>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81"/>
      <c r="O83" s="2981"/>
      <c r="P83" s="2971"/>
      <c r="Q83" s="2966"/>
      <c r="R83" s="2952"/>
      <c r="S83" s="2952"/>
      <c r="T83" s="2952"/>
      <c r="U83" s="2952"/>
      <c r="V83" s="2952"/>
      <c r="W83" s="2952"/>
      <c r="X83" s="2952"/>
      <c r="Y83" s="2952"/>
      <c r="Z83" s="2952"/>
      <c r="AA83" s="2952"/>
      <c r="AB83" s="2952"/>
      <c r="AC83" s="2952"/>
    </row>
    <row r="84" spans="1:29" ht="15.75" thickTop="1">
      <c r="A84" s="489"/>
      <c r="B84" s="493" t="s">
        <v>2429</v>
      </c>
      <c r="C84" s="533" t="s">
        <v>2417</v>
      </c>
      <c r="D84" s="533" t="s">
        <v>2418</v>
      </c>
      <c r="E84" s="533" t="s">
        <v>2419</v>
      </c>
      <c r="F84" s="533" t="s">
        <v>2420</v>
      </c>
      <c r="G84" s="533" t="s">
        <v>2421</v>
      </c>
      <c r="H84" s="494"/>
      <c r="I84" s="494"/>
      <c r="J84" s="494"/>
      <c r="K84" s="495"/>
      <c r="L84" s="496"/>
      <c r="M84" s="497"/>
      <c r="N84" s="2980"/>
      <c r="O84" s="2980"/>
      <c r="P84" s="2971"/>
      <c r="Q84" s="2966"/>
      <c r="R84" s="2952"/>
      <c r="S84" s="2952"/>
      <c r="T84" s="2952"/>
      <c r="U84" s="2952"/>
      <c r="V84" s="2952"/>
      <c r="W84" s="2952"/>
      <c r="X84" s="2952"/>
      <c r="Y84" s="2952"/>
      <c r="Z84" s="2952"/>
      <c r="AA84" s="2952"/>
      <c r="AB84" s="2952"/>
      <c r="AC84" s="2952"/>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81"/>
      <c r="O85" s="2981"/>
      <c r="P85" s="2971"/>
      <c r="Q85" s="2966"/>
      <c r="R85" s="2952"/>
      <c r="S85" s="2952"/>
      <c r="T85" s="2952"/>
      <c r="U85" s="2952"/>
      <c r="V85" s="2952"/>
      <c r="W85" s="2952"/>
      <c r="X85" s="2952"/>
      <c r="Y85" s="2952"/>
      <c r="Z85" s="2952"/>
      <c r="AA85" s="2952"/>
      <c r="AB85" s="2952"/>
      <c r="AC85" s="2952"/>
    </row>
    <row r="86" spans="1:29" s="113" customFormat="1" ht="15.75" thickTop="1">
      <c r="A86" s="534"/>
      <c r="B86" s="493" t="s">
        <v>2500</v>
      </c>
      <c r="C86" s="509"/>
      <c r="D86" s="509"/>
      <c r="E86" s="509"/>
      <c r="F86" s="509"/>
      <c r="G86" s="509"/>
      <c r="H86" s="509"/>
      <c r="I86" s="509"/>
      <c r="J86" s="509"/>
      <c r="K86" s="509"/>
      <c r="L86" s="535"/>
      <c r="M86" s="536"/>
      <c r="N86" s="2979"/>
      <c r="O86" s="2979"/>
      <c r="P86" s="2971"/>
      <c r="Q86" s="2966"/>
      <c r="R86" s="2886"/>
      <c r="S86" s="2886"/>
      <c r="T86" s="2886"/>
      <c r="U86" s="2886"/>
      <c r="V86" s="2886"/>
      <c r="W86" s="2886"/>
      <c r="X86" s="2886"/>
      <c r="Y86" s="2886"/>
      <c r="Z86" s="2886"/>
      <c r="AA86" s="2886"/>
      <c r="AB86" s="2886"/>
      <c r="AC86" s="2886"/>
    </row>
    <row r="87" spans="1:29" s="113"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4"/>
      <c r="B88" s="493" t="str">
        <f>B26</f>
        <v>平面位置/可视性</v>
      </c>
      <c r="C88" s="509"/>
      <c r="D88" s="509"/>
      <c r="E88" s="509"/>
      <c r="F88" s="2111"/>
      <c r="G88" s="509"/>
      <c r="H88" s="509"/>
      <c r="I88" s="509"/>
      <c r="J88" s="509"/>
      <c r="K88" s="509"/>
      <c r="L88" s="509"/>
      <c r="M88" s="536"/>
      <c r="N88" s="2979"/>
      <c r="O88" s="2979"/>
      <c r="P88" s="2971"/>
      <c r="Q88" s="2966"/>
      <c r="R88" s="2886"/>
      <c r="S88" s="2886"/>
      <c r="T88" s="2886"/>
      <c r="U88" s="2886"/>
      <c r="V88" s="2886"/>
      <c r="W88" s="2886"/>
      <c r="X88" s="2886"/>
      <c r="Y88" s="2886"/>
      <c r="Z88" s="2886"/>
      <c r="AA88" s="2886"/>
      <c r="AB88" s="2886"/>
      <c r="AC88" s="2886"/>
    </row>
    <row r="89" spans="1:29" s="113" customFormat="1" ht="15.75" thickBot="1">
      <c r="A89" s="534"/>
      <c r="B89" s="498"/>
      <c r="C89" s="515"/>
      <c r="D89" s="491"/>
      <c r="E89" s="491"/>
      <c r="F89" s="491"/>
      <c r="G89" s="491"/>
      <c r="H89" s="491"/>
      <c r="I89" s="491"/>
      <c r="J89" s="491"/>
      <c r="K89" s="491"/>
      <c r="L89" s="491"/>
      <c r="M89" s="491"/>
      <c r="N89" s="2981"/>
      <c r="O89" s="2981"/>
      <c r="P89" s="2971"/>
      <c r="Q89" s="2966"/>
      <c r="R89" s="2886"/>
      <c r="S89" s="2886"/>
      <c r="T89" s="2886"/>
      <c r="U89" s="2886"/>
      <c r="V89" s="2886"/>
      <c r="W89" s="2886"/>
      <c r="X89" s="2886"/>
      <c r="Y89" s="2886"/>
      <c r="Z89" s="2886"/>
      <c r="AA89" s="2886"/>
      <c r="AB89" s="2886"/>
      <c r="AC89" s="2886"/>
    </row>
    <row r="90" spans="1:29" s="428" customFormat="1" ht="15.75" thickTop="1">
      <c r="A90" s="508"/>
      <c r="B90" s="493" t="str">
        <f>B27</f>
        <v>人流量</v>
      </c>
      <c r="C90" s="509"/>
      <c r="D90" s="509"/>
      <c r="E90" s="509"/>
      <c r="F90" s="509"/>
      <c r="G90" s="509"/>
      <c r="H90" s="510"/>
      <c r="I90" s="510"/>
      <c r="J90" s="510"/>
      <c r="K90" s="510"/>
      <c r="L90" s="511"/>
      <c r="M90" s="512"/>
      <c r="N90" s="2982"/>
      <c r="O90" s="2982"/>
      <c r="P90" s="2972"/>
      <c r="Q90" s="2973"/>
      <c r="R90" s="2974"/>
      <c r="S90" s="2974"/>
      <c r="T90" s="2974"/>
      <c r="U90" s="2974"/>
      <c r="V90" s="2974"/>
      <c r="W90" s="2974"/>
      <c r="X90" s="2974"/>
      <c r="Y90" s="2974"/>
      <c r="Z90" s="2974"/>
      <c r="AA90" s="2974"/>
      <c r="AB90" s="2974"/>
      <c r="AC90" s="2974"/>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89"/>
      <c r="B92" s="493" t="str">
        <f>B28</f>
        <v>楼层</v>
      </c>
      <c r="C92" s="509"/>
      <c r="D92" s="509"/>
      <c r="E92" s="509"/>
      <c r="F92" s="509"/>
      <c r="G92" s="509"/>
      <c r="H92" s="509"/>
      <c r="I92" s="509"/>
      <c r="J92" s="509"/>
      <c r="K92" s="509"/>
      <c r="L92" s="535"/>
      <c r="M92" s="536"/>
      <c r="N92" s="2980"/>
      <c r="O92" s="2980"/>
      <c r="P92" s="2971"/>
      <c r="Q92" s="2966"/>
      <c r="R92" s="2952"/>
      <c r="S92" s="2952"/>
      <c r="T92" s="2952"/>
      <c r="U92" s="2952"/>
      <c r="V92" s="2952"/>
      <c r="W92" s="2952"/>
      <c r="X92" s="2952"/>
      <c r="Y92" s="2952"/>
      <c r="Z92" s="2952"/>
      <c r="AA92" s="2952"/>
      <c r="AB92" s="2952"/>
      <c r="AC92" s="2952"/>
    </row>
    <row r="93" spans="1:29" ht="15.75" thickBot="1">
      <c r="A93" s="489"/>
      <c r="B93" s="498"/>
      <c r="C93" s="491"/>
      <c r="D93" s="491"/>
      <c r="E93" s="491"/>
      <c r="F93" s="491"/>
      <c r="G93" s="491"/>
      <c r="H93" s="491"/>
      <c r="I93" s="491"/>
      <c r="J93" s="491"/>
      <c r="K93" s="491"/>
      <c r="L93" s="491"/>
      <c r="M93" s="492"/>
      <c r="N93" s="2981"/>
      <c r="O93" s="2981"/>
      <c r="P93" s="2971"/>
      <c r="Q93" s="2966"/>
      <c r="R93" s="2952"/>
      <c r="S93" s="2952"/>
      <c r="T93" s="2952"/>
      <c r="U93" s="2952"/>
      <c r="V93" s="2952"/>
      <c r="W93" s="2952"/>
      <c r="X93" s="2952"/>
      <c r="Y93" s="2952"/>
      <c r="Z93" s="2952"/>
      <c r="AA93" s="2952"/>
      <c r="AB93" s="2952"/>
      <c r="AC93" s="2952"/>
    </row>
    <row r="94" spans="1:29" ht="15.75" thickTop="1">
      <c r="A94" s="489"/>
      <c r="B94" s="493">
        <f>B29</f>
        <v>111</v>
      </c>
      <c r="C94" s="509"/>
      <c r="D94" s="509"/>
      <c r="E94" s="509"/>
      <c r="F94" s="509"/>
      <c r="G94" s="538"/>
      <c r="H94" s="538"/>
      <c r="I94" s="538"/>
      <c r="J94" s="538"/>
      <c r="K94" s="539"/>
      <c r="L94" s="540"/>
      <c r="M94" s="541"/>
      <c r="N94" s="2980"/>
      <c r="O94" s="2980"/>
      <c r="P94" s="2971"/>
      <c r="Q94" s="2966"/>
      <c r="R94" s="2952"/>
      <c r="S94" s="2952"/>
      <c r="T94" s="2952"/>
      <c r="U94" s="2952"/>
      <c r="V94" s="2952"/>
      <c r="W94" s="2952"/>
      <c r="X94" s="2952"/>
      <c r="Y94" s="2952"/>
      <c r="Z94" s="2952"/>
      <c r="AA94" s="2952"/>
      <c r="AB94" s="2952"/>
      <c r="AC94" s="2952"/>
    </row>
    <row r="95" spans="1:29" ht="15.75" thickBot="1">
      <c r="A95" s="489"/>
      <c r="B95" s="498"/>
      <c r="C95" s="515"/>
      <c r="D95" s="491"/>
      <c r="E95" s="491"/>
      <c r="F95" s="491"/>
      <c r="G95" s="491"/>
      <c r="H95" s="491"/>
      <c r="I95" s="491"/>
      <c r="J95" s="491"/>
      <c r="K95" s="491"/>
      <c r="L95" s="491"/>
      <c r="M95" s="492"/>
      <c r="N95" s="2981"/>
      <c r="O95" s="2981"/>
      <c r="P95" s="2971"/>
      <c r="Q95" s="2966"/>
      <c r="R95" s="2952"/>
      <c r="S95" s="2952"/>
      <c r="T95" s="2952"/>
      <c r="U95" s="2952"/>
      <c r="V95" s="2952"/>
      <c r="W95" s="2952"/>
      <c r="X95" s="2952"/>
      <c r="Y95" s="2952"/>
      <c r="Z95" s="2952"/>
      <c r="AA95" s="2952"/>
      <c r="AB95" s="2952"/>
      <c r="AC95" s="2952"/>
    </row>
    <row r="96" spans="1:29" ht="15.75" thickTop="1">
      <c r="A96" s="489"/>
      <c r="B96" s="493">
        <f>B30</f>
        <v>111</v>
      </c>
      <c r="C96" s="509"/>
      <c r="D96" s="509"/>
      <c r="E96" s="509"/>
      <c r="F96" s="509"/>
      <c r="G96" s="538"/>
      <c r="H96" s="538"/>
      <c r="I96" s="538"/>
      <c r="J96" s="538"/>
      <c r="K96" s="539"/>
      <c r="L96" s="540"/>
      <c r="M96" s="541"/>
      <c r="N96" s="2980"/>
      <c r="O96" s="2980"/>
      <c r="P96" s="2971"/>
      <c r="Q96" s="2966"/>
      <c r="R96" s="2952"/>
      <c r="S96" s="2952"/>
      <c r="T96" s="2952"/>
      <c r="U96" s="2952"/>
      <c r="V96" s="2952"/>
      <c r="W96" s="2952"/>
      <c r="X96" s="2952"/>
      <c r="Y96" s="2952"/>
      <c r="Z96" s="2952"/>
      <c r="AA96" s="2952"/>
      <c r="AB96" s="2952"/>
      <c r="AC96" s="2952"/>
    </row>
    <row r="97" spans="1:29" ht="15.75" thickBot="1">
      <c r="A97" s="489"/>
      <c r="B97" s="498"/>
      <c r="C97" s="515"/>
      <c r="D97" s="491"/>
      <c r="E97" s="491"/>
      <c r="F97" s="491"/>
      <c r="G97" s="491"/>
      <c r="H97" s="491"/>
      <c r="I97" s="491"/>
      <c r="J97" s="491"/>
      <c r="K97" s="491"/>
      <c r="L97" s="491"/>
      <c r="M97" s="492"/>
      <c r="N97" s="2981"/>
      <c r="O97" s="2981"/>
      <c r="P97" s="2971"/>
      <c r="Q97" s="2966"/>
      <c r="R97" s="2952"/>
      <c r="S97" s="2952"/>
      <c r="T97" s="2952"/>
      <c r="U97" s="2952"/>
      <c r="V97" s="2952"/>
      <c r="W97" s="2952"/>
      <c r="X97" s="2952"/>
      <c r="Y97" s="2952"/>
      <c r="Z97" s="2952"/>
      <c r="AA97" s="2952"/>
      <c r="AB97" s="2952"/>
      <c r="AC97" s="2952"/>
    </row>
    <row r="98" spans="1:29" ht="15.75" thickTop="1">
      <c r="A98" s="489"/>
      <c r="B98" s="501">
        <f>B31</f>
        <v>111</v>
      </c>
      <c r="C98" s="509"/>
      <c r="D98" s="509"/>
      <c r="E98" s="509"/>
      <c r="F98" s="509"/>
      <c r="G98" s="542"/>
      <c r="H98" s="542"/>
      <c r="I98" s="542"/>
      <c r="J98" s="542"/>
      <c r="K98" s="543"/>
      <c r="L98" s="544"/>
      <c r="M98" s="545"/>
      <c r="N98" s="2980"/>
      <c r="O98" s="2980"/>
      <c r="P98" s="2971"/>
      <c r="Q98" s="2966"/>
      <c r="R98" s="2952"/>
      <c r="S98" s="2952"/>
      <c r="T98" s="2952"/>
      <c r="U98" s="2952"/>
      <c r="V98" s="2952"/>
      <c r="W98" s="2952"/>
      <c r="X98" s="2952"/>
      <c r="Y98" s="2952"/>
      <c r="Z98" s="2952"/>
      <c r="AA98" s="2952"/>
      <c r="AB98" s="2952"/>
      <c r="AC98" s="2952"/>
    </row>
    <row r="99" spans="1:29" ht="15.75" thickBot="1">
      <c r="A99" s="2112"/>
      <c r="B99" s="524"/>
      <c r="C99" s="525"/>
      <c r="D99" s="525"/>
      <c r="E99" s="525"/>
      <c r="F99" s="525"/>
      <c r="G99" s="546"/>
      <c r="H99" s="546"/>
      <c r="I99" s="546"/>
      <c r="J99" s="546"/>
      <c r="K99" s="546"/>
      <c r="L99" s="546"/>
      <c r="M99" s="547"/>
      <c r="N99" s="2981"/>
      <c r="O99" s="2981"/>
      <c r="P99" s="2971"/>
      <c r="Q99" s="2966"/>
      <c r="R99" s="2952"/>
      <c r="S99" s="2952"/>
      <c r="T99" s="2952"/>
      <c r="U99" s="2952"/>
      <c r="V99" s="2952"/>
      <c r="W99" s="2952"/>
      <c r="X99" s="2952"/>
      <c r="Y99" s="2952"/>
      <c r="Z99" s="2952"/>
      <c r="AA99" s="2952"/>
      <c r="AB99" s="2952"/>
      <c r="AC99" s="2952"/>
    </row>
    <row r="100" spans="1:29">
      <c r="A100" s="482" t="s">
        <v>2383</v>
      </c>
      <c r="B100" s="483" t="s">
        <v>2501</v>
      </c>
      <c r="C100" s="485"/>
      <c r="D100" s="485"/>
      <c r="E100" s="485"/>
      <c r="F100" s="485"/>
      <c r="G100" s="485"/>
      <c r="H100" s="485"/>
      <c r="I100" s="485"/>
      <c r="J100" s="485"/>
      <c r="K100" s="486"/>
      <c r="L100" s="487"/>
      <c r="M100" s="488"/>
      <c r="N100" s="2980"/>
      <c r="O100" s="2980"/>
      <c r="P100" s="2971"/>
      <c r="Q100" s="2966"/>
      <c r="R100" s="2952"/>
      <c r="S100" s="2952"/>
      <c r="T100" s="2952"/>
      <c r="U100" s="2952"/>
      <c r="V100" s="2952"/>
      <c r="W100" s="2952"/>
      <c r="X100" s="2952"/>
      <c r="Y100" s="2952"/>
      <c r="Z100" s="2952"/>
      <c r="AA100" s="2952"/>
      <c r="AB100" s="2952"/>
      <c r="AC100" s="2952"/>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89"/>
      <c r="B102" s="493" t="s">
        <v>2433</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28" customFormat="1">
      <c r="A103" s="548"/>
      <c r="B103" s="549"/>
      <c r="C103" s="550"/>
      <c r="D103" s="550"/>
      <c r="E103" s="550"/>
      <c r="F103" s="550"/>
      <c r="G103" s="550"/>
      <c r="H103" s="550"/>
      <c r="I103" s="550"/>
      <c r="J103" s="551"/>
      <c r="K103" s="551"/>
      <c r="L103" s="552"/>
      <c r="M103" s="553"/>
      <c r="N103" s="2982"/>
      <c r="O103" s="2982"/>
      <c r="P103" s="2972"/>
      <c r="Q103" s="2973"/>
      <c r="R103" s="2974"/>
      <c r="S103" s="2974"/>
      <c r="T103" s="2974"/>
      <c r="U103" s="2974"/>
      <c r="V103" s="2974"/>
      <c r="W103" s="2974"/>
      <c r="X103" s="2974"/>
      <c r="Y103" s="2974"/>
      <c r="Z103" s="2974"/>
      <c r="AA103" s="2974"/>
      <c r="AB103" s="2974"/>
      <c r="AC103" s="2974"/>
    </row>
    <row r="104" spans="1:29" s="428" customFormat="1" ht="15.75" thickBot="1">
      <c r="A104" s="508"/>
      <c r="B104" s="498"/>
      <c r="C104" s="515"/>
      <c r="D104" s="491"/>
      <c r="E104" s="491"/>
      <c r="F104" s="491"/>
      <c r="G104" s="491"/>
      <c r="H104" s="491"/>
      <c r="I104" s="491"/>
      <c r="J104" s="491"/>
      <c r="K104" s="491"/>
      <c r="L104" s="491"/>
      <c r="M104" s="492"/>
      <c r="N104" s="2981"/>
      <c r="O104" s="2981"/>
      <c r="P104" s="2972"/>
      <c r="Q104" s="2973"/>
      <c r="R104" s="2974"/>
      <c r="S104" s="2974"/>
      <c r="T104" s="2974"/>
      <c r="U104" s="2974"/>
      <c r="V104" s="2974"/>
      <c r="W104" s="2974"/>
      <c r="X104" s="2974"/>
      <c r="Y104" s="2974"/>
      <c r="Z104" s="2974"/>
      <c r="AA104" s="2974"/>
      <c r="AB104" s="2974"/>
      <c r="AC104" s="2974"/>
    </row>
    <row r="105" spans="1:29" ht="15" thickTop="1">
      <c r="A105" s="554"/>
      <c r="B105" s="493" t="s">
        <v>2434</v>
      </c>
      <c r="C105" s="509"/>
      <c r="D105" s="509"/>
      <c r="E105" s="538"/>
      <c r="F105" s="538"/>
      <c r="G105" s="538"/>
      <c r="H105" s="538"/>
      <c r="I105" s="538"/>
      <c r="J105" s="538"/>
      <c r="K105" s="539"/>
      <c r="L105" s="540"/>
      <c r="M105" s="541"/>
      <c r="N105" s="2980"/>
      <c r="O105" s="2980"/>
      <c r="P105" s="2971"/>
      <c r="Q105" s="2966"/>
      <c r="R105" s="2952"/>
      <c r="S105" s="2952"/>
      <c r="T105" s="2952"/>
      <c r="U105" s="2952"/>
      <c r="V105" s="2952"/>
      <c r="W105" s="2952"/>
      <c r="X105" s="2952"/>
      <c r="Y105" s="2952"/>
      <c r="Z105" s="2952"/>
      <c r="AA105" s="2952"/>
      <c r="AB105" s="2952"/>
      <c r="AC105" s="2952"/>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4"/>
      <c r="B107" s="493" t="s">
        <v>2436</v>
      </c>
      <c r="C107" s="509"/>
      <c r="D107" s="509"/>
      <c r="E107" s="509"/>
      <c r="F107" s="538"/>
      <c r="G107" s="538"/>
      <c r="H107" s="538"/>
      <c r="I107" s="538"/>
      <c r="J107" s="538"/>
      <c r="K107" s="539"/>
      <c r="L107" s="540"/>
      <c r="M107" s="541"/>
      <c r="N107" s="2980"/>
      <c r="O107" s="2980"/>
      <c r="P107" s="2971"/>
      <c r="Q107" s="2966"/>
      <c r="R107" s="2952"/>
      <c r="S107" s="2952"/>
      <c r="T107" s="2952"/>
      <c r="U107" s="2952"/>
      <c r="V107" s="2952"/>
      <c r="W107" s="2952"/>
      <c r="X107" s="2952"/>
      <c r="Y107" s="2952"/>
      <c r="Z107" s="2952"/>
      <c r="AA107" s="2952"/>
      <c r="AB107" s="2952"/>
      <c r="AC107" s="2952"/>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4"/>
      <c r="B109" s="493" t="s">
        <v>1877</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80"/>
      <c r="O109" s="2980"/>
      <c r="P109" s="2971"/>
      <c r="Q109" s="2966"/>
      <c r="R109" s="2952"/>
      <c r="S109" s="2952"/>
      <c r="T109" s="2952"/>
      <c r="U109" s="2952"/>
      <c r="V109" s="2952"/>
      <c r="W109" s="2952"/>
      <c r="X109" s="2952"/>
      <c r="Y109" s="2952"/>
      <c r="Z109" s="2952"/>
      <c r="AA109" s="2952"/>
      <c r="AB109" s="2952"/>
      <c r="AC109" s="2952"/>
    </row>
    <row r="110" spans="1:29">
      <c r="A110" s="554"/>
      <c r="B110" s="501"/>
      <c r="C110" s="558">
        <v>0.5</v>
      </c>
      <c r="D110" s="558">
        <v>0.6</v>
      </c>
      <c r="E110" s="558">
        <v>0.7</v>
      </c>
      <c r="F110" s="558">
        <v>0.8</v>
      </c>
      <c r="G110" s="558">
        <v>0.9</v>
      </c>
      <c r="H110" s="558">
        <v>1.0001</v>
      </c>
      <c r="I110" s="577"/>
      <c r="J110" s="577"/>
      <c r="K110" s="578"/>
      <c r="L110" s="579"/>
      <c r="M110" s="580"/>
      <c r="N110" s="2980"/>
      <c r="O110" s="2980"/>
      <c r="P110" s="2971"/>
      <c r="Q110" s="2966"/>
      <c r="R110" s="2952"/>
      <c r="S110" s="2952"/>
      <c r="T110" s="2952"/>
      <c r="U110" s="2952"/>
      <c r="V110" s="2952"/>
      <c r="W110" s="2952"/>
      <c r="X110" s="2952"/>
      <c r="Y110" s="2952"/>
      <c r="Z110" s="2952"/>
      <c r="AA110" s="2952"/>
      <c r="AB110" s="2952"/>
      <c r="AC110" s="2952"/>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81"/>
      <c r="O111" s="2981"/>
      <c r="P111" s="2971"/>
      <c r="Q111" s="2966"/>
      <c r="R111" s="2952"/>
      <c r="S111" s="2952"/>
      <c r="T111" s="2952"/>
      <c r="U111" s="2952"/>
      <c r="V111" s="2952"/>
      <c r="W111" s="2952"/>
      <c r="X111" s="2952"/>
      <c r="Y111" s="2952"/>
      <c r="Z111" s="2952"/>
      <c r="AA111" s="2952"/>
      <c r="AB111" s="2952"/>
      <c r="AC111" s="2952"/>
    </row>
    <row r="112" spans="1:29" s="428" customFormat="1" ht="15" thickTop="1">
      <c r="A112" s="548"/>
      <c r="B112" s="493" t="s">
        <v>2438</v>
      </c>
      <c r="C112" s="509"/>
      <c r="D112" s="509"/>
      <c r="E112" s="509"/>
      <c r="F112" s="509"/>
      <c r="G112" s="509"/>
      <c r="H112" s="538"/>
      <c r="I112" s="538"/>
      <c r="J112" s="538"/>
      <c r="K112" s="539"/>
      <c r="L112" s="540"/>
      <c r="M112" s="541"/>
      <c r="N112" s="2982"/>
      <c r="O112" s="2982"/>
      <c r="P112" s="2972"/>
      <c r="Q112" s="2973"/>
      <c r="R112" s="2974"/>
      <c r="S112" s="2974"/>
      <c r="T112" s="2974"/>
      <c r="U112" s="2974"/>
      <c r="V112" s="2974"/>
      <c r="W112" s="2974"/>
      <c r="X112" s="2974"/>
      <c r="Y112" s="2974"/>
      <c r="Z112" s="2974"/>
      <c r="AA112" s="2974"/>
      <c r="AB112" s="2974"/>
      <c r="AC112" s="2974"/>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4"/>
      <c r="B114" s="493" t="s">
        <v>2502</v>
      </c>
      <c r="C114" s="509"/>
      <c r="D114" s="509"/>
      <c r="E114" s="538"/>
      <c r="F114" s="538"/>
      <c r="G114" s="538"/>
      <c r="H114" s="538"/>
      <c r="I114" s="538"/>
      <c r="J114" s="538"/>
      <c r="K114" s="539"/>
      <c r="L114" s="540"/>
      <c r="M114" s="541"/>
      <c r="N114" s="2980"/>
      <c r="O114" s="2980"/>
      <c r="P114" s="2971"/>
      <c r="Q114" s="2966"/>
      <c r="R114" s="2952"/>
      <c r="S114" s="2952"/>
      <c r="T114" s="2952"/>
      <c r="U114" s="2952"/>
      <c r="V114" s="2952"/>
      <c r="W114" s="2952"/>
      <c r="X114" s="2952"/>
      <c r="Y114" s="2952"/>
      <c r="Z114" s="2952"/>
      <c r="AA114" s="2952"/>
      <c r="AB114" s="2952"/>
      <c r="AC114" s="2952"/>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4"/>
      <c r="B116" s="493" t="s">
        <v>2503</v>
      </c>
      <c r="C116" s="509"/>
      <c r="D116" s="509"/>
      <c r="E116" s="509"/>
      <c r="F116" s="509"/>
      <c r="G116" s="509"/>
      <c r="H116" s="538"/>
      <c r="I116" s="538"/>
      <c r="J116" s="538"/>
      <c r="K116" s="539"/>
      <c r="L116" s="540"/>
      <c r="M116" s="541"/>
      <c r="N116" s="2980"/>
      <c r="O116" s="2980"/>
      <c r="P116" s="2971"/>
      <c r="Q116" s="2966"/>
      <c r="R116" s="2952"/>
      <c r="S116" s="2952"/>
      <c r="T116" s="2952"/>
      <c r="U116" s="2952"/>
      <c r="V116" s="2952"/>
      <c r="W116" s="2952"/>
      <c r="X116" s="2952"/>
      <c r="Y116" s="2952"/>
      <c r="Z116" s="2952"/>
      <c r="AA116" s="2952"/>
      <c r="AB116" s="2952"/>
      <c r="AC116" s="2952"/>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81"/>
      <c r="O117" s="2981"/>
      <c r="P117" s="2971"/>
      <c r="Q117" s="2966"/>
      <c r="R117" s="2952"/>
      <c r="S117" s="2952"/>
      <c r="T117" s="2952"/>
      <c r="U117" s="2952"/>
      <c r="V117" s="2952"/>
      <c r="W117" s="2952"/>
      <c r="X117" s="2952"/>
      <c r="Y117" s="2952"/>
      <c r="Z117" s="2952"/>
      <c r="AA117" s="2952"/>
      <c r="AB117" s="2952"/>
      <c r="AC117" s="2952"/>
    </row>
    <row r="118" spans="1:29" ht="15" thickTop="1">
      <c r="A118" s="554"/>
      <c r="B118" s="493" t="s">
        <v>2504</v>
      </c>
      <c r="C118" s="581"/>
      <c r="D118" s="581"/>
      <c r="E118" s="581"/>
      <c r="F118" s="581"/>
      <c r="G118" s="581"/>
      <c r="H118" s="510"/>
      <c r="I118" s="510"/>
      <c r="J118" s="510"/>
      <c r="K118" s="510"/>
      <c r="L118" s="511"/>
      <c r="M118" s="512"/>
      <c r="N118" s="2980"/>
      <c r="O118" s="2980"/>
      <c r="P118" s="2971"/>
      <c r="Q118" s="2966"/>
      <c r="R118" s="2952"/>
      <c r="S118" s="2952"/>
      <c r="T118" s="2952"/>
      <c r="U118" s="2952"/>
      <c r="V118" s="2952"/>
      <c r="W118" s="2952"/>
      <c r="X118" s="2952"/>
      <c r="Y118" s="2952"/>
      <c r="Z118" s="2952"/>
      <c r="AA118" s="2952"/>
      <c r="AB118" s="2952"/>
      <c r="AC118" s="2952"/>
    </row>
    <row r="119" spans="1:29" ht="15.75" thickBot="1">
      <c r="A119" s="489"/>
      <c r="B119" s="498"/>
      <c r="C119" s="515"/>
      <c r="D119" s="491"/>
      <c r="E119" s="491"/>
      <c r="F119" s="491"/>
      <c r="G119" s="491"/>
      <c r="H119" s="491"/>
      <c r="I119" s="491"/>
      <c r="J119" s="491"/>
      <c r="K119" s="491"/>
      <c r="L119" s="491"/>
      <c r="M119" s="492"/>
      <c r="N119" s="2981"/>
      <c r="O119" s="2981"/>
      <c r="P119" s="2971"/>
      <c r="Q119" s="2966"/>
      <c r="R119" s="2952"/>
      <c r="S119" s="2952"/>
      <c r="T119" s="2952"/>
      <c r="U119" s="2952"/>
      <c r="V119" s="2952"/>
      <c r="W119" s="2952"/>
      <c r="X119" s="2952"/>
      <c r="Y119" s="2952"/>
      <c r="Z119" s="2952"/>
      <c r="AA119" s="2952"/>
      <c r="AB119" s="2952"/>
      <c r="AC119" s="2952"/>
    </row>
    <row r="120" spans="1:29" s="428" customFormat="1" ht="15" thickTop="1">
      <c r="A120" s="548"/>
      <c r="B120" s="493" t="s">
        <v>2505</v>
      </c>
      <c r="C120" s="538"/>
      <c r="D120" s="538"/>
      <c r="E120" s="538"/>
      <c r="F120" s="538"/>
      <c r="G120" s="510"/>
      <c r="H120" s="510"/>
      <c r="I120" s="510"/>
      <c r="J120" s="510"/>
      <c r="K120" s="510"/>
      <c r="L120" s="511"/>
      <c r="M120" s="512"/>
      <c r="N120" s="2982"/>
      <c r="O120" s="2982"/>
      <c r="P120" s="2972"/>
      <c r="Q120" s="2973"/>
      <c r="R120" s="2974"/>
      <c r="S120" s="2974"/>
      <c r="T120" s="2974"/>
      <c r="U120" s="2974"/>
      <c r="V120" s="2974"/>
      <c r="W120" s="2974"/>
      <c r="X120" s="2974"/>
      <c r="Y120" s="2974"/>
      <c r="Z120" s="2974"/>
      <c r="AA120" s="2974"/>
      <c r="AB120" s="2974"/>
      <c r="AC120" s="2974"/>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4"/>
      <c r="B122" s="493" t="s">
        <v>2440</v>
      </c>
      <c r="C122" s="509"/>
      <c r="D122" s="509"/>
      <c r="E122" s="509"/>
      <c r="F122" s="538"/>
      <c r="G122" s="538"/>
      <c r="H122" s="538"/>
      <c r="I122" s="538"/>
      <c r="J122" s="538"/>
      <c r="K122" s="539"/>
      <c r="L122" s="540"/>
      <c r="M122" s="541"/>
      <c r="N122" s="2980"/>
      <c r="O122" s="2980"/>
      <c r="P122" s="2971"/>
      <c r="Q122" s="2966"/>
      <c r="R122" s="2952"/>
      <c r="S122" s="2952"/>
      <c r="T122" s="2952"/>
      <c r="U122" s="2952"/>
      <c r="V122" s="2952"/>
      <c r="W122" s="2952"/>
      <c r="X122" s="2952"/>
      <c r="Y122" s="2952"/>
      <c r="Z122" s="2952"/>
      <c r="AA122" s="2952"/>
      <c r="AB122" s="2952"/>
      <c r="AC122" s="2952"/>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4"/>
      <c r="B124" s="493" t="s">
        <v>2441</v>
      </c>
      <c r="C124" s="533" t="s">
        <v>2417</v>
      </c>
      <c r="D124" s="533" t="s">
        <v>2418</v>
      </c>
      <c r="E124" s="533" t="s">
        <v>2419</v>
      </c>
      <c r="F124" s="533" t="s">
        <v>2420</v>
      </c>
      <c r="G124" s="533" t="s">
        <v>2421</v>
      </c>
      <c r="H124" s="494"/>
      <c r="I124" s="494"/>
      <c r="J124" s="494"/>
      <c r="K124" s="495"/>
      <c r="L124" s="496"/>
      <c r="M124" s="497"/>
      <c r="N124" s="2980"/>
      <c r="O124" s="2980"/>
      <c r="P124" s="2972"/>
      <c r="Q124" s="2966"/>
      <c r="R124" s="2952"/>
      <c r="S124" s="2952"/>
      <c r="T124" s="2952"/>
      <c r="U124" s="2952"/>
      <c r="V124" s="2952"/>
      <c r="W124" s="2952"/>
      <c r="X124" s="2952"/>
      <c r="Y124" s="2952"/>
      <c r="Z124" s="2952"/>
      <c r="AA124" s="2952"/>
      <c r="AB124" s="2952"/>
      <c r="AC124" s="2952"/>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81"/>
      <c r="O125" s="2981"/>
      <c r="P125" s="2971"/>
      <c r="Q125" s="2966"/>
      <c r="R125" s="2952"/>
      <c r="S125" s="2952"/>
      <c r="T125" s="2952"/>
      <c r="U125" s="2952"/>
      <c r="V125" s="2952"/>
      <c r="W125" s="2952"/>
      <c r="X125" s="2952"/>
      <c r="Y125" s="2952"/>
      <c r="Z125" s="2952"/>
      <c r="AA125" s="2952"/>
      <c r="AB125" s="2952"/>
      <c r="AC125" s="2952"/>
    </row>
    <row r="126" spans="1:29" s="428" customFormat="1" ht="15" thickTop="1">
      <c r="A126" s="548"/>
      <c r="B126" s="493">
        <f>B44</f>
        <v>111</v>
      </c>
      <c r="C126" s="509"/>
      <c r="D126" s="509"/>
      <c r="E126" s="509"/>
      <c r="F126" s="509"/>
      <c r="G126" s="509"/>
      <c r="H126" s="510"/>
      <c r="I126" s="510"/>
      <c r="J126" s="510"/>
      <c r="K126" s="510"/>
      <c r="L126" s="511"/>
      <c r="M126" s="512"/>
      <c r="N126" s="2982"/>
      <c r="O126" s="2982"/>
      <c r="P126" s="2972"/>
      <c r="Q126" s="2973"/>
      <c r="R126" s="2974"/>
      <c r="S126" s="2974"/>
      <c r="T126" s="2974"/>
      <c r="U126" s="2974"/>
      <c r="V126" s="2974"/>
      <c r="W126" s="2974"/>
      <c r="X126" s="2974"/>
      <c r="Y126" s="2974"/>
      <c r="Z126" s="2974"/>
      <c r="AA126" s="2974"/>
      <c r="AB126" s="2974"/>
      <c r="AC126" s="2974"/>
    </row>
    <row r="127" spans="1:29" s="428" customFormat="1" ht="15.75" thickBot="1">
      <c r="A127" s="508"/>
      <c r="B127" s="498"/>
      <c r="C127" s="515"/>
      <c r="D127" s="491"/>
      <c r="E127" s="491"/>
      <c r="F127" s="491"/>
      <c r="G127" s="515"/>
      <c r="H127" s="517"/>
      <c r="I127" s="517"/>
      <c r="J127" s="517"/>
      <c r="K127" s="517"/>
      <c r="L127" s="517"/>
      <c r="M127" s="518"/>
      <c r="N127" s="2982"/>
      <c r="O127" s="2982"/>
      <c r="P127" s="2972"/>
      <c r="Q127" s="2973"/>
      <c r="R127" s="2974"/>
      <c r="S127" s="2974"/>
      <c r="T127" s="2974"/>
      <c r="U127" s="2974"/>
      <c r="V127" s="2974"/>
      <c r="W127" s="2974"/>
      <c r="X127" s="2974"/>
      <c r="Y127" s="2974"/>
      <c r="Z127" s="2974"/>
      <c r="AA127" s="2974"/>
      <c r="AB127" s="2974"/>
      <c r="AC127" s="2974"/>
    </row>
    <row r="128" spans="1:29" ht="15" thickTop="1">
      <c r="A128" s="554"/>
      <c r="B128" s="493">
        <f>B45</f>
        <v>111</v>
      </c>
      <c r="C128" s="509"/>
      <c r="D128" s="509"/>
      <c r="E128" s="509"/>
      <c r="F128" s="509"/>
      <c r="G128" s="538"/>
      <c r="H128" s="538"/>
      <c r="I128" s="538"/>
      <c r="J128" s="538"/>
      <c r="K128" s="539"/>
      <c r="L128" s="540"/>
      <c r="M128" s="541"/>
      <c r="N128" s="2980"/>
      <c r="O128" s="2980"/>
      <c r="P128" s="2971"/>
      <c r="Q128" s="2966"/>
      <c r="R128" s="2952"/>
      <c r="S128" s="2952"/>
      <c r="T128" s="2952"/>
      <c r="U128" s="2952"/>
      <c r="V128" s="2952"/>
      <c r="W128" s="2952"/>
      <c r="X128" s="2952"/>
      <c r="Y128" s="2952"/>
      <c r="Z128" s="2952"/>
      <c r="AA128" s="2952"/>
      <c r="AB128" s="2952"/>
      <c r="AC128" s="2952"/>
    </row>
    <row r="129" spans="1:29" ht="15.75" thickBot="1">
      <c r="A129" s="489"/>
      <c r="B129" s="498"/>
      <c r="C129" s="515"/>
      <c r="D129" s="491"/>
      <c r="E129" s="491"/>
      <c r="F129" s="491"/>
      <c r="G129" s="491"/>
      <c r="H129" s="491"/>
      <c r="I129" s="491"/>
      <c r="J129" s="491"/>
      <c r="K129" s="491"/>
      <c r="L129" s="491"/>
      <c r="M129" s="492"/>
      <c r="N129" s="2981"/>
      <c r="O129" s="2981"/>
      <c r="P129" s="2971"/>
      <c r="Q129" s="2966"/>
      <c r="R129" s="2952"/>
      <c r="S129" s="2952"/>
      <c r="T129" s="2952"/>
      <c r="U129" s="2952"/>
      <c r="V129" s="2952"/>
      <c r="W129" s="2952"/>
      <c r="X129" s="2952"/>
      <c r="Y129" s="2952"/>
      <c r="Z129" s="2952"/>
      <c r="AA129" s="2952"/>
      <c r="AB129" s="2952"/>
      <c r="AC129" s="2952"/>
    </row>
    <row r="130" spans="1:29" ht="15" thickTop="1">
      <c r="A130" s="554"/>
      <c r="B130" s="501">
        <f>B46</f>
        <v>111</v>
      </c>
      <c r="C130" s="509"/>
      <c r="D130" s="509"/>
      <c r="E130" s="509"/>
      <c r="F130" s="509"/>
      <c r="G130" s="542"/>
      <c r="H130" s="542"/>
      <c r="I130" s="542"/>
      <c r="J130" s="542"/>
      <c r="K130" s="478"/>
      <c r="L130" s="479"/>
      <c r="M130" s="545"/>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4"/>
      <c r="C131" s="525"/>
      <c r="D131" s="525"/>
      <c r="E131" s="525"/>
      <c r="F131" s="525"/>
      <c r="G131" s="546"/>
      <c r="H131" s="546"/>
      <c r="I131" s="546"/>
      <c r="J131" s="546"/>
      <c r="K131" s="546"/>
      <c r="L131" s="546"/>
      <c r="M131" s="547"/>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4"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2348</v>
      </c>
      <c r="B1" s="2141" t="s">
        <v>2506</v>
      </c>
      <c r="C1" s="1389" t="s">
        <v>2350</v>
      </c>
      <c r="D1" s="1390"/>
      <c r="E1" s="1399"/>
      <c r="F1" s="2063"/>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6" customFormat="1" ht="28.5" customHeight="1" thickTop="1">
      <c r="A2" s="1386" t="s">
        <v>2150</v>
      </c>
      <c r="B2" s="1323" t="e">
        <f ca="1">IF(C2="——",ROUND(C50*D3/10000,0),ROUND(C50*D3/10000,0)-D2)</f>
        <v>#DIV/0!</v>
      </c>
      <c r="C2" s="2065"/>
      <c r="D2" s="1272" t="e">
        <f ca="1">SUMIF(INDIRECT("'"&amp;F2&amp;"'"&amp;"!A:A"),"承租人权益价值",INDIRECT("'"&amp;F2&amp;"'"&amp;"!c:c"))</f>
        <v>#REF!</v>
      </c>
      <c r="E2" s="2066" t="s">
        <v>2151</v>
      </c>
      <c r="F2" s="2067"/>
      <c r="G2" s="1036"/>
      <c r="H2" s="1036"/>
      <c r="I2" s="1036"/>
      <c r="J2" s="1036"/>
      <c r="K2" s="1036"/>
      <c r="L2" s="2961"/>
      <c r="M2" s="2962"/>
      <c r="N2" s="2962"/>
      <c r="O2" s="2962"/>
      <c r="P2" s="705"/>
      <c r="Q2" s="705"/>
      <c r="R2" s="705"/>
      <c r="S2" s="705"/>
      <c r="T2" s="705"/>
      <c r="U2" s="705"/>
      <c r="V2" s="705"/>
      <c r="W2" s="705"/>
      <c r="X2" s="705"/>
      <c r="Y2" s="705"/>
      <c r="Z2" s="705"/>
      <c r="AA2" s="705"/>
      <c r="AB2" s="705"/>
      <c r="AC2" s="706"/>
    </row>
    <row r="3" spans="1:29" s="356" customFormat="1" ht="28.5" customHeight="1" thickBot="1">
      <c r="A3" s="207" t="s">
        <v>2152</v>
      </c>
      <c r="B3" s="564" t="e">
        <f ca="1">IF(C2="——",C50,ROUND(B2*10000/D3,0))</f>
        <v>#DIV/0!</v>
      </c>
      <c r="C3" s="358" t="s">
        <v>2464</v>
      </c>
      <c r="D3" s="357">
        <f>IF(D1="",'数据-汇总表'!E3,SUMIF('数据-汇总表'!$C19:$C33,D1,'数据-汇总表'!$E19:$E33))</f>
        <v>160498.87</v>
      </c>
      <c r="E3" s="2138"/>
      <c r="F3" s="1037"/>
      <c r="G3" s="1036"/>
      <c r="H3" s="1036"/>
      <c r="I3" s="1036"/>
      <c r="J3" s="1036"/>
      <c r="K3" s="1038"/>
      <c r="L3" s="2961"/>
      <c r="M3" s="2962"/>
      <c r="N3" s="2962"/>
      <c r="O3" s="2962"/>
      <c r="P3" s="705"/>
      <c r="Q3" s="705"/>
      <c r="R3" s="705"/>
      <c r="S3" s="705"/>
      <c r="T3" s="705"/>
      <c r="U3" s="705"/>
      <c r="V3" s="705"/>
      <c r="W3" s="705"/>
      <c r="X3" s="705"/>
      <c r="Y3" s="705"/>
      <c r="Z3" s="705"/>
      <c r="AA3" s="705"/>
      <c r="AB3" s="705"/>
      <c r="AC3" s="706"/>
    </row>
    <row r="4" spans="1:29" ht="15">
      <c r="A4" s="359" t="s">
        <v>2465</v>
      </c>
      <c r="B4" s="360"/>
      <c r="C4" s="3296" t="s">
        <v>2466</v>
      </c>
      <c r="D4" s="3297"/>
      <c r="E4" s="3298" t="s">
        <v>2467</v>
      </c>
      <c r="F4" s="3299"/>
      <c r="G4" s="3296" t="s">
        <v>2468</v>
      </c>
      <c r="H4" s="3297"/>
      <c r="I4" s="3296" t="s">
        <v>2469</v>
      </c>
      <c r="J4" s="3297"/>
      <c r="K4" s="565" t="s">
        <v>2470</v>
      </c>
      <c r="L4" s="2942"/>
      <c r="M4" s="2943"/>
      <c r="N4" s="2943"/>
      <c r="O4" s="2943"/>
      <c r="P4" s="3389" t="s">
        <v>2471</v>
      </c>
      <c r="Q4" s="3390"/>
      <c r="R4" s="3384" t="s">
        <v>2467</v>
      </c>
      <c r="S4" s="3385"/>
      <c r="T4" s="3384" t="s">
        <v>2468</v>
      </c>
      <c r="U4" s="3385"/>
      <c r="V4" s="3393" t="s">
        <v>2469</v>
      </c>
      <c r="W4" s="3393"/>
      <c r="X4" s="2142"/>
      <c r="Y4" s="3384" t="s">
        <v>2471</v>
      </c>
      <c r="Z4" s="3385"/>
      <c r="AA4" s="3383" t="s">
        <v>2467</v>
      </c>
      <c r="AB4" s="3383" t="s">
        <v>2468</v>
      </c>
      <c r="AC4" s="3386" t="s">
        <v>2469</v>
      </c>
    </row>
    <row r="5" spans="1:29" ht="15">
      <c r="A5" s="362"/>
      <c r="B5" s="363"/>
      <c r="C5" s="3289" t="s">
        <v>2362</v>
      </c>
      <c r="D5" s="3290"/>
      <c r="E5" s="3287" t="s">
        <v>2363</v>
      </c>
      <c r="F5" s="3288"/>
      <c r="G5" s="3289" t="s">
        <v>2364</v>
      </c>
      <c r="H5" s="3290"/>
      <c r="I5" s="3289" t="s">
        <v>2365</v>
      </c>
      <c r="J5" s="3290"/>
      <c r="K5" s="565"/>
      <c r="L5" s="2942"/>
      <c r="M5" s="2943"/>
      <c r="N5" s="2943"/>
      <c r="O5" s="2943"/>
      <c r="P5" s="3391"/>
      <c r="Q5" s="3303"/>
      <c r="R5" s="3285"/>
      <c r="S5" s="3286"/>
      <c r="T5" s="3285"/>
      <c r="U5" s="3286"/>
      <c r="V5" s="3308"/>
      <c r="W5" s="3308"/>
      <c r="X5" s="1538"/>
      <c r="Y5" s="3285"/>
      <c r="Z5" s="3286"/>
      <c r="AA5" s="3279"/>
      <c r="AB5" s="3279"/>
      <c r="AC5" s="3387"/>
    </row>
    <row r="6" spans="1:29" ht="15.75" thickBot="1">
      <c r="A6" s="364"/>
      <c r="B6" s="365"/>
      <c r="C6" s="3291" t="s">
        <v>2366</v>
      </c>
      <c r="D6" s="3292"/>
      <c r="E6" s="3293" t="s">
        <v>2366</v>
      </c>
      <c r="F6" s="3294"/>
      <c r="G6" s="3291" t="s">
        <v>2366</v>
      </c>
      <c r="H6" s="3292"/>
      <c r="I6" s="3291" t="s">
        <v>2366</v>
      </c>
      <c r="J6" s="3292"/>
      <c r="K6" s="565" t="s">
        <v>2367</v>
      </c>
      <c r="L6" s="2942"/>
      <c r="M6" s="2943"/>
      <c r="N6" s="2943"/>
      <c r="O6" s="2943"/>
      <c r="P6" s="3392"/>
      <c r="Q6" s="3305"/>
      <c r="R6" s="3285"/>
      <c r="S6" s="3286"/>
      <c r="T6" s="3306"/>
      <c r="U6" s="3307"/>
      <c r="V6" s="3308"/>
      <c r="W6" s="3308"/>
      <c r="X6" s="1538"/>
      <c r="Y6" s="3306"/>
      <c r="Z6" s="3307"/>
      <c r="AA6" s="3280"/>
      <c r="AB6" s="3280"/>
      <c r="AC6" s="3388"/>
    </row>
    <row r="7" spans="1:29" s="113" customFormat="1" ht="15.75" thickBot="1">
      <c r="A7" s="366" t="s">
        <v>2368</v>
      </c>
      <c r="B7" s="367"/>
      <c r="C7" s="368">
        <f>'数据-取费表'!B2</f>
        <v>44141</v>
      </c>
      <c r="D7" s="369">
        <v>100</v>
      </c>
      <c r="E7" s="370"/>
      <c r="F7" s="371">
        <f>SUMIF(59:59,YEAR(E7)&amp;"-"&amp;MONTH(E7),60:60)</f>
        <v>0</v>
      </c>
      <c r="G7" s="370"/>
      <c r="H7" s="369">
        <f>SUMIF(59:59,YEAR(G7)&amp;"-"&amp;MONTH(G7),60:60)</f>
        <v>0</v>
      </c>
      <c r="I7" s="370"/>
      <c r="J7" s="369">
        <f>SUMIF(59:59,YEAR(I7)&amp;"-"&amp;MONTH(I7),60:60)</f>
        <v>0</v>
      </c>
      <c r="K7" s="566"/>
      <c r="L7" s="2944"/>
      <c r="M7" s="2945"/>
      <c r="N7" s="2945"/>
      <c r="O7" s="2945"/>
      <c r="P7" s="3394" t="s">
        <v>2369</v>
      </c>
      <c r="Q7" s="3309"/>
      <c r="R7" s="707" t="s">
        <v>17</v>
      </c>
      <c r="S7" s="708">
        <f t="shared" ref="S7:S15" si="0">F7</f>
        <v>0</v>
      </c>
      <c r="T7" s="707" t="s">
        <v>17</v>
      </c>
      <c r="U7" s="708">
        <f t="shared" ref="U7:U15" si="1">H7</f>
        <v>0</v>
      </c>
      <c r="V7" s="707" t="s">
        <v>17</v>
      </c>
      <c r="W7" s="708">
        <f t="shared" ref="W7:W15" si="2">J7</f>
        <v>0</v>
      </c>
      <c r="X7" s="709"/>
      <c r="Y7" s="3281" t="s">
        <v>2369</v>
      </c>
      <c r="Z7" s="3282"/>
      <c r="AA7" s="710" t="e">
        <f>D7/F7</f>
        <v>#DIV/0!</v>
      </c>
      <c r="AB7" s="710" t="e">
        <f>D7/H7</f>
        <v>#DIV/0!</v>
      </c>
      <c r="AC7" s="2143" t="e">
        <f>D7/J7</f>
        <v>#DIV/0!</v>
      </c>
    </row>
    <row r="8" spans="1:29" s="113" customFormat="1" ht="15.75" thickBot="1">
      <c r="A8" s="366" t="s">
        <v>2370</v>
      </c>
      <c r="B8" s="367"/>
      <c r="C8" s="372" t="s">
        <v>2472</v>
      </c>
      <c r="D8" s="369">
        <v>100</v>
      </c>
      <c r="E8" s="372"/>
      <c r="F8" s="371">
        <f>SUMIF(62:62,E8,63:63)-SUMIF(62:62,C8,63:63)+100</f>
        <v>0</v>
      </c>
      <c r="G8" s="372"/>
      <c r="H8" s="369">
        <f>SUMIF(62:62,G8,63:63)-SUMIF(62:62,C8,63:63)+100</f>
        <v>0</v>
      </c>
      <c r="I8" s="372"/>
      <c r="J8" s="369">
        <f>SUMIF(62:62,I8,63:63)-SUMIF(62:62,C8,63:63)+100</f>
        <v>0</v>
      </c>
      <c r="K8" s="566"/>
      <c r="L8" s="2944"/>
      <c r="M8" s="2945"/>
      <c r="N8" s="2945"/>
      <c r="O8" s="2945"/>
      <c r="P8" s="3394" t="s">
        <v>2372</v>
      </c>
      <c r="Q8" s="3282"/>
      <c r="R8" s="707" t="s">
        <v>17</v>
      </c>
      <c r="S8" s="708">
        <f t="shared" si="0"/>
        <v>0</v>
      </c>
      <c r="T8" s="707" t="s">
        <v>17</v>
      </c>
      <c r="U8" s="708">
        <f t="shared" si="1"/>
        <v>0</v>
      </c>
      <c r="V8" s="707" t="s">
        <v>17</v>
      </c>
      <c r="W8" s="708">
        <f t="shared" si="2"/>
        <v>0</v>
      </c>
      <c r="X8" s="709"/>
      <c r="Y8" s="3281" t="s">
        <v>2372</v>
      </c>
      <c r="Z8" s="3282"/>
      <c r="AA8" s="710" t="e">
        <f t="shared" ref="AA8:AA47" si="3">D8/F8</f>
        <v>#DIV/0!</v>
      </c>
      <c r="AB8" s="710" t="e">
        <f t="shared" ref="AB8:AB47" si="4">D8/H8</f>
        <v>#DIV/0!</v>
      </c>
      <c r="AC8" s="2143" t="e">
        <f t="shared" ref="AC8:AC47" si="5">D8/J8</f>
        <v>#DIV/0!</v>
      </c>
    </row>
    <row r="9" spans="1:29" s="113" customFormat="1">
      <c r="A9" s="373" t="s">
        <v>2373</v>
      </c>
      <c r="B9" s="67" t="s">
        <v>2374</v>
      </c>
      <c r="C9" s="374"/>
      <c r="D9" s="129">
        <v>100</v>
      </c>
      <c r="E9" s="377"/>
      <c r="F9" s="129">
        <f>SUMIF(64:64,E9,65:65)-SUMIF(64:64,C9,65:65)+100</f>
        <v>100</v>
      </c>
      <c r="G9" s="375"/>
      <c r="H9" s="129">
        <f>SUMIF(64:64,G9,65:65)-SUMIF(64:64,C9,65:65)+100</f>
        <v>100</v>
      </c>
      <c r="I9" s="375"/>
      <c r="J9" s="129">
        <f>SUMIF(64:64,I9,65:65)-SUMIF(64:64,C9,65:65)+100</f>
        <v>100</v>
      </c>
      <c r="K9" s="566"/>
      <c r="L9" s="2944"/>
      <c r="M9" s="2945"/>
      <c r="N9" s="2945"/>
      <c r="O9" s="2945"/>
      <c r="P9" s="3319" t="s">
        <v>2375</v>
      </c>
      <c r="Q9" s="1526" t="str">
        <f t="shared" ref="Q9:Q15" si="6">B9</f>
        <v>用途</v>
      </c>
      <c r="R9" s="707" t="s">
        <v>17</v>
      </c>
      <c r="S9" s="708">
        <f t="shared" si="0"/>
        <v>100</v>
      </c>
      <c r="T9" s="707" t="s">
        <v>17</v>
      </c>
      <c r="U9" s="708">
        <f t="shared" si="1"/>
        <v>100</v>
      </c>
      <c r="V9" s="707" t="s">
        <v>17</v>
      </c>
      <c r="W9" s="708">
        <f t="shared" si="2"/>
        <v>100</v>
      </c>
      <c r="X9" s="709"/>
      <c r="Y9" s="3251" t="s">
        <v>2376</v>
      </c>
      <c r="Z9" s="55" t="str">
        <f t="shared" ref="Z9:Z15" si="7">Q9</f>
        <v>用途</v>
      </c>
      <c r="AA9" s="710">
        <f t="shared" si="3"/>
        <v>1</v>
      </c>
      <c r="AB9" s="710">
        <f t="shared" si="4"/>
        <v>1</v>
      </c>
      <c r="AC9" s="2143">
        <f t="shared" si="5"/>
        <v>1</v>
      </c>
    </row>
    <row r="10" spans="1:29" s="384" customFormat="1" ht="27">
      <c r="A10" s="378"/>
      <c r="B10" s="379" t="s">
        <v>2377</v>
      </c>
      <c r="C10" s="380"/>
      <c r="D10" s="130">
        <v>100</v>
      </c>
      <c r="E10" s="380"/>
      <c r="F10" s="130">
        <f>SUMIF(66:66,E10,67:67)-SUMIF(66:66,C10,67:67)+100</f>
        <v>100</v>
      </c>
      <c r="G10" s="381"/>
      <c r="H10" s="130">
        <f>SUMIF(66:66,G10,67:67)-SUMIF(66:66,C10,67:67)+100</f>
        <v>100</v>
      </c>
      <c r="I10" s="380"/>
      <c r="J10" s="130">
        <f>SUMIF(66:66,I10,67:67)-SUMIF(66:66,C10,67:67)+100</f>
        <v>100</v>
      </c>
      <c r="K10" s="567"/>
      <c r="L10" s="2946"/>
      <c r="M10" s="2947"/>
      <c r="N10" s="2947"/>
      <c r="O10" s="2947"/>
      <c r="P10" s="3319"/>
      <c r="Q10" s="1526" t="str">
        <f t="shared" si="6"/>
        <v>土地使用年限（年）</v>
      </c>
      <c r="R10" s="707" t="s">
        <v>17</v>
      </c>
      <c r="S10" s="708">
        <f t="shared" si="0"/>
        <v>100</v>
      </c>
      <c r="T10" s="707" t="s">
        <v>17</v>
      </c>
      <c r="U10" s="708">
        <f t="shared" si="1"/>
        <v>100</v>
      </c>
      <c r="V10" s="707" t="s">
        <v>17</v>
      </c>
      <c r="W10" s="708">
        <f t="shared" si="2"/>
        <v>100</v>
      </c>
      <c r="X10" s="709"/>
      <c r="Y10" s="3251"/>
      <c r="Z10" s="55" t="str">
        <f t="shared" si="7"/>
        <v>土地使用年限（年）</v>
      </c>
      <c r="AA10" s="710">
        <f t="shared" si="3"/>
        <v>1</v>
      </c>
      <c r="AB10" s="710">
        <f t="shared" si="4"/>
        <v>1</v>
      </c>
      <c r="AC10" s="2143">
        <f t="shared" si="5"/>
        <v>1</v>
      </c>
    </row>
    <row r="11" spans="1:29" ht="15">
      <c r="A11" s="385"/>
      <c r="B11" s="379" t="s">
        <v>2378</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48"/>
      <c r="M11" s="2943"/>
      <c r="N11" s="2943"/>
      <c r="O11" s="2943"/>
      <c r="P11" s="3319"/>
      <c r="Q11" s="1526" t="str">
        <f t="shared" si="6"/>
        <v>容积率</v>
      </c>
      <c r="R11" s="707" t="s">
        <v>17</v>
      </c>
      <c r="S11" s="708" t="e">
        <f t="shared" si="0"/>
        <v>#N/A</v>
      </c>
      <c r="T11" s="707" t="s">
        <v>17</v>
      </c>
      <c r="U11" s="708" t="e">
        <f t="shared" si="1"/>
        <v>#N/A</v>
      </c>
      <c r="V11" s="707" t="s">
        <v>17</v>
      </c>
      <c r="W11" s="708" t="e">
        <f t="shared" si="2"/>
        <v>#N/A</v>
      </c>
      <c r="X11" s="709"/>
      <c r="Y11" s="3251"/>
      <c r="Z11" s="55" t="str">
        <f t="shared" si="7"/>
        <v>容积率</v>
      </c>
      <c r="AA11" s="710" t="e">
        <f t="shared" si="3"/>
        <v>#N/A</v>
      </c>
      <c r="AB11" s="710" t="e">
        <f t="shared" si="4"/>
        <v>#N/A</v>
      </c>
      <c r="AC11" s="2143" t="e">
        <f t="shared" si="5"/>
        <v>#N/A</v>
      </c>
    </row>
    <row r="12" spans="1:29" s="113" customFormat="1" ht="15">
      <c r="A12" s="388"/>
      <c r="B12" s="2077">
        <v>111</v>
      </c>
      <c r="C12" s="389"/>
      <c r="D12" s="390">
        <v>100</v>
      </c>
      <c r="E12" s="389"/>
      <c r="F12" s="130">
        <f>SUMIF(71:71,E12,72:72)-SUMIF(71:71,C12,72:72)+100</f>
        <v>100</v>
      </c>
      <c r="G12" s="2144"/>
      <c r="H12" s="130">
        <f>SUMIF(71:71,G12,72:72)-SUMIF(71:71,C12,72:72)+100</f>
        <v>100</v>
      </c>
      <c r="I12" s="389"/>
      <c r="J12" s="130">
        <f>SUMIF(71:71,I12,72:72)-SUMIF(71:71,C12,72:72)+100</f>
        <v>100</v>
      </c>
      <c r="K12" s="568"/>
      <c r="L12" s="2944"/>
      <c r="M12" s="2945"/>
      <c r="N12" s="2945"/>
      <c r="O12" s="2945"/>
      <c r="P12" s="3319"/>
      <c r="Q12" s="1526">
        <f t="shared" si="6"/>
        <v>111</v>
      </c>
      <c r="R12" s="707" t="s">
        <v>17</v>
      </c>
      <c r="S12" s="708">
        <f t="shared" si="0"/>
        <v>100</v>
      </c>
      <c r="T12" s="707" t="s">
        <v>17</v>
      </c>
      <c r="U12" s="708">
        <f t="shared" si="1"/>
        <v>100</v>
      </c>
      <c r="V12" s="707" t="s">
        <v>17</v>
      </c>
      <c r="W12" s="708">
        <f t="shared" si="2"/>
        <v>100</v>
      </c>
      <c r="X12" s="709"/>
      <c r="Y12" s="3251"/>
      <c r="Z12" s="55">
        <f t="shared" si="7"/>
        <v>111</v>
      </c>
      <c r="AA12" s="710">
        <f>D12/F12</f>
        <v>1</v>
      </c>
      <c r="AB12" s="710">
        <f>D12/H12</f>
        <v>1</v>
      </c>
      <c r="AC12" s="2143">
        <f>D12/J12</f>
        <v>1</v>
      </c>
    </row>
    <row r="13" spans="1:29" ht="15">
      <c r="A13" s="385"/>
      <c r="B13" s="2077">
        <v>111</v>
      </c>
      <c r="C13" s="391"/>
      <c r="D13" s="392">
        <v>100</v>
      </c>
      <c r="E13" s="389"/>
      <c r="F13" s="130">
        <f>SUMIF(73:73,E13,74:74)-SUMIF(73:73,C13,74:74)+100</f>
        <v>100</v>
      </c>
      <c r="G13" s="2144"/>
      <c r="H13" s="392">
        <f>SUMIF(73:73,G13,74:74)-SUMIF(73:73,C13,74:74)+100</f>
        <v>100</v>
      </c>
      <c r="I13" s="389"/>
      <c r="J13" s="392">
        <f>SUMIF(73:73,I13,74:74)-SUMIF(73:73,C13,74:74)+100</f>
        <v>100</v>
      </c>
      <c r="K13" s="568"/>
      <c r="L13" s="2949"/>
      <c r="M13" s="2943"/>
      <c r="N13" s="2943"/>
      <c r="O13" s="2943"/>
      <c r="P13" s="3319"/>
      <c r="Q13" s="1526">
        <f t="shared" si="6"/>
        <v>111</v>
      </c>
      <c r="R13" s="707" t="s">
        <v>17</v>
      </c>
      <c r="S13" s="708">
        <f t="shared" si="0"/>
        <v>100</v>
      </c>
      <c r="T13" s="707" t="s">
        <v>17</v>
      </c>
      <c r="U13" s="708">
        <f t="shared" si="1"/>
        <v>100</v>
      </c>
      <c r="V13" s="707" t="s">
        <v>17</v>
      </c>
      <c r="W13" s="708">
        <f t="shared" si="2"/>
        <v>100</v>
      </c>
      <c r="X13" s="709"/>
      <c r="Y13" s="3251"/>
      <c r="Z13" s="55">
        <f t="shared" si="7"/>
        <v>111</v>
      </c>
      <c r="AA13" s="710">
        <f t="shared" si="3"/>
        <v>1</v>
      </c>
      <c r="AB13" s="710">
        <f t="shared" si="4"/>
        <v>1</v>
      </c>
      <c r="AC13" s="2143">
        <f t="shared" si="5"/>
        <v>1</v>
      </c>
    </row>
    <row r="14" spans="1:29" ht="15.75" thickBot="1">
      <c r="A14" s="393"/>
      <c r="B14" s="2079">
        <v>111</v>
      </c>
      <c r="C14" s="394"/>
      <c r="D14" s="395">
        <v>100</v>
      </c>
      <c r="E14" s="582"/>
      <c r="F14" s="395">
        <f>SUMIF(75:75,E14,76:76)-SUMIF(75:75,C14,76:76)+100</f>
        <v>100</v>
      </c>
      <c r="G14" s="2144"/>
      <c r="H14" s="395">
        <f>SUMIF(75:75,G14,76:76)-SUMIF(75:75,C14,76:76)+100</f>
        <v>100</v>
      </c>
      <c r="I14" s="389"/>
      <c r="J14" s="395">
        <f>SUMIF(75:75,I14,76:76)-SUMIF(75:75,C14,76:76)+100</f>
        <v>100</v>
      </c>
      <c r="K14" s="568"/>
      <c r="L14" s="2949"/>
      <c r="M14" s="2943"/>
      <c r="N14" s="2943"/>
      <c r="O14" s="2943"/>
      <c r="P14" s="3319"/>
      <c r="Q14" s="1526">
        <f t="shared" si="6"/>
        <v>111</v>
      </c>
      <c r="R14" s="707" t="s">
        <v>17</v>
      </c>
      <c r="S14" s="708">
        <f t="shared" si="0"/>
        <v>100</v>
      </c>
      <c r="T14" s="707" t="s">
        <v>17</v>
      </c>
      <c r="U14" s="708">
        <f t="shared" si="1"/>
        <v>100</v>
      </c>
      <c r="V14" s="707" t="s">
        <v>17</v>
      </c>
      <c r="W14" s="708">
        <f t="shared" si="2"/>
        <v>100</v>
      </c>
      <c r="X14" s="709"/>
      <c r="Y14" s="3251"/>
      <c r="Z14" s="55">
        <f t="shared" si="7"/>
        <v>111</v>
      </c>
      <c r="AA14" s="710">
        <f t="shared" si="3"/>
        <v>1</v>
      </c>
      <c r="AB14" s="710">
        <f t="shared" si="4"/>
        <v>1</v>
      </c>
      <c r="AC14" s="2143">
        <f t="shared" si="5"/>
        <v>1</v>
      </c>
    </row>
    <row r="15" spans="1:29" ht="71.25">
      <c r="A15" s="397" t="s">
        <v>2379</v>
      </c>
      <c r="B15" s="583" t="s">
        <v>2507</v>
      </c>
      <c r="C15" s="2145"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49"/>
      <c r="M15" s="2943"/>
      <c r="N15" s="2943"/>
      <c r="O15" s="2943"/>
      <c r="P15" s="3381" t="s">
        <v>2380</v>
      </c>
      <c r="Q15" s="1535" t="str">
        <f t="shared" si="6"/>
        <v>办公集聚程度</v>
      </c>
      <c r="R15" s="711" t="s">
        <v>17</v>
      </c>
      <c r="S15" s="712">
        <f t="shared" si="0"/>
        <v>100</v>
      </c>
      <c r="T15" s="711" t="s">
        <v>17</v>
      </c>
      <c r="U15" s="712">
        <f t="shared" si="1"/>
        <v>100</v>
      </c>
      <c r="V15" s="711" t="s">
        <v>17</v>
      </c>
      <c r="W15" s="712">
        <f t="shared" si="2"/>
        <v>100</v>
      </c>
      <c r="X15" s="1538"/>
      <c r="Y15" s="3310" t="s">
        <v>2380</v>
      </c>
      <c r="Z15" s="1539" t="str">
        <f t="shared" si="7"/>
        <v>办公集聚程度</v>
      </c>
      <c r="AA15" s="1536">
        <f t="shared" si="3"/>
        <v>1</v>
      </c>
      <c r="AB15" s="1536">
        <f t="shared" si="4"/>
        <v>1</v>
      </c>
      <c r="AC15" s="2146">
        <f t="shared" si="5"/>
        <v>1</v>
      </c>
    </row>
    <row r="16" spans="1:29" ht="15">
      <c r="A16" s="385"/>
      <c r="B16" s="584"/>
      <c r="C16" s="2088"/>
      <c r="D16" s="405"/>
      <c r="E16" s="404"/>
      <c r="F16" s="405"/>
      <c r="G16" s="2088"/>
      <c r="H16" s="407"/>
      <c r="I16" s="404"/>
      <c r="J16" s="405"/>
      <c r="K16" s="570"/>
      <c r="L16" s="2949"/>
      <c r="M16" s="2943"/>
      <c r="N16" s="2943"/>
      <c r="O16" s="2943"/>
      <c r="P16" s="3382"/>
      <c r="Q16" s="1535"/>
      <c r="R16" s="711"/>
      <c r="S16" s="712"/>
      <c r="T16" s="711"/>
      <c r="U16" s="712"/>
      <c r="V16" s="711"/>
      <c r="W16" s="712"/>
      <c r="X16" s="1538"/>
      <c r="Y16" s="3311"/>
      <c r="Z16" s="1539"/>
      <c r="AA16" s="1536">
        <v>1</v>
      </c>
      <c r="AB16" s="1536">
        <v>1</v>
      </c>
      <c r="AC16" s="2146">
        <v>1</v>
      </c>
    </row>
    <row r="17" spans="1:29" ht="71.25">
      <c r="A17" s="385"/>
      <c r="B17" s="585" t="s">
        <v>1947</v>
      </c>
      <c r="C17" s="2147"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49"/>
      <c r="M17" s="2943"/>
      <c r="N17" s="2943"/>
      <c r="O17" s="2943"/>
      <c r="P17" s="3382"/>
      <c r="Q17" s="1535" t="str">
        <f>B17</f>
        <v>交通便捷度</v>
      </c>
      <c r="R17" s="711" t="s">
        <v>17</v>
      </c>
      <c r="S17" s="712">
        <f>F17</f>
        <v>100</v>
      </c>
      <c r="T17" s="711" t="s">
        <v>17</v>
      </c>
      <c r="U17" s="712">
        <f>H17</f>
        <v>100</v>
      </c>
      <c r="V17" s="711" t="s">
        <v>17</v>
      </c>
      <c r="W17" s="712">
        <f>J17</f>
        <v>100</v>
      </c>
      <c r="X17" s="1538"/>
      <c r="Y17" s="3311"/>
      <c r="Z17" s="1539" t="str">
        <f>Q17</f>
        <v>交通便捷度</v>
      </c>
      <c r="AA17" s="1536">
        <f t="shared" si="3"/>
        <v>1</v>
      </c>
      <c r="AB17" s="1536">
        <f t="shared" si="4"/>
        <v>1</v>
      </c>
      <c r="AC17" s="2146">
        <f t="shared" si="5"/>
        <v>1</v>
      </c>
    </row>
    <row r="18" spans="1:29" ht="15">
      <c r="A18" s="385"/>
      <c r="B18" s="586"/>
      <c r="C18" s="2148"/>
      <c r="D18" s="407"/>
      <c r="E18" s="2086"/>
      <c r="F18" s="407"/>
      <c r="G18" s="2087"/>
      <c r="H18" s="405"/>
      <c r="I18" s="2087"/>
      <c r="J18" s="405"/>
      <c r="K18" s="570"/>
      <c r="L18" s="2949"/>
      <c r="M18" s="2943"/>
      <c r="N18" s="2943"/>
      <c r="O18" s="2943"/>
      <c r="P18" s="3382"/>
      <c r="Q18" s="1535"/>
      <c r="R18" s="711"/>
      <c r="S18" s="712"/>
      <c r="T18" s="711"/>
      <c r="U18" s="712"/>
      <c r="V18" s="711"/>
      <c r="W18" s="712"/>
      <c r="X18" s="1538"/>
      <c r="Y18" s="3311"/>
      <c r="Z18" s="1539"/>
      <c r="AA18" s="1536">
        <v>1</v>
      </c>
      <c r="AB18" s="1536">
        <v>1</v>
      </c>
      <c r="AC18" s="2146">
        <v>1</v>
      </c>
    </row>
    <row r="19" spans="1:29" ht="42.75">
      <c r="A19" s="385"/>
      <c r="B19" s="585" t="s">
        <v>2508</v>
      </c>
      <c r="C19" s="2147"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49"/>
      <c r="M19" s="2943"/>
      <c r="N19" s="2943"/>
      <c r="O19" s="2943"/>
      <c r="P19" s="3382"/>
      <c r="Q19" s="1535" t="str">
        <f>B19</f>
        <v>公共配套设施</v>
      </c>
      <c r="R19" s="711" t="s">
        <v>17</v>
      </c>
      <c r="S19" s="712">
        <f>F19</f>
        <v>100</v>
      </c>
      <c r="T19" s="711" t="s">
        <v>17</v>
      </c>
      <c r="U19" s="712">
        <f>H19</f>
        <v>100</v>
      </c>
      <c r="V19" s="711" t="s">
        <v>17</v>
      </c>
      <c r="W19" s="712">
        <f>J19</f>
        <v>100</v>
      </c>
      <c r="X19" s="1538"/>
      <c r="Y19" s="3311"/>
      <c r="Z19" s="1539" t="str">
        <f>Q19</f>
        <v>公共配套设施</v>
      </c>
      <c r="AA19" s="1536">
        <f t="shared" si="3"/>
        <v>1</v>
      </c>
      <c r="AB19" s="1536">
        <f t="shared" si="4"/>
        <v>1</v>
      </c>
      <c r="AC19" s="2146">
        <f t="shared" si="5"/>
        <v>1</v>
      </c>
    </row>
    <row r="20" spans="1:29" ht="15">
      <c r="A20" s="385"/>
      <c r="B20" s="586"/>
      <c r="C20" s="2088"/>
      <c r="D20" s="405"/>
      <c r="E20" s="2081"/>
      <c r="F20" s="405"/>
      <c r="G20" s="2082"/>
      <c r="H20" s="405"/>
      <c r="I20" s="2082"/>
      <c r="J20" s="405"/>
      <c r="K20" s="570"/>
      <c r="L20" s="2949"/>
      <c r="M20" s="2943"/>
      <c r="N20" s="2943"/>
      <c r="O20" s="2943"/>
      <c r="P20" s="3382"/>
      <c r="Q20" s="1535"/>
      <c r="R20" s="711"/>
      <c r="S20" s="712"/>
      <c r="T20" s="711"/>
      <c r="U20" s="712"/>
      <c r="V20" s="711"/>
      <c r="W20" s="712"/>
      <c r="X20" s="1538"/>
      <c r="Y20" s="3311"/>
      <c r="Z20" s="1539"/>
      <c r="AA20" s="1536">
        <v>1</v>
      </c>
      <c r="AB20" s="1536">
        <v>1</v>
      </c>
      <c r="AC20" s="2146">
        <v>1</v>
      </c>
    </row>
    <row r="21" spans="1:29" ht="28.5">
      <c r="A21" s="385"/>
      <c r="B21" s="587" t="s">
        <v>2509</v>
      </c>
      <c r="C21" s="2147"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49"/>
      <c r="M21" s="2943"/>
      <c r="N21" s="2943"/>
      <c r="O21" s="2943"/>
      <c r="P21" s="3382"/>
      <c r="Q21" s="1535" t="str">
        <f>B21</f>
        <v>基础设施水平</v>
      </c>
      <c r="R21" s="711" t="s">
        <v>17</v>
      </c>
      <c r="S21" s="712">
        <f>F21</f>
        <v>100</v>
      </c>
      <c r="T21" s="711" t="s">
        <v>17</v>
      </c>
      <c r="U21" s="712">
        <f>H21</f>
        <v>100</v>
      </c>
      <c r="V21" s="711" t="s">
        <v>17</v>
      </c>
      <c r="W21" s="712">
        <f>J21</f>
        <v>100</v>
      </c>
      <c r="X21" s="1538"/>
      <c r="Y21" s="3311"/>
      <c r="Z21" s="1539" t="str">
        <f>Q21</f>
        <v>基础设施水平</v>
      </c>
      <c r="AA21" s="1536">
        <f t="shared" ref="AA21" si="8">D21/F21</f>
        <v>1</v>
      </c>
      <c r="AB21" s="1536">
        <f t="shared" ref="AB21" si="9">D21/H21</f>
        <v>1</v>
      </c>
      <c r="AC21" s="2146">
        <f t="shared" ref="AC21" si="10">D21/J21</f>
        <v>1</v>
      </c>
    </row>
    <row r="22" spans="1:29" ht="15">
      <c r="A22" s="385"/>
      <c r="B22" s="587"/>
      <c r="C22" s="2148"/>
      <c r="D22" s="405"/>
      <c r="E22" s="404"/>
      <c r="F22" s="405"/>
      <c r="G22" s="2088"/>
      <c r="H22" s="405"/>
      <c r="I22" s="2088"/>
      <c r="J22" s="405"/>
      <c r="K22" s="1289"/>
      <c r="L22" s="2949"/>
      <c r="M22" s="2943"/>
      <c r="N22" s="2943"/>
      <c r="O22" s="2943"/>
      <c r="P22" s="3382"/>
      <c r="Q22" s="1535"/>
      <c r="R22" s="711"/>
      <c r="S22" s="712"/>
      <c r="T22" s="711"/>
      <c r="U22" s="712"/>
      <c r="V22" s="711"/>
      <c r="W22" s="712"/>
      <c r="X22" s="1538"/>
      <c r="Y22" s="3311"/>
      <c r="Z22" s="1539"/>
      <c r="AA22" s="1536">
        <v>1</v>
      </c>
      <c r="AB22" s="1536">
        <v>1</v>
      </c>
      <c r="AC22" s="2146">
        <v>1</v>
      </c>
    </row>
    <row r="23" spans="1:29" ht="42.75">
      <c r="A23" s="385"/>
      <c r="B23" s="585" t="s">
        <v>2510</v>
      </c>
      <c r="C23" s="2147"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49"/>
      <c r="M23" s="2943"/>
      <c r="N23" s="2943"/>
      <c r="O23" s="2943"/>
      <c r="P23" s="3382"/>
      <c r="Q23" s="1535" t="str">
        <f>B23</f>
        <v>环境质量</v>
      </c>
      <c r="R23" s="711" t="s">
        <v>17</v>
      </c>
      <c r="S23" s="712">
        <f>F23</f>
        <v>100</v>
      </c>
      <c r="T23" s="711" t="s">
        <v>17</v>
      </c>
      <c r="U23" s="712">
        <f>H23</f>
        <v>100</v>
      </c>
      <c r="V23" s="711" t="s">
        <v>17</v>
      </c>
      <c r="W23" s="712">
        <f>J23</f>
        <v>100</v>
      </c>
      <c r="X23" s="1538"/>
      <c r="Y23" s="3311"/>
      <c r="Z23" s="1539" t="str">
        <f>Q23</f>
        <v>环境质量</v>
      </c>
      <c r="AA23" s="1536">
        <f t="shared" si="3"/>
        <v>1</v>
      </c>
      <c r="AB23" s="1536">
        <f t="shared" si="4"/>
        <v>1</v>
      </c>
      <c r="AC23" s="2146">
        <f t="shared" si="5"/>
        <v>1</v>
      </c>
    </row>
    <row r="24" spans="1:29" ht="15">
      <c r="A24" s="385"/>
      <c r="B24" s="587"/>
      <c r="C24" s="2088"/>
      <c r="D24" s="405"/>
      <c r="E24" s="2081"/>
      <c r="F24" s="405"/>
      <c r="G24" s="2082"/>
      <c r="H24" s="405"/>
      <c r="I24" s="2082"/>
      <c r="J24" s="405"/>
      <c r="K24" s="570"/>
      <c r="L24" s="2949"/>
      <c r="M24" s="2943"/>
      <c r="N24" s="2943"/>
      <c r="O24" s="2943"/>
      <c r="P24" s="3382"/>
      <c r="Q24" s="1535"/>
      <c r="R24" s="711"/>
      <c r="S24" s="712"/>
      <c r="T24" s="711"/>
      <c r="U24" s="712"/>
      <c r="V24" s="711"/>
      <c r="W24" s="712"/>
      <c r="X24" s="1538"/>
      <c r="Y24" s="3311"/>
      <c r="Z24" s="1539"/>
      <c r="AA24" s="1536">
        <v>1</v>
      </c>
      <c r="AB24" s="1536">
        <v>1</v>
      </c>
      <c r="AC24" s="2146">
        <v>1</v>
      </c>
    </row>
    <row r="25" spans="1:29" ht="27">
      <c r="A25" s="362"/>
      <c r="B25" s="585" t="s">
        <v>2511</v>
      </c>
      <c r="C25" s="2092"/>
      <c r="D25" s="392">
        <v>100</v>
      </c>
      <c r="E25" s="391"/>
      <c r="F25" s="392">
        <f>SUMIF(87:87,E26,88:88)-SUMIF(87:87,C26,88:88)+100</f>
        <v>100</v>
      </c>
      <c r="G25" s="2092"/>
      <c r="H25" s="392">
        <f>SUMIF(87:87,G26,88:88)-SUMIF(87:87,C26,88:88)+100</f>
        <v>100</v>
      </c>
      <c r="I25" s="391"/>
      <c r="J25" s="392">
        <f>SUMIF(87:87,I26,88:88)-SUMIF(87:87,C26,88:88)+100</f>
        <v>100</v>
      </c>
      <c r="K25" s="569"/>
      <c r="L25" s="2949"/>
      <c r="M25" s="2943"/>
      <c r="N25" s="2943"/>
      <c r="O25" s="2943"/>
      <c r="P25" s="3382"/>
      <c r="Q25" s="1535" t="str">
        <f>B25</f>
        <v>毗邻道路的类型与等级</v>
      </c>
      <c r="R25" s="711" t="s">
        <v>17</v>
      </c>
      <c r="S25" s="712">
        <f>F25</f>
        <v>100</v>
      </c>
      <c r="T25" s="711" t="s">
        <v>17</v>
      </c>
      <c r="U25" s="712">
        <f>H25</f>
        <v>100</v>
      </c>
      <c r="V25" s="711" t="s">
        <v>17</v>
      </c>
      <c r="W25" s="712">
        <f>J25</f>
        <v>100</v>
      </c>
      <c r="X25" s="1538"/>
      <c r="Y25" s="3311"/>
      <c r="Z25" s="1539" t="str">
        <f>Q25</f>
        <v>毗邻道路的类型与等级</v>
      </c>
      <c r="AA25" s="1536">
        <f t="shared" si="3"/>
        <v>1</v>
      </c>
      <c r="AB25" s="1536">
        <f t="shared" si="4"/>
        <v>1</v>
      </c>
      <c r="AC25" s="2146">
        <f t="shared" si="5"/>
        <v>1</v>
      </c>
    </row>
    <row r="26" spans="1:29" ht="15">
      <c r="A26" s="362"/>
      <c r="B26" s="586"/>
      <c r="C26" s="588"/>
      <c r="D26" s="392"/>
      <c r="E26" s="571"/>
      <c r="F26" s="392"/>
      <c r="G26" s="588"/>
      <c r="H26" s="392"/>
      <c r="I26" s="571"/>
      <c r="J26" s="392"/>
      <c r="K26" s="570"/>
      <c r="L26" s="2949"/>
      <c r="M26" s="2943"/>
      <c r="N26" s="2943"/>
      <c r="O26" s="2943"/>
      <c r="P26" s="3382"/>
      <c r="Q26" s="1535"/>
      <c r="R26" s="711"/>
      <c r="S26" s="712"/>
      <c r="T26" s="711"/>
      <c r="U26" s="712"/>
      <c r="V26" s="711"/>
      <c r="W26" s="712"/>
      <c r="X26" s="1538"/>
      <c r="Y26" s="3311"/>
      <c r="Z26" s="1539"/>
      <c r="AA26" s="1536">
        <v>1</v>
      </c>
      <c r="AB26" s="1536">
        <v>1</v>
      </c>
      <c r="AC26" s="2146">
        <v>1</v>
      </c>
    </row>
    <row r="27" spans="1:29" ht="15">
      <c r="A27" s="385"/>
      <c r="B27" s="586" t="s">
        <v>2479</v>
      </c>
      <c r="C27" s="588"/>
      <c r="D27" s="392">
        <v>100</v>
      </c>
      <c r="E27" s="571"/>
      <c r="F27" s="392">
        <f>SUMIF(89:89,E27,90:90)-SUMIF(89:89,C27,90:90)+100</f>
        <v>100</v>
      </c>
      <c r="G27" s="588"/>
      <c r="H27" s="392">
        <f>SUMIF(89:89,G27,90:90)-SUMIF(89:89,C27,90:90)+100</f>
        <v>100</v>
      </c>
      <c r="I27" s="571"/>
      <c r="J27" s="392">
        <f>SUMIF(89:89,I27,90:90)-SUMIF(89:89,C27,90:90)+100</f>
        <v>100</v>
      </c>
      <c r="K27" s="567"/>
      <c r="L27" s="2949"/>
      <c r="M27" s="2943"/>
      <c r="N27" s="2943"/>
      <c r="O27" s="2943"/>
      <c r="P27" s="3382"/>
      <c r="Q27" s="1535" t="str">
        <f t="shared" ref="Q27:Q47" si="11">B27</f>
        <v>楼层</v>
      </c>
      <c r="R27" s="711" t="s">
        <v>17</v>
      </c>
      <c r="S27" s="712">
        <f>F27</f>
        <v>100</v>
      </c>
      <c r="T27" s="711" t="s">
        <v>17</v>
      </c>
      <c r="U27" s="712">
        <f>H27</f>
        <v>100</v>
      </c>
      <c r="V27" s="711" t="s">
        <v>17</v>
      </c>
      <c r="W27" s="712">
        <f>J27</f>
        <v>100</v>
      </c>
      <c r="X27" s="1538"/>
      <c r="Y27" s="3311"/>
      <c r="Z27" s="1539" t="str">
        <f>Q27</f>
        <v>楼层</v>
      </c>
      <c r="AA27" s="1536">
        <f t="shared" si="3"/>
        <v>1</v>
      </c>
      <c r="AB27" s="1536">
        <f t="shared" si="4"/>
        <v>1</v>
      </c>
      <c r="AC27" s="2146">
        <f t="shared" si="5"/>
        <v>1</v>
      </c>
    </row>
    <row r="28" spans="1:29" s="113" customFormat="1" ht="15">
      <c r="A28" s="388"/>
      <c r="B28" s="585" t="s">
        <v>2512</v>
      </c>
      <c r="C28" s="2149"/>
      <c r="D28" s="419">
        <v>100</v>
      </c>
      <c r="E28" s="2140"/>
      <c r="F28" s="419">
        <f>SUMIF(91:91,E28,92:92)-SUMIF(91:91,C28,92:92)+100</f>
        <v>100</v>
      </c>
      <c r="G28" s="2149"/>
      <c r="H28" s="419">
        <f>SUMIF(91:91,G28,92:92)-SUMIF(91:91,C28,92:92)+100</f>
        <v>100</v>
      </c>
      <c r="I28" s="2140"/>
      <c r="J28" s="419">
        <f>SUMIF(91:91,I28,92:92)-SUMIF(91:91,C28,92:92)+100</f>
        <v>100</v>
      </c>
      <c r="K28" s="567"/>
      <c r="L28" s="2944"/>
      <c r="M28" s="2945"/>
      <c r="N28" s="2945"/>
      <c r="O28" s="2945"/>
      <c r="P28" s="3382"/>
      <c r="Q28" s="1526" t="str">
        <f t="shared" si="11"/>
        <v>朝向</v>
      </c>
      <c r="R28" s="707" t="s">
        <v>17</v>
      </c>
      <c r="S28" s="708">
        <f>F28</f>
        <v>100</v>
      </c>
      <c r="T28" s="707" t="s">
        <v>17</v>
      </c>
      <c r="U28" s="708">
        <f>H28</f>
        <v>100</v>
      </c>
      <c r="V28" s="707" t="s">
        <v>17</v>
      </c>
      <c r="W28" s="708">
        <f>J28</f>
        <v>100</v>
      </c>
      <c r="X28" s="709"/>
      <c r="Y28" s="3311"/>
      <c r="Z28" s="55" t="str">
        <f>Q28</f>
        <v>朝向</v>
      </c>
      <c r="AA28" s="1536">
        <f>D28/F28</f>
        <v>1</v>
      </c>
      <c r="AB28" s="1536">
        <f>D28/H28</f>
        <v>1</v>
      </c>
      <c r="AC28" s="2146">
        <f>D28/J28</f>
        <v>1</v>
      </c>
    </row>
    <row r="29" spans="1:29" ht="15">
      <c r="A29" s="385"/>
      <c r="B29" s="2150">
        <v>111</v>
      </c>
      <c r="C29" s="2092"/>
      <c r="D29" s="392">
        <v>100</v>
      </c>
      <c r="E29" s="389"/>
      <c r="F29" s="392">
        <f>SUMIF(93:93,E29,94:94)-SUMIF(93:93,C29,94:94)+100</f>
        <v>100</v>
      </c>
      <c r="G29" s="2144"/>
      <c r="H29" s="392">
        <f>SUMIF(93:93,G29,94:94)-SUMIF(93:93,C29,94:94)+100</f>
        <v>100</v>
      </c>
      <c r="I29" s="389"/>
      <c r="J29" s="392">
        <f>SUMIF(93:93,I29,94:94)-SUMIF(93:93,C29,94:94)+100</f>
        <v>100</v>
      </c>
      <c r="K29" s="568"/>
      <c r="L29" s="2949"/>
      <c r="M29" s="2943"/>
      <c r="N29" s="2943"/>
      <c r="O29" s="2943"/>
      <c r="P29" s="3382"/>
      <c r="Q29" s="1535">
        <f t="shared" si="11"/>
        <v>111</v>
      </c>
      <c r="R29" s="711" t="s">
        <v>17</v>
      </c>
      <c r="S29" s="712">
        <f t="shared" ref="S29:S47" si="12">F29</f>
        <v>100</v>
      </c>
      <c r="T29" s="711" t="s">
        <v>17</v>
      </c>
      <c r="U29" s="712">
        <f t="shared" ref="U29:U47" si="13">H29</f>
        <v>100</v>
      </c>
      <c r="V29" s="711" t="s">
        <v>17</v>
      </c>
      <c r="W29" s="712">
        <f t="shared" ref="W29:W47" si="14">J29</f>
        <v>100</v>
      </c>
      <c r="X29" s="1538"/>
      <c r="Y29" s="3311"/>
      <c r="Z29" s="1539">
        <f t="shared" ref="Z29:Z47" si="15">Q29</f>
        <v>111</v>
      </c>
      <c r="AA29" s="1536">
        <f t="shared" si="3"/>
        <v>1</v>
      </c>
      <c r="AB29" s="1536">
        <f t="shared" si="4"/>
        <v>1</v>
      </c>
      <c r="AC29" s="2146">
        <f t="shared" si="5"/>
        <v>1</v>
      </c>
    </row>
    <row r="30" spans="1:29" ht="15">
      <c r="A30" s="385"/>
      <c r="B30" s="2150">
        <v>111</v>
      </c>
      <c r="C30" s="2092"/>
      <c r="D30" s="392">
        <v>100</v>
      </c>
      <c r="E30" s="389"/>
      <c r="F30" s="392">
        <f>SUMIF(95:95,E30,96:96)-SUMIF(95:95,C30,96:96)+100</f>
        <v>100</v>
      </c>
      <c r="G30" s="2144"/>
      <c r="H30" s="392">
        <f>SUMIF(95:95,G30,96:96)-SUMIF(95:95,C30,96:96)+100</f>
        <v>100</v>
      </c>
      <c r="I30" s="389"/>
      <c r="J30" s="392">
        <f>SUMIF(95:95,I30,96:96)-SUMIF(95:95,C30,96:96)+100</f>
        <v>100</v>
      </c>
      <c r="K30" s="568"/>
      <c r="L30" s="2949"/>
      <c r="M30" s="2943"/>
      <c r="N30" s="2943"/>
      <c r="O30" s="2943"/>
      <c r="P30" s="3382"/>
      <c r="Q30" s="1535">
        <f t="shared" si="11"/>
        <v>111</v>
      </c>
      <c r="R30" s="711" t="s">
        <v>17</v>
      </c>
      <c r="S30" s="712">
        <f t="shared" si="12"/>
        <v>100</v>
      </c>
      <c r="T30" s="711" t="s">
        <v>17</v>
      </c>
      <c r="U30" s="712">
        <f t="shared" si="13"/>
        <v>100</v>
      </c>
      <c r="V30" s="711" t="s">
        <v>17</v>
      </c>
      <c r="W30" s="712">
        <f t="shared" si="14"/>
        <v>100</v>
      </c>
      <c r="X30" s="1538"/>
      <c r="Y30" s="3311"/>
      <c r="Z30" s="1539">
        <f t="shared" si="15"/>
        <v>111</v>
      </c>
      <c r="AA30" s="1536">
        <f t="shared" si="3"/>
        <v>1</v>
      </c>
      <c r="AB30" s="1536">
        <f t="shared" si="4"/>
        <v>1</v>
      </c>
      <c r="AC30" s="2146">
        <f t="shared" si="5"/>
        <v>1</v>
      </c>
    </row>
    <row r="31" spans="1:29" ht="15">
      <c r="A31" s="385"/>
      <c r="B31" s="2150">
        <v>111</v>
      </c>
      <c r="C31" s="2092"/>
      <c r="D31" s="392">
        <v>100</v>
      </c>
      <c r="E31" s="389"/>
      <c r="F31" s="392">
        <f>SUMIF(97:97,E31,98:98)-SUMIF(97:97,C31,98:98)+100</f>
        <v>100</v>
      </c>
      <c r="G31" s="2144"/>
      <c r="H31" s="392">
        <f>SUMIF(97:97,G31,98:98)-SUMIF(97:97,C31,98:98)+100</f>
        <v>100</v>
      </c>
      <c r="I31" s="389"/>
      <c r="J31" s="392">
        <f>SUMIF(97:97,I31,98:98)-SUMIF(97:97,C31,98:98)+100</f>
        <v>100</v>
      </c>
      <c r="K31" s="568"/>
      <c r="L31" s="2949"/>
      <c r="M31" s="2943"/>
      <c r="N31" s="2943"/>
      <c r="O31" s="2943"/>
      <c r="P31" s="3382"/>
      <c r="Q31" s="1535">
        <f t="shared" si="11"/>
        <v>111</v>
      </c>
      <c r="R31" s="711" t="s">
        <v>17</v>
      </c>
      <c r="S31" s="712">
        <f t="shared" si="12"/>
        <v>100</v>
      </c>
      <c r="T31" s="711" t="s">
        <v>17</v>
      </c>
      <c r="U31" s="712">
        <f t="shared" si="13"/>
        <v>100</v>
      </c>
      <c r="V31" s="711" t="s">
        <v>17</v>
      </c>
      <c r="W31" s="712">
        <f t="shared" si="14"/>
        <v>100</v>
      </c>
      <c r="X31" s="1538"/>
      <c r="Y31" s="3311"/>
      <c r="Z31" s="1539">
        <f t="shared" si="15"/>
        <v>111</v>
      </c>
      <c r="AA31" s="1536">
        <f t="shared" si="3"/>
        <v>1</v>
      </c>
      <c r="AB31" s="1536">
        <f t="shared" si="4"/>
        <v>1</v>
      </c>
      <c r="AC31" s="2146">
        <f t="shared" si="5"/>
        <v>1</v>
      </c>
    </row>
    <row r="32" spans="1:29" ht="15.75" thickBot="1">
      <c r="A32" s="393"/>
      <c r="B32" s="589">
        <v>111</v>
      </c>
      <c r="C32" s="2093"/>
      <c r="D32" s="395">
        <v>100</v>
      </c>
      <c r="E32" s="582"/>
      <c r="F32" s="395">
        <f>SUMIF(99:99,E32,100:100)-SUMIF(99:99,C32,100:100)+100</f>
        <v>100</v>
      </c>
      <c r="G32" s="2144"/>
      <c r="H32" s="395">
        <f>SUMIF(99:99,G32,100:100)-SUMIF(99:99,C32,100:100)+100</f>
        <v>100</v>
      </c>
      <c r="I32" s="389"/>
      <c r="J32" s="395">
        <f>SUMIF(99:99,I32,100:100)-SUMIF(99:99,C32,100:100)+100</f>
        <v>100</v>
      </c>
      <c r="K32" s="568"/>
      <c r="L32" s="2949"/>
      <c r="M32" s="2943"/>
      <c r="N32" s="2943"/>
      <c r="O32" s="2943"/>
      <c r="P32" s="3382"/>
      <c r="Q32" s="1535">
        <f t="shared" si="11"/>
        <v>111</v>
      </c>
      <c r="R32" s="711" t="s">
        <v>17</v>
      </c>
      <c r="S32" s="712">
        <f t="shared" si="12"/>
        <v>100</v>
      </c>
      <c r="T32" s="711" t="s">
        <v>17</v>
      </c>
      <c r="U32" s="712">
        <f t="shared" si="13"/>
        <v>100</v>
      </c>
      <c r="V32" s="711" t="s">
        <v>17</v>
      </c>
      <c r="W32" s="712">
        <f t="shared" si="14"/>
        <v>100</v>
      </c>
      <c r="X32" s="1538"/>
      <c r="Y32" s="3311"/>
      <c r="Z32" s="1539">
        <f t="shared" si="15"/>
        <v>111</v>
      </c>
      <c r="AA32" s="1536">
        <f t="shared" si="3"/>
        <v>1</v>
      </c>
      <c r="AB32" s="1536">
        <f t="shared" si="4"/>
        <v>1</v>
      </c>
      <c r="AC32" s="2146">
        <f t="shared" si="5"/>
        <v>1</v>
      </c>
    </row>
    <row r="33" spans="1:29" ht="15">
      <c r="A33" s="397" t="s">
        <v>2383</v>
      </c>
      <c r="B33" s="67" t="s">
        <v>2513</v>
      </c>
      <c r="C33" s="2151"/>
      <c r="D33" s="424">
        <v>100</v>
      </c>
      <c r="E33" s="2151"/>
      <c r="F33" s="418">
        <f>SUMIF(101:101,E33,102:102)-SUMIF(101:101,C33,102:102)+100</f>
        <v>100</v>
      </c>
      <c r="G33" s="2151"/>
      <c r="H33" s="392">
        <f>SUMIF(101:101,G33,102:102)-SUMIF(101:101,C33,102:102)+100</f>
        <v>100</v>
      </c>
      <c r="I33" s="2151"/>
      <c r="J33" s="424">
        <f>SUMIF(101:101,I33,102:102)-SUMIF(101:101,C33,102:102)+100</f>
        <v>100</v>
      </c>
      <c r="K33" s="567"/>
      <c r="L33" s="2949"/>
      <c r="M33" s="2943"/>
      <c r="N33" s="2943"/>
      <c r="O33" s="2943"/>
      <c r="P33" s="3377" t="s">
        <v>2385</v>
      </c>
      <c r="Q33" s="1535" t="str">
        <f t="shared" si="11"/>
        <v>建筑类型</v>
      </c>
      <c r="R33" s="711" t="s">
        <v>17</v>
      </c>
      <c r="S33" s="712">
        <f t="shared" si="12"/>
        <v>100</v>
      </c>
      <c r="T33" s="711" t="s">
        <v>17</v>
      </c>
      <c r="U33" s="712">
        <f t="shared" si="13"/>
        <v>100</v>
      </c>
      <c r="V33" s="711" t="s">
        <v>17</v>
      </c>
      <c r="W33" s="712">
        <f t="shared" si="14"/>
        <v>100</v>
      </c>
      <c r="X33" s="1538"/>
      <c r="Y33" s="3313" t="s">
        <v>2385</v>
      </c>
      <c r="Z33" s="1539" t="str">
        <f t="shared" si="15"/>
        <v>建筑类型</v>
      </c>
      <c r="AA33" s="1536">
        <f t="shared" si="3"/>
        <v>1</v>
      </c>
      <c r="AB33" s="1536">
        <f t="shared" si="4"/>
        <v>1</v>
      </c>
      <c r="AC33" s="2146">
        <f t="shared" si="5"/>
        <v>1</v>
      </c>
    </row>
    <row r="34" spans="1:29" s="428" customFormat="1" ht="15">
      <c r="A34" s="425"/>
      <c r="B34" s="379" t="s">
        <v>2386</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48"/>
      <c r="M34" s="2950"/>
      <c r="N34" s="2950"/>
      <c r="O34" s="2950"/>
      <c r="P34" s="3378"/>
      <c r="Q34" s="713" t="str">
        <f t="shared" si="11"/>
        <v>项目建筑规模</v>
      </c>
      <c r="R34" s="714" t="s">
        <v>17</v>
      </c>
      <c r="S34" s="715" t="e">
        <f t="shared" si="12"/>
        <v>#N/A</v>
      </c>
      <c r="T34" s="714" t="s">
        <v>17</v>
      </c>
      <c r="U34" s="715" t="e">
        <f t="shared" si="13"/>
        <v>#N/A</v>
      </c>
      <c r="V34" s="714" t="s">
        <v>17</v>
      </c>
      <c r="W34" s="715" t="e">
        <f t="shared" si="14"/>
        <v>#N/A</v>
      </c>
      <c r="X34" s="716"/>
      <c r="Y34" s="3313"/>
      <c r="Z34" s="717" t="str">
        <f t="shared" si="15"/>
        <v>项目建筑规模</v>
      </c>
      <c r="AA34" s="1536" t="e">
        <f t="shared" si="3"/>
        <v>#N/A</v>
      </c>
      <c r="AB34" s="1536" t="e">
        <f t="shared" si="4"/>
        <v>#N/A</v>
      </c>
      <c r="AC34" s="2146" t="e">
        <f t="shared" si="5"/>
        <v>#N/A</v>
      </c>
    </row>
    <row r="35" spans="1:29" ht="15">
      <c r="A35" s="429"/>
      <c r="B35" s="379" t="s">
        <v>2387</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49"/>
      <c r="M35" s="2943"/>
      <c r="N35" s="2943"/>
      <c r="O35" s="2943"/>
      <c r="P35" s="3378"/>
      <c r="Q35" s="1535" t="str">
        <f t="shared" si="11"/>
        <v>建筑结构</v>
      </c>
      <c r="R35" s="711" t="s">
        <v>17</v>
      </c>
      <c r="S35" s="712">
        <f t="shared" si="12"/>
        <v>100</v>
      </c>
      <c r="T35" s="711" t="s">
        <v>17</v>
      </c>
      <c r="U35" s="712">
        <f t="shared" si="13"/>
        <v>100</v>
      </c>
      <c r="V35" s="711" t="s">
        <v>17</v>
      </c>
      <c r="W35" s="712">
        <f t="shared" si="14"/>
        <v>100</v>
      </c>
      <c r="X35" s="1538"/>
      <c r="Y35" s="3313"/>
      <c r="Z35" s="1539" t="str">
        <f t="shared" si="15"/>
        <v>建筑结构</v>
      </c>
      <c r="AA35" s="1536">
        <f t="shared" si="3"/>
        <v>1</v>
      </c>
      <c r="AB35" s="1536">
        <f t="shared" si="4"/>
        <v>1</v>
      </c>
      <c r="AC35" s="2146">
        <f t="shared" si="5"/>
        <v>1</v>
      </c>
    </row>
    <row r="36" spans="1:29" ht="15">
      <c r="A36" s="429"/>
      <c r="B36" s="379" t="s">
        <v>2481</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49"/>
      <c r="M36" s="2943"/>
      <c r="N36" s="2943"/>
      <c r="O36" s="2943"/>
      <c r="P36" s="3378"/>
      <c r="Q36" s="1535" t="str">
        <f t="shared" si="11"/>
        <v>公共部分装修</v>
      </c>
      <c r="R36" s="711" t="s">
        <v>17</v>
      </c>
      <c r="S36" s="712">
        <f t="shared" si="12"/>
        <v>100</v>
      </c>
      <c r="T36" s="711" t="s">
        <v>17</v>
      </c>
      <c r="U36" s="712">
        <f t="shared" si="13"/>
        <v>100</v>
      </c>
      <c r="V36" s="711" t="s">
        <v>17</v>
      </c>
      <c r="W36" s="712">
        <f t="shared" si="14"/>
        <v>100</v>
      </c>
      <c r="X36" s="1538"/>
      <c r="Y36" s="3313"/>
      <c r="Z36" s="1539" t="str">
        <f t="shared" si="15"/>
        <v>公共部分装修</v>
      </c>
      <c r="AA36" s="1536">
        <f t="shared" si="3"/>
        <v>1</v>
      </c>
      <c r="AB36" s="1536">
        <f t="shared" si="4"/>
        <v>1</v>
      </c>
      <c r="AC36" s="2146">
        <f t="shared" si="5"/>
        <v>1</v>
      </c>
    </row>
    <row r="37" spans="1:29" ht="15">
      <c r="A37" s="429"/>
      <c r="B37" s="379" t="s">
        <v>2482</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49"/>
      <c r="M37" s="2943"/>
      <c r="N37" s="2943"/>
      <c r="O37" s="2943"/>
      <c r="P37" s="3378"/>
      <c r="Q37" s="1535" t="str">
        <f t="shared" si="11"/>
        <v>成新度</v>
      </c>
      <c r="R37" s="711" t="s">
        <v>17</v>
      </c>
      <c r="S37" s="712" t="e">
        <f t="shared" si="12"/>
        <v>#N/A</v>
      </c>
      <c r="T37" s="711" t="s">
        <v>17</v>
      </c>
      <c r="U37" s="712" t="e">
        <f t="shared" si="13"/>
        <v>#N/A</v>
      </c>
      <c r="V37" s="711" t="s">
        <v>17</v>
      </c>
      <c r="W37" s="712" t="e">
        <f t="shared" si="14"/>
        <v>#N/A</v>
      </c>
      <c r="X37" s="1538"/>
      <c r="Y37" s="3313"/>
      <c r="Z37" s="1539" t="str">
        <f t="shared" si="15"/>
        <v>成新度</v>
      </c>
      <c r="AA37" s="1536" t="e">
        <f t="shared" si="3"/>
        <v>#N/A</v>
      </c>
      <c r="AB37" s="1536" t="e">
        <f t="shared" si="4"/>
        <v>#N/A</v>
      </c>
      <c r="AC37" s="2146" t="e">
        <f t="shared" si="5"/>
        <v>#N/A</v>
      </c>
    </row>
    <row r="38" spans="1:29" s="113" customFormat="1" ht="15">
      <c r="A38" s="430"/>
      <c r="B38" s="379" t="s">
        <v>2514</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44"/>
      <c r="M38" s="2945"/>
      <c r="N38" s="2945"/>
      <c r="O38" s="2945"/>
      <c r="P38" s="3378"/>
      <c r="Q38" s="1526" t="str">
        <f t="shared" si="11"/>
        <v>写字楼等级</v>
      </c>
      <c r="R38" s="707" t="s">
        <v>17</v>
      </c>
      <c r="S38" s="708">
        <f t="shared" si="12"/>
        <v>100</v>
      </c>
      <c r="T38" s="707" t="s">
        <v>17</v>
      </c>
      <c r="U38" s="708">
        <f t="shared" si="13"/>
        <v>100</v>
      </c>
      <c r="V38" s="707" t="s">
        <v>17</v>
      </c>
      <c r="W38" s="708">
        <f t="shared" si="14"/>
        <v>100</v>
      </c>
      <c r="X38" s="709"/>
      <c r="Y38" s="3313"/>
      <c r="Z38" s="55" t="str">
        <f t="shared" si="15"/>
        <v>写字楼等级</v>
      </c>
      <c r="AA38" s="710">
        <f t="shared" si="3"/>
        <v>1</v>
      </c>
      <c r="AB38" s="710">
        <f t="shared" si="4"/>
        <v>1</v>
      </c>
      <c r="AC38" s="2143">
        <f t="shared" si="5"/>
        <v>1</v>
      </c>
    </row>
    <row r="39" spans="1:29" ht="15">
      <c r="A39" s="429"/>
      <c r="B39" s="379" t="s">
        <v>2515</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49"/>
      <c r="M39" s="2943"/>
      <c r="N39" s="2943"/>
      <c r="O39" s="2943"/>
      <c r="P39" s="3378" t="s">
        <v>2385</v>
      </c>
      <c r="Q39" s="1535" t="str">
        <f t="shared" si="11"/>
        <v>物业管理</v>
      </c>
      <c r="R39" s="711" t="s">
        <v>17</v>
      </c>
      <c r="S39" s="712">
        <f t="shared" si="12"/>
        <v>100</v>
      </c>
      <c r="T39" s="711" t="s">
        <v>17</v>
      </c>
      <c r="U39" s="712">
        <f t="shared" si="13"/>
        <v>100</v>
      </c>
      <c r="V39" s="711" t="s">
        <v>17</v>
      </c>
      <c r="W39" s="712">
        <f t="shared" si="14"/>
        <v>100</v>
      </c>
      <c r="X39" s="1538"/>
      <c r="Y39" s="3313" t="s">
        <v>2385</v>
      </c>
      <c r="Z39" s="1539" t="str">
        <f t="shared" si="15"/>
        <v>物业管理</v>
      </c>
      <c r="AA39" s="1536">
        <f t="shared" si="3"/>
        <v>1</v>
      </c>
      <c r="AB39" s="1536">
        <f t="shared" si="4"/>
        <v>1</v>
      </c>
      <c r="AC39" s="2146">
        <f t="shared" si="5"/>
        <v>1</v>
      </c>
    </row>
    <row r="40" spans="1:29" ht="15">
      <c r="A40" s="429"/>
      <c r="B40" s="379" t="s">
        <v>2483</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49"/>
      <c r="M40" s="2943"/>
      <c r="N40" s="2943"/>
      <c r="O40" s="2943"/>
      <c r="P40" s="3378"/>
      <c r="Q40" s="1535" t="str">
        <f t="shared" si="11"/>
        <v>市政基础设施</v>
      </c>
      <c r="R40" s="711" t="s">
        <v>17</v>
      </c>
      <c r="S40" s="712">
        <f t="shared" si="12"/>
        <v>100</v>
      </c>
      <c r="T40" s="711" t="s">
        <v>17</v>
      </c>
      <c r="U40" s="712">
        <f t="shared" si="13"/>
        <v>100</v>
      </c>
      <c r="V40" s="711" t="s">
        <v>17</v>
      </c>
      <c r="W40" s="712">
        <f t="shared" si="14"/>
        <v>100</v>
      </c>
      <c r="X40" s="1538"/>
      <c r="Y40" s="3313"/>
      <c r="Z40" s="1539" t="str">
        <f t="shared" si="15"/>
        <v>市政基础设施</v>
      </c>
      <c r="AA40" s="1536">
        <f t="shared" si="3"/>
        <v>1</v>
      </c>
      <c r="AB40" s="1536">
        <f t="shared" si="4"/>
        <v>1</v>
      </c>
      <c r="AC40" s="2146">
        <f t="shared" si="5"/>
        <v>1</v>
      </c>
    </row>
    <row r="41" spans="1:29" ht="15">
      <c r="A41" s="429"/>
      <c r="B41" s="379" t="s">
        <v>2485</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49"/>
      <c r="M41" s="2943"/>
      <c r="N41" s="2943"/>
      <c r="O41" s="2943"/>
      <c r="P41" s="3378"/>
      <c r="Q41" s="1535" t="str">
        <f t="shared" si="11"/>
        <v>层高</v>
      </c>
      <c r="R41" s="711" t="s">
        <v>17</v>
      </c>
      <c r="S41" s="712">
        <f t="shared" si="12"/>
        <v>100</v>
      </c>
      <c r="T41" s="711" t="s">
        <v>17</v>
      </c>
      <c r="U41" s="712">
        <f t="shared" si="13"/>
        <v>100</v>
      </c>
      <c r="V41" s="711" t="s">
        <v>17</v>
      </c>
      <c r="W41" s="712">
        <f t="shared" si="14"/>
        <v>100</v>
      </c>
      <c r="X41" s="1538"/>
      <c r="Y41" s="3313"/>
      <c r="Z41" s="1539" t="str">
        <f t="shared" si="15"/>
        <v>层高</v>
      </c>
      <c r="AA41" s="1536">
        <f t="shared" si="3"/>
        <v>1</v>
      </c>
      <c r="AB41" s="1536">
        <f t="shared" si="4"/>
        <v>1</v>
      </c>
      <c r="AC41" s="2146">
        <f t="shared" si="5"/>
        <v>1</v>
      </c>
    </row>
    <row r="42" spans="1:29" s="428" customFormat="1" ht="15">
      <c r="A42" s="425"/>
      <c r="B42" s="1537" t="s">
        <v>2516</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48"/>
      <c r="M42" s="2950"/>
      <c r="N42" s="2950"/>
      <c r="O42" s="2950"/>
      <c r="P42" s="3378"/>
      <c r="Q42" s="713" t="str">
        <f t="shared" si="11"/>
        <v>单套建筑面积</v>
      </c>
      <c r="R42" s="714" t="s">
        <v>17</v>
      </c>
      <c r="S42" s="715">
        <f t="shared" si="12"/>
        <v>100</v>
      </c>
      <c r="T42" s="714" t="s">
        <v>17</v>
      </c>
      <c r="U42" s="715">
        <f t="shared" si="13"/>
        <v>100</v>
      </c>
      <c r="V42" s="714" t="s">
        <v>17</v>
      </c>
      <c r="W42" s="715">
        <f t="shared" si="14"/>
        <v>100</v>
      </c>
      <c r="X42" s="716"/>
      <c r="Y42" s="3313"/>
      <c r="Z42" s="717" t="str">
        <f t="shared" si="15"/>
        <v>单套建筑面积</v>
      </c>
      <c r="AA42" s="1536">
        <f t="shared" si="3"/>
        <v>1</v>
      </c>
      <c r="AB42" s="1536">
        <f t="shared" si="4"/>
        <v>1</v>
      </c>
      <c r="AC42" s="2146">
        <f t="shared" si="5"/>
        <v>1</v>
      </c>
    </row>
    <row r="43" spans="1:29" ht="15">
      <c r="A43" s="429"/>
      <c r="B43" s="379" t="s">
        <v>2488</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49"/>
      <c r="M43" s="2943"/>
      <c r="N43" s="2943"/>
      <c r="O43" s="2943"/>
      <c r="P43" s="3378"/>
      <c r="Q43" s="1535" t="str">
        <f t="shared" si="11"/>
        <v>内部装修</v>
      </c>
      <c r="R43" s="711" t="s">
        <v>17</v>
      </c>
      <c r="S43" s="712">
        <f t="shared" si="12"/>
        <v>100</v>
      </c>
      <c r="T43" s="711" t="s">
        <v>17</v>
      </c>
      <c r="U43" s="712">
        <f t="shared" si="13"/>
        <v>100</v>
      </c>
      <c r="V43" s="711" t="s">
        <v>17</v>
      </c>
      <c r="W43" s="712">
        <f t="shared" si="14"/>
        <v>100</v>
      </c>
      <c r="X43" s="1538"/>
      <c r="Y43" s="3313"/>
      <c r="Z43" s="1539" t="str">
        <f t="shared" si="15"/>
        <v>内部装修</v>
      </c>
      <c r="AA43" s="1536">
        <f t="shared" si="3"/>
        <v>1</v>
      </c>
      <c r="AB43" s="1536">
        <f t="shared" si="4"/>
        <v>1</v>
      </c>
      <c r="AC43" s="2146">
        <f t="shared" si="5"/>
        <v>1</v>
      </c>
    </row>
    <row r="44" spans="1:29" ht="15">
      <c r="A44" s="429"/>
      <c r="B44" s="379" t="s">
        <v>2396</v>
      </c>
      <c r="C44" s="417"/>
      <c r="D44" s="392">
        <v>100</v>
      </c>
      <c r="E44" s="2090"/>
      <c r="F44" s="418">
        <f>SUMIF(125:125,E44,126:126)-SUMIF(125:125,C44,126:126)+100</f>
        <v>100</v>
      </c>
      <c r="G44" s="2090"/>
      <c r="H44" s="392">
        <f>SUMIF(125:125,G44,126:126)-SUMIF(125:125,C44,126:126)+100</f>
        <v>100</v>
      </c>
      <c r="I44" s="2090"/>
      <c r="J44" s="392">
        <f>SUMIF(125:125,I44,126:126)-SUMIF(125:125,C44,126:126)+100</f>
        <v>100</v>
      </c>
      <c r="K44" s="567"/>
      <c r="L44" s="2949"/>
      <c r="M44" s="2943"/>
      <c r="N44" s="2943"/>
      <c r="O44" s="2943"/>
      <c r="P44" s="3378"/>
      <c r="Q44" s="1535" t="str">
        <f t="shared" si="11"/>
        <v>内部装修维护情况</v>
      </c>
      <c r="R44" s="711" t="s">
        <v>17</v>
      </c>
      <c r="S44" s="712">
        <f t="shared" si="12"/>
        <v>100</v>
      </c>
      <c r="T44" s="711" t="s">
        <v>17</v>
      </c>
      <c r="U44" s="712">
        <f t="shared" si="13"/>
        <v>100</v>
      </c>
      <c r="V44" s="711" t="s">
        <v>17</v>
      </c>
      <c r="W44" s="712">
        <f t="shared" si="14"/>
        <v>100</v>
      </c>
      <c r="X44" s="1538"/>
      <c r="Y44" s="3313"/>
      <c r="Z44" s="1539" t="str">
        <f t="shared" si="15"/>
        <v>内部装修维护情况</v>
      </c>
      <c r="AA44" s="1536">
        <f t="shared" si="3"/>
        <v>1</v>
      </c>
      <c r="AB44" s="1536">
        <f t="shared" si="4"/>
        <v>1</v>
      </c>
      <c r="AC44" s="2146">
        <f t="shared" si="5"/>
        <v>1</v>
      </c>
    </row>
    <row r="45" spans="1:29" s="113" customFormat="1" ht="15">
      <c r="A45" s="430"/>
      <c r="B45" s="1292">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44"/>
      <c r="M45" s="2945"/>
      <c r="N45" s="2945"/>
      <c r="O45" s="2945"/>
      <c r="P45" s="3378"/>
      <c r="Q45" s="1526">
        <f t="shared" si="11"/>
        <v>111</v>
      </c>
      <c r="R45" s="707" t="s">
        <v>17</v>
      </c>
      <c r="S45" s="708">
        <f t="shared" si="12"/>
        <v>100</v>
      </c>
      <c r="T45" s="707" t="s">
        <v>17</v>
      </c>
      <c r="U45" s="708">
        <f t="shared" si="13"/>
        <v>100</v>
      </c>
      <c r="V45" s="707" t="s">
        <v>17</v>
      </c>
      <c r="W45" s="708">
        <f t="shared" si="14"/>
        <v>100</v>
      </c>
      <c r="X45" s="709"/>
      <c r="Y45" s="3313"/>
      <c r="Z45" s="55">
        <f t="shared" si="15"/>
        <v>111</v>
      </c>
      <c r="AA45" s="710">
        <f t="shared" si="3"/>
        <v>1</v>
      </c>
      <c r="AB45" s="710">
        <f t="shared" si="4"/>
        <v>1</v>
      </c>
      <c r="AC45" s="2143">
        <f t="shared" si="5"/>
        <v>1</v>
      </c>
    </row>
    <row r="46" spans="1:29" ht="15">
      <c r="A46" s="429"/>
      <c r="B46" s="1292">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49"/>
      <c r="M46" s="2943"/>
      <c r="N46" s="2943"/>
      <c r="O46" s="2943"/>
      <c r="P46" s="3378"/>
      <c r="Q46" s="1535">
        <f t="shared" si="11"/>
        <v>111</v>
      </c>
      <c r="R46" s="711" t="s">
        <v>17</v>
      </c>
      <c r="S46" s="712">
        <f t="shared" si="12"/>
        <v>100</v>
      </c>
      <c r="T46" s="711" t="s">
        <v>17</v>
      </c>
      <c r="U46" s="712">
        <f t="shared" si="13"/>
        <v>100</v>
      </c>
      <c r="V46" s="711" t="s">
        <v>17</v>
      </c>
      <c r="W46" s="712">
        <f t="shared" si="14"/>
        <v>100</v>
      </c>
      <c r="X46" s="1538"/>
      <c r="Y46" s="3313"/>
      <c r="Z46" s="1539">
        <f t="shared" si="15"/>
        <v>111</v>
      </c>
      <c r="AA46" s="1536">
        <f t="shared" si="3"/>
        <v>1</v>
      </c>
      <c r="AB46" s="1536">
        <f t="shared" si="4"/>
        <v>1</v>
      </c>
      <c r="AC46" s="2146">
        <f t="shared" si="5"/>
        <v>1</v>
      </c>
    </row>
    <row r="47" spans="1:29" ht="15.75" thickBot="1">
      <c r="A47" s="435"/>
      <c r="B47" s="2079">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49"/>
      <c r="M47" s="2943"/>
      <c r="N47" s="2943"/>
      <c r="O47" s="2943"/>
      <c r="P47" s="3379"/>
      <c r="Q47" s="1535">
        <f t="shared" si="11"/>
        <v>111</v>
      </c>
      <c r="R47" s="711" t="s">
        <v>17</v>
      </c>
      <c r="S47" s="712">
        <f t="shared" si="12"/>
        <v>100</v>
      </c>
      <c r="T47" s="711" t="s">
        <v>17</v>
      </c>
      <c r="U47" s="712">
        <f t="shared" si="13"/>
        <v>100</v>
      </c>
      <c r="V47" s="711" t="s">
        <v>17</v>
      </c>
      <c r="W47" s="712">
        <f t="shared" si="14"/>
        <v>100</v>
      </c>
      <c r="X47" s="1538"/>
      <c r="Y47" s="3380"/>
      <c r="Z47" s="1539">
        <f t="shared" si="15"/>
        <v>111</v>
      </c>
      <c r="AA47" s="1536">
        <f t="shared" si="3"/>
        <v>1</v>
      </c>
      <c r="AB47" s="1536">
        <f t="shared" si="4"/>
        <v>1</v>
      </c>
      <c r="AC47" s="2146">
        <f t="shared" si="5"/>
        <v>1</v>
      </c>
    </row>
    <row r="48" spans="1:29" ht="15">
      <c r="A48" s="436" t="s">
        <v>2397</v>
      </c>
      <c r="B48" s="437"/>
      <c r="C48" s="1313" t="s">
        <v>1</v>
      </c>
      <c r="D48" s="1314"/>
      <c r="E48" s="1315"/>
      <c r="F48" s="1316"/>
      <c r="G48" s="1317"/>
      <c r="H48" s="1318"/>
      <c r="I48" s="1315"/>
      <c r="J48" s="442"/>
      <c r="K48" s="720"/>
      <c r="L48" s="2951"/>
      <c r="M48" s="2943"/>
      <c r="N48" s="2943"/>
      <c r="O48" s="2943"/>
      <c r="P48" s="3319" t="str">
        <f>A48</f>
        <v>成交单价（元/平方米）</v>
      </c>
      <c r="Q48" s="3295"/>
      <c r="R48" s="3376">
        <f>E48</f>
        <v>0</v>
      </c>
      <c r="S48" s="3376"/>
      <c r="T48" s="3376">
        <f>G48</f>
        <v>0</v>
      </c>
      <c r="U48" s="3376"/>
      <c r="V48" s="3376">
        <f>I48</f>
        <v>0</v>
      </c>
      <c r="W48" s="3376"/>
      <c r="X48" s="403"/>
      <c r="Y48" s="718"/>
      <c r="Z48" s="403"/>
      <c r="AA48" s="403"/>
      <c r="AB48" s="403"/>
      <c r="AC48" s="584"/>
    </row>
    <row r="49" spans="1:29" ht="15.75" thickBot="1">
      <c r="A49" s="443" t="s">
        <v>2489</v>
      </c>
      <c r="B49" s="444"/>
      <c r="C49" s="1319" t="e">
        <f>R50</f>
        <v>#DIV/0!</v>
      </c>
      <c r="D49" s="2536" t="s">
        <v>2879</v>
      </c>
      <c r="E49" s="1320" t="e">
        <f>R49</f>
        <v>#DIV/0!</v>
      </c>
      <c r="F49" s="2537"/>
      <c r="G49" s="1319" t="e">
        <f>T49</f>
        <v>#DIV/0!</v>
      </c>
      <c r="H49" s="2537"/>
      <c r="I49" s="1320" t="e">
        <f>V49</f>
        <v>#DIV/0!</v>
      </c>
      <c r="J49" s="2537"/>
      <c r="K49" s="2539">
        <f>F49+H49+J49</f>
        <v>0</v>
      </c>
      <c r="L49" s="2951"/>
      <c r="M49" s="2943"/>
      <c r="N49" s="2943"/>
      <c r="O49" s="2943"/>
      <c r="P49" s="3319" t="str">
        <f>A49</f>
        <v>比较价值（元/平方米）</v>
      </c>
      <c r="Q49" s="3295"/>
      <c r="R49" s="3376" t="e">
        <f>IF(F1="售价",ROUND(PRODUCT(R48,AA7:AA47),0),ROUND(PRODUCT(R48,AA7:AA47),1))</f>
        <v>#DIV/0!</v>
      </c>
      <c r="S49" s="3376"/>
      <c r="T49" s="3376" t="e">
        <f>IF(F1="售价",ROUND(PRODUCT(T48,AB7:AB47),0),ROUND(PRODUCT(T48,AB7:AB47),1))</f>
        <v>#DIV/0!</v>
      </c>
      <c r="U49" s="3376"/>
      <c r="V49" s="3376" t="e">
        <f>IF(F1="售价",ROUND(PRODUCT(V48,AC7:AC47),0),ROUND(PRODUCT(V48,AC7:AC47),1))</f>
        <v>#DIV/0!</v>
      </c>
      <c r="W49" s="3376"/>
      <c r="X49" s="403"/>
      <c r="Y49" s="403"/>
      <c r="Z49" s="403"/>
      <c r="AA49" s="403"/>
      <c r="AB49" s="403"/>
      <c r="AC49" s="584"/>
    </row>
    <row r="50" spans="1:29" ht="15.75" thickBot="1">
      <c r="A50" s="447" t="s">
        <v>2490</v>
      </c>
      <c r="B50" s="448"/>
      <c r="C50" s="1322" t="e">
        <f>R50</f>
        <v>#DIV/0!</v>
      </c>
      <c r="D50" s="1322"/>
      <c r="E50" s="1322"/>
      <c r="F50" s="1322"/>
      <c r="G50" s="1322"/>
      <c r="H50" s="1322"/>
      <c r="I50" s="1322"/>
      <c r="J50" s="449"/>
      <c r="K50" s="721"/>
      <c r="L50" s="2951"/>
      <c r="M50" s="2943"/>
      <c r="N50" s="2943"/>
      <c r="O50" s="2943"/>
      <c r="P50" s="3395" t="str">
        <f>A50</f>
        <v>估价对象XX用房的比较价值（楼面单价，元/平方米）</v>
      </c>
      <c r="Q50" s="3396"/>
      <c r="R50" s="3397" t="e">
        <f>IF(F1="售价",ROUND(IF(D49="简单平均",AVERAGE(R49:V49),R49*F49+T49*H49+V49*J49),0),ROUND(IF(D49="简单平均",AVERAGE(R49:V49),R49*F49+T49*H49+V49*J49),1))</f>
        <v>#DIV/0!</v>
      </c>
      <c r="S50" s="3397"/>
      <c r="T50" s="3397"/>
      <c r="U50" s="3397"/>
      <c r="V50" s="3397"/>
      <c r="W50" s="3397"/>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2" t="s">
        <v>2491</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2" t="s">
        <v>2492</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7" customFormat="1" ht="13.5" customHeight="1">
      <c r="A55" s="2955"/>
      <c r="B55" s="2955"/>
      <c r="C55" s="452" t="s">
        <v>2493</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7"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0" t="s">
        <v>2494</v>
      </c>
      <c r="B58" s="696"/>
      <c r="C58" s="701"/>
      <c r="D58" s="701"/>
      <c r="E58" s="701"/>
      <c r="F58" s="702"/>
      <c r="G58" s="702"/>
      <c r="H58" s="701"/>
      <c r="I58" s="701"/>
      <c r="J58" s="701"/>
      <c r="K58" s="703"/>
      <c r="L58" s="1070"/>
      <c r="M58" s="1068"/>
      <c r="N58" s="2996"/>
      <c r="O58" s="2996"/>
      <c r="P58" s="2985"/>
      <c r="Q58" s="2966"/>
      <c r="R58" s="2952"/>
      <c r="S58" s="2952"/>
      <c r="T58" s="2952"/>
      <c r="U58" s="2952"/>
      <c r="V58" s="2952"/>
      <c r="W58" s="2952"/>
      <c r="X58" s="2952"/>
      <c r="Y58" s="2952"/>
      <c r="Z58" s="2952"/>
      <c r="AA58" s="2952"/>
      <c r="AB58" s="2952"/>
      <c r="AC58" s="2952"/>
    </row>
    <row r="59" spans="1:29" s="463" customFormat="1" ht="15">
      <c r="A59" s="460" t="s">
        <v>2368</v>
      </c>
      <c r="B59" s="461"/>
      <c r="C59" s="1343" t="str">
        <f>YEAR(C7)&amp;"-"&amp;MONTH(C7)</f>
        <v>2020-11</v>
      </c>
      <c r="D59" s="1344">
        <f>EDATE(C59,-1)</f>
        <v>44105</v>
      </c>
      <c r="E59" s="1344">
        <f>EDATE(D59,-1)</f>
        <v>44075</v>
      </c>
      <c r="F59" s="1344">
        <f t="shared" ref="F59:O59" si="16">EDATE(E59,-1)</f>
        <v>44044</v>
      </c>
      <c r="G59" s="1344">
        <f t="shared" si="16"/>
        <v>44013</v>
      </c>
      <c r="H59" s="1344">
        <f t="shared" si="16"/>
        <v>43983</v>
      </c>
      <c r="I59" s="1344">
        <f t="shared" si="16"/>
        <v>43952</v>
      </c>
      <c r="J59" s="1344">
        <f t="shared" si="16"/>
        <v>43922</v>
      </c>
      <c r="K59" s="1344">
        <f t="shared" si="16"/>
        <v>43891</v>
      </c>
      <c r="L59" s="1344">
        <f t="shared" si="16"/>
        <v>43862</v>
      </c>
      <c r="M59" s="1344">
        <f t="shared" si="16"/>
        <v>43831</v>
      </c>
      <c r="N59" s="1344">
        <f t="shared" si="16"/>
        <v>43800</v>
      </c>
      <c r="O59" s="1344">
        <f t="shared" si="16"/>
        <v>43770</v>
      </c>
      <c r="P59" s="2986"/>
      <c r="Q59" s="2968"/>
      <c r="R59" s="2968"/>
      <c r="S59" s="2968"/>
      <c r="T59" s="2968"/>
      <c r="U59" s="2968"/>
      <c r="V59" s="2968"/>
      <c r="W59" s="2968"/>
      <c r="X59" s="2968"/>
      <c r="Y59" s="2968"/>
      <c r="Z59" s="2968"/>
      <c r="AA59" s="2968"/>
      <c r="AB59" s="2968"/>
      <c r="AC59" s="2968"/>
    </row>
    <row r="60" spans="1:29" s="113" customFormat="1" ht="15">
      <c r="A60" s="464"/>
      <c r="B60" s="465"/>
      <c r="C60" s="1342">
        <v>100</v>
      </c>
      <c r="D60" s="467"/>
      <c r="E60" s="467"/>
      <c r="F60" s="467"/>
      <c r="G60" s="467"/>
      <c r="H60" s="467"/>
      <c r="I60" s="467"/>
      <c r="J60" s="467"/>
      <c r="K60" s="467"/>
      <c r="L60" s="467"/>
      <c r="M60" s="468"/>
      <c r="N60" s="467"/>
      <c r="O60" s="468"/>
      <c r="P60" s="2987"/>
      <c r="Q60" s="2886"/>
      <c r="R60" s="2886"/>
      <c r="S60" s="2886"/>
      <c r="T60" s="2886"/>
      <c r="U60" s="2886"/>
      <c r="V60" s="2886"/>
      <c r="W60" s="2886"/>
      <c r="X60" s="2886"/>
      <c r="Y60" s="2886"/>
      <c r="Z60" s="2886"/>
      <c r="AA60" s="2886"/>
      <c r="AB60" s="2886"/>
      <c r="AC60" s="2886"/>
    </row>
    <row r="61" spans="1:29" s="113" customFormat="1" ht="15.75" thickBot="1">
      <c r="A61" s="470" t="s">
        <v>2405</v>
      </c>
      <c r="B61" s="471"/>
      <c r="C61" s="472"/>
      <c r="D61" s="473"/>
      <c r="E61" s="473"/>
      <c r="F61" s="473"/>
      <c r="G61" s="473"/>
      <c r="H61" s="473"/>
      <c r="I61" s="473"/>
      <c r="J61" s="473"/>
      <c r="K61" s="473"/>
      <c r="L61" s="473"/>
      <c r="M61" s="474"/>
      <c r="N61" s="473"/>
      <c r="O61" s="474"/>
      <c r="P61" s="2987"/>
      <c r="Q61" s="2966"/>
      <c r="R61" s="2886"/>
      <c r="S61" s="2886"/>
      <c r="T61" s="2886"/>
      <c r="U61" s="2886"/>
      <c r="V61" s="2886"/>
      <c r="W61" s="2886"/>
      <c r="X61" s="2886"/>
      <c r="Y61" s="2886"/>
      <c r="Z61" s="2886"/>
      <c r="AA61" s="2886"/>
      <c r="AB61" s="2886"/>
      <c r="AC61" s="2886"/>
    </row>
    <row r="62" spans="1:29" s="113" customFormat="1" ht="15">
      <c r="A62" s="476" t="s">
        <v>2370</v>
      </c>
      <c r="B62" s="465"/>
      <c r="C62" s="477" t="s">
        <v>2472</v>
      </c>
      <c r="D62" s="478"/>
      <c r="E62" s="478"/>
      <c r="F62" s="478"/>
      <c r="G62" s="478"/>
      <c r="H62" s="478"/>
      <c r="I62" s="478"/>
      <c r="J62" s="478"/>
      <c r="K62" s="478"/>
      <c r="L62" s="479"/>
      <c r="M62" s="480"/>
      <c r="N62" s="2979"/>
      <c r="O62" s="2979"/>
      <c r="P62" s="2988"/>
      <c r="Q62" s="2966"/>
      <c r="R62" s="2886"/>
      <c r="S62" s="2886"/>
      <c r="T62" s="2886"/>
      <c r="U62" s="2886"/>
      <c r="V62" s="2886"/>
      <c r="W62" s="2886"/>
      <c r="X62" s="2886"/>
      <c r="Y62" s="2886"/>
      <c r="Z62" s="2886"/>
      <c r="AA62" s="2886"/>
      <c r="AB62" s="2886"/>
      <c r="AC62" s="2886"/>
    </row>
    <row r="63" spans="1:29" s="113" customFormat="1" ht="15.75" thickBot="1">
      <c r="A63" s="476"/>
      <c r="B63" s="465"/>
      <c r="C63" s="466">
        <v>100</v>
      </c>
      <c r="D63" s="467"/>
      <c r="E63" s="467"/>
      <c r="F63" s="467"/>
      <c r="G63" s="467"/>
      <c r="H63" s="467"/>
      <c r="I63" s="467"/>
      <c r="J63" s="467"/>
      <c r="K63" s="467"/>
      <c r="L63" s="467"/>
      <c r="M63" s="469"/>
      <c r="N63" s="2979"/>
      <c r="O63" s="2979"/>
      <c r="P63" s="2987"/>
      <c r="Q63" s="2966"/>
      <c r="R63" s="2886"/>
      <c r="S63" s="2886"/>
      <c r="T63" s="2886"/>
      <c r="U63" s="2886"/>
      <c r="V63" s="2886"/>
      <c r="W63" s="2886"/>
      <c r="X63" s="2886"/>
      <c r="Y63" s="2886"/>
      <c r="Z63" s="2886"/>
      <c r="AA63" s="2886"/>
      <c r="AB63" s="2886"/>
      <c r="AC63" s="2886"/>
    </row>
    <row r="64" spans="1:29">
      <c r="A64" s="482" t="s">
        <v>2408</v>
      </c>
      <c r="B64" s="483" t="s">
        <v>2374</v>
      </c>
      <c r="C64" s="484">
        <f>C9</f>
        <v>0</v>
      </c>
      <c r="D64" s="485"/>
      <c r="E64" s="485"/>
      <c r="F64" s="485"/>
      <c r="G64" s="485"/>
      <c r="H64" s="485"/>
      <c r="I64" s="485"/>
      <c r="J64" s="485"/>
      <c r="K64" s="486"/>
      <c r="L64" s="487"/>
      <c r="M64" s="488"/>
      <c r="N64" s="2980"/>
      <c r="O64" s="2980"/>
      <c r="P64" s="2989"/>
      <c r="Q64" s="2966"/>
      <c r="R64" s="2952"/>
      <c r="S64" s="2952"/>
      <c r="T64" s="2952"/>
      <c r="U64" s="2952"/>
      <c r="V64" s="2952"/>
      <c r="W64" s="2952"/>
      <c r="X64" s="2952"/>
      <c r="Y64" s="2952"/>
      <c r="Z64" s="2952"/>
      <c r="AA64" s="2952"/>
      <c r="AB64" s="2952"/>
      <c r="AC64" s="2952"/>
    </row>
    <row r="65" spans="1:29" ht="15.75" thickBot="1">
      <c r="A65" s="489"/>
      <c r="B65" s="490"/>
      <c r="C65" s="491">
        <v>100</v>
      </c>
      <c r="D65" s="491"/>
      <c r="E65" s="491"/>
      <c r="F65" s="491"/>
      <c r="G65" s="491"/>
      <c r="H65" s="491"/>
      <c r="I65" s="491"/>
      <c r="J65" s="491"/>
      <c r="K65" s="491"/>
      <c r="L65" s="491"/>
      <c r="M65" s="492"/>
      <c r="N65" s="2981"/>
      <c r="O65" s="2981"/>
      <c r="P65" s="2989"/>
      <c r="Q65" s="2966"/>
      <c r="R65" s="2952"/>
      <c r="S65" s="2952"/>
      <c r="T65" s="2952"/>
      <c r="U65" s="2952"/>
      <c r="V65" s="2952"/>
      <c r="W65" s="2952"/>
      <c r="X65" s="2952"/>
      <c r="Y65" s="2952"/>
      <c r="Z65" s="2952"/>
      <c r="AA65" s="2952"/>
      <c r="AB65" s="2952"/>
      <c r="AC65" s="2952"/>
    </row>
    <row r="66" spans="1:29" ht="27.75" thickTop="1">
      <c r="A66" s="489"/>
      <c r="B66" s="493" t="s">
        <v>2377</v>
      </c>
      <c r="C66" s="494" t="s">
        <v>2409</v>
      </c>
      <c r="D66" s="494" t="s">
        <v>2410</v>
      </c>
      <c r="E66" s="494" t="s">
        <v>2411</v>
      </c>
      <c r="F66" s="494" t="s">
        <v>2412</v>
      </c>
      <c r="G66" s="494" t="s">
        <v>2413</v>
      </c>
      <c r="H66" s="494" t="s">
        <v>2414</v>
      </c>
      <c r="I66" s="494" t="s">
        <v>2415</v>
      </c>
      <c r="J66" s="494"/>
      <c r="K66" s="495"/>
      <c r="L66" s="496"/>
      <c r="M66" s="497"/>
      <c r="N66" s="2980"/>
      <c r="O66" s="2980"/>
      <c r="P66" s="2989"/>
      <c r="Q66" s="2966"/>
      <c r="R66" s="2952"/>
      <c r="S66" s="2952"/>
      <c r="T66" s="2952"/>
      <c r="U66" s="2952"/>
      <c r="V66" s="2952"/>
      <c r="W66" s="2952"/>
      <c r="X66" s="2952"/>
      <c r="Y66" s="2952"/>
      <c r="Z66" s="2952"/>
      <c r="AA66" s="2952"/>
      <c r="AB66" s="2952"/>
      <c r="AC66" s="2952"/>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81"/>
      <c r="O67" s="2981"/>
      <c r="P67" s="2989"/>
      <c r="Q67" s="2966"/>
      <c r="R67" s="2952"/>
      <c r="S67" s="2952"/>
      <c r="T67" s="2952"/>
      <c r="U67" s="2952"/>
      <c r="V67" s="2952"/>
      <c r="W67" s="2952"/>
      <c r="X67" s="2952"/>
      <c r="Y67" s="2952"/>
      <c r="Z67" s="2952"/>
      <c r="AA67" s="2952"/>
      <c r="AB67" s="2952"/>
      <c r="AC67" s="2952"/>
    </row>
    <row r="68" spans="1:29" ht="15.75" thickTop="1">
      <c r="A68" s="489"/>
      <c r="B68" s="501" t="s">
        <v>2378</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89"/>
      <c r="B69" s="503"/>
      <c r="C69" s="504"/>
      <c r="D69" s="504"/>
      <c r="E69" s="504"/>
      <c r="F69" s="504"/>
      <c r="G69" s="504"/>
      <c r="H69" s="504"/>
      <c r="I69" s="504"/>
      <c r="J69" s="504"/>
      <c r="K69" s="505"/>
      <c r="L69" s="506"/>
      <c r="M69" s="507"/>
      <c r="N69" s="2980"/>
      <c r="O69" s="2980"/>
      <c r="P69" s="2989"/>
      <c r="Q69" s="2966"/>
      <c r="R69" s="2952"/>
      <c r="S69" s="2952"/>
      <c r="T69" s="2952"/>
      <c r="U69" s="2952"/>
      <c r="V69" s="2952"/>
      <c r="W69" s="2952"/>
      <c r="X69" s="2952"/>
      <c r="Y69" s="2952"/>
      <c r="Z69" s="2952"/>
      <c r="AA69" s="2952"/>
      <c r="AB69" s="2952"/>
      <c r="AC69" s="2952"/>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81"/>
      <c r="O70" s="2981"/>
      <c r="P70" s="2989"/>
      <c r="Q70" s="2966"/>
      <c r="R70" s="2952"/>
      <c r="S70" s="2952"/>
      <c r="T70" s="2952"/>
      <c r="U70" s="2952"/>
      <c r="V70" s="2952"/>
      <c r="W70" s="2952"/>
      <c r="X70" s="2952"/>
      <c r="Y70" s="2952"/>
      <c r="Z70" s="2952"/>
      <c r="AA70" s="2952"/>
      <c r="AB70" s="2952"/>
      <c r="AC70" s="2952"/>
    </row>
    <row r="71" spans="1:29" s="428" customFormat="1" ht="15.75" thickTop="1">
      <c r="A71" s="508"/>
      <c r="B71" s="493">
        <f>B12</f>
        <v>111</v>
      </c>
      <c r="C71" s="509"/>
      <c r="D71" s="509"/>
      <c r="E71" s="509"/>
      <c r="F71" s="509"/>
      <c r="G71" s="509"/>
      <c r="H71" s="510"/>
      <c r="I71" s="510"/>
      <c r="J71" s="510"/>
      <c r="K71" s="510"/>
      <c r="L71" s="511"/>
      <c r="M71" s="512"/>
      <c r="N71" s="2982"/>
      <c r="O71" s="2982"/>
      <c r="P71" s="2990"/>
      <c r="Q71" s="2973"/>
      <c r="R71" s="2974"/>
      <c r="S71" s="2974"/>
      <c r="T71" s="2974"/>
      <c r="U71" s="2974"/>
      <c r="V71" s="2974"/>
      <c r="W71" s="2974"/>
      <c r="X71" s="2974"/>
      <c r="Y71" s="2974"/>
      <c r="Z71" s="2974"/>
      <c r="AA71" s="2974"/>
      <c r="AB71" s="2974"/>
      <c r="AC71" s="2974"/>
    </row>
    <row r="72" spans="1:29" s="428" customFormat="1" ht="15.75" thickBot="1">
      <c r="A72" s="508"/>
      <c r="B72" s="498"/>
      <c r="C72" s="515"/>
      <c r="D72" s="491"/>
      <c r="E72" s="491"/>
      <c r="F72" s="491"/>
      <c r="G72" s="491"/>
      <c r="H72" s="491"/>
      <c r="I72" s="491"/>
      <c r="J72" s="491"/>
      <c r="K72" s="491"/>
      <c r="L72" s="491"/>
      <c r="M72" s="492"/>
      <c r="N72" s="2981"/>
      <c r="O72" s="2981"/>
      <c r="P72" s="2990"/>
      <c r="Q72" s="2973"/>
      <c r="R72" s="2974"/>
      <c r="S72" s="2974"/>
      <c r="T72" s="2974"/>
      <c r="U72" s="2974"/>
      <c r="V72" s="2974"/>
      <c r="W72" s="2974"/>
      <c r="X72" s="2974"/>
      <c r="Y72" s="2974"/>
      <c r="Z72" s="2974"/>
      <c r="AA72" s="2974"/>
      <c r="AB72" s="2974"/>
      <c r="AC72" s="2974"/>
    </row>
    <row r="73" spans="1:29" s="428" customFormat="1" ht="15.75" thickTop="1">
      <c r="A73" s="508"/>
      <c r="B73" s="493">
        <f>B13</f>
        <v>111</v>
      </c>
      <c r="C73" s="509"/>
      <c r="D73" s="509"/>
      <c r="E73" s="509"/>
      <c r="F73" s="509"/>
      <c r="G73" s="509"/>
      <c r="H73" s="510"/>
      <c r="I73" s="510"/>
      <c r="J73" s="510"/>
      <c r="K73" s="510"/>
      <c r="L73" s="511"/>
      <c r="M73" s="512"/>
      <c r="N73" s="2982"/>
      <c r="O73" s="2982"/>
      <c r="P73" s="2991"/>
      <c r="Q73" s="2976"/>
      <c r="R73" s="2974"/>
      <c r="S73" s="2974"/>
      <c r="T73" s="2974"/>
      <c r="U73" s="2974"/>
      <c r="V73" s="2974"/>
      <c r="W73" s="2974"/>
      <c r="X73" s="2974"/>
      <c r="Y73" s="2974"/>
      <c r="Z73" s="2974"/>
      <c r="AA73" s="2974"/>
      <c r="AB73" s="2974"/>
      <c r="AC73" s="2974"/>
    </row>
    <row r="74" spans="1:29" s="428" customFormat="1" ht="15.75" thickBot="1">
      <c r="A74" s="508"/>
      <c r="B74" s="498"/>
      <c r="C74" s="515"/>
      <c r="D74" s="515"/>
      <c r="E74" s="515"/>
      <c r="F74" s="515"/>
      <c r="G74" s="515"/>
      <c r="H74" s="517"/>
      <c r="I74" s="517"/>
      <c r="J74" s="517"/>
      <c r="K74" s="517"/>
      <c r="L74" s="517"/>
      <c r="M74" s="518"/>
      <c r="N74" s="2982"/>
      <c r="O74" s="2982"/>
      <c r="P74" s="2990"/>
      <c r="Q74" s="2973"/>
      <c r="R74" s="2974"/>
      <c r="S74" s="2974"/>
      <c r="T74" s="2974"/>
      <c r="U74" s="2974"/>
      <c r="V74" s="2974"/>
      <c r="W74" s="2974"/>
      <c r="X74" s="2974"/>
      <c r="Y74" s="2974"/>
      <c r="Z74" s="2974"/>
      <c r="AA74" s="2974"/>
      <c r="AB74" s="2974"/>
      <c r="AC74" s="2974"/>
    </row>
    <row r="75" spans="1:29" s="428" customFormat="1" ht="15.75" thickTop="1">
      <c r="A75" s="508"/>
      <c r="B75" s="501">
        <f>B14</f>
        <v>111</v>
      </c>
      <c r="C75" s="478"/>
      <c r="D75" s="478"/>
      <c r="E75" s="478"/>
      <c r="F75" s="478"/>
      <c r="G75" s="478"/>
      <c r="H75" s="519"/>
      <c r="I75" s="519"/>
      <c r="J75" s="519"/>
      <c r="K75" s="519"/>
      <c r="L75" s="520"/>
      <c r="M75" s="521"/>
      <c r="N75" s="2982"/>
      <c r="O75" s="2982"/>
      <c r="P75" s="2992"/>
      <c r="Q75" s="2973"/>
      <c r="R75" s="2974"/>
      <c r="S75" s="2974"/>
      <c r="T75" s="2974"/>
      <c r="U75" s="2974"/>
      <c r="V75" s="2974"/>
      <c r="W75" s="2974"/>
      <c r="X75" s="2974"/>
      <c r="Y75" s="2974"/>
      <c r="Z75" s="2974"/>
      <c r="AA75" s="2974"/>
      <c r="AB75" s="2974"/>
      <c r="AC75" s="2974"/>
    </row>
    <row r="76" spans="1:29" s="428" customFormat="1" ht="15.75" thickBot="1">
      <c r="A76" s="523"/>
      <c r="B76" s="524"/>
      <c r="C76" s="525"/>
      <c r="D76" s="525"/>
      <c r="E76" s="525"/>
      <c r="F76" s="525"/>
      <c r="G76" s="525"/>
      <c r="H76" s="526"/>
      <c r="I76" s="526"/>
      <c r="J76" s="526"/>
      <c r="K76" s="526"/>
      <c r="L76" s="526"/>
      <c r="M76" s="527"/>
      <c r="N76" s="2982"/>
      <c r="O76" s="2982"/>
      <c r="P76" s="2990"/>
      <c r="Q76" s="2973"/>
      <c r="R76" s="2974"/>
      <c r="S76" s="2974"/>
      <c r="T76" s="2974"/>
      <c r="U76" s="2974"/>
      <c r="V76" s="2974"/>
      <c r="W76" s="2974"/>
      <c r="X76" s="2974"/>
      <c r="Y76" s="2974"/>
      <c r="Z76" s="2974"/>
      <c r="AA76" s="2974"/>
      <c r="AB76" s="2974"/>
      <c r="AC76" s="2974"/>
    </row>
    <row r="77" spans="1:29">
      <c r="A77" s="482" t="s">
        <v>2379</v>
      </c>
      <c r="B77" s="483" t="s">
        <v>2517</v>
      </c>
      <c r="C77" s="528" t="s">
        <v>2417</v>
      </c>
      <c r="D77" s="528" t="s">
        <v>2418</v>
      </c>
      <c r="E77" s="528" t="s">
        <v>2419</v>
      </c>
      <c r="F77" s="528" t="s">
        <v>2420</v>
      </c>
      <c r="G77" s="528" t="s">
        <v>2421</v>
      </c>
      <c r="H77" s="484"/>
      <c r="I77" s="484"/>
      <c r="J77" s="484"/>
      <c r="K77" s="529"/>
      <c r="L77" s="530"/>
      <c r="M77" s="531"/>
      <c r="N77" s="2980"/>
      <c r="O77" s="2980"/>
      <c r="P77" s="2993"/>
      <c r="Q77" s="2966"/>
      <c r="R77" s="2952"/>
      <c r="S77" s="2952"/>
      <c r="T77" s="2952"/>
      <c r="U77" s="2952"/>
      <c r="V77" s="2952"/>
      <c r="W77" s="2952"/>
      <c r="X77" s="2952"/>
      <c r="Y77" s="2952"/>
      <c r="Z77" s="2952"/>
      <c r="AA77" s="2952"/>
      <c r="AB77" s="2952"/>
      <c r="AC77" s="2952"/>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81"/>
      <c r="O78" s="2981"/>
      <c r="P78" s="2989"/>
      <c r="Q78" s="2966"/>
      <c r="R78" s="2952"/>
      <c r="S78" s="2952"/>
      <c r="T78" s="2952"/>
      <c r="U78" s="2952"/>
      <c r="V78" s="2952"/>
      <c r="W78" s="2952"/>
      <c r="X78" s="2952"/>
      <c r="Y78" s="2952"/>
      <c r="Z78" s="2952"/>
      <c r="AA78" s="2952"/>
      <c r="AB78" s="2952"/>
      <c r="AC78" s="2952"/>
    </row>
    <row r="79" spans="1:29" ht="15.75" thickTop="1">
      <c r="A79" s="489"/>
      <c r="B79" s="493" t="s">
        <v>2422</v>
      </c>
      <c r="C79" s="533" t="s">
        <v>2417</v>
      </c>
      <c r="D79" s="533" t="s">
        <v>2418</v>
      </c>
      <c r="E79" s="533" t="s">
        <v>2419</v>
      </c>
      <c r="F79" s="533" t="s">
        <v>2420</v>
      </c>
      <c r="G79" s="533" t="s">
        <v>2421</v>
      </c>
      <c r="H79" s="494"/>
      <c r="I79" s="494"/>
      <c r="J79" s="494"/>
      <c r="K79" s="495"/>
      <c r="L79" s="496"/>
      <c r="M79" s="497"/>
      <c r="N79" s="2980"/>
      <c r="O79" s="2980"/>
      <c r="P79" s="2989"/>
      <c r="Q79" s="2966"/>
      <c r="R79" s="2952"/>
      <c r="S79" s="2952"/>
      <c r="T79" s="2952"/>
      <c r="U79" s="2952"/>
      <c r="V79" s="2952"/>
      <c r="W79" s="2952"/>
      <c r="X79" s="2952"/>
      <c r="Y79" s="2952"/>
      <c r="Z79" s="2952"/>
      <c r="AA79" s="2952"/>
      <c r="AB79" s="2952"/>
      <c r="AC79" s="2952"/>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81"/>
      <c r="O80" s="2981"/>
      <c r="P80" s="2989"/>
      <c r="Q80" s="2966"/>
      <c r="R80" s="2952"/>
      <c r="S80" s="2952"/>
      <c r="T80" s="2952"/>
      <c r="U80" s="2952"/>
      <c r="V80" s="2952"/>
      <c r="W80" s="2952"/>
      <c r="X80" s="2952"/>
      <c r="Y80" s="2952"/>
      <c r="Z80" s="2952"/>
      <c r="AA80" s="2952"/>
      <c r="AB80" s="2952"/>
      <c r="AC80" s="2952"/>
    </row>
    <row r="81" spans="1:29" ht="15.75" thickTop="1">
      <c r="A81" s="489"/>
      <c r="B81" s="493" t="s">
        <v>2423</v>
      </c>
      <c r="C81" s="533" t="s">
        <v>2417</v>
      </c>
      <c r="D81" s="533" t="s">
        <v>2418</v>
      </c>
      <c r="E81" s="533" t="s">
        <v>2419</v>
      </c>
      <c r="F81" s="533" t="s">
        <v>2420</v>
      </c>
      <c r="G81" s="533" t="s">
        <v>2421</v>
      </c>
      <c r="H81" s="494"/>
      <c r="I81" s="494"/>
      <c r="J81" s="494"/>
      <c r="K81" s="495"/>
      <c r="L81" s="496"/>
      <c r="M81" s="497"/>
      <c r="N81" s="2980"/>
      <c r="O81" s="2980"/>
      <c r="P81" s="2989"/>
      <c r="Q81" s="2966"/>
      <c r="R81" s="2952"/>
      <c r="S81" s="2952"/>
      <c r="T81" s="2952"/>
      <c r="U81" s="2952"/>
      <c r="V81" s="2952"/>
      <c r="W81" s="2952"/>
      <c r="X81" s="2952"/>
      <c r="Y81" s="2952"/>
      <c r="Z81" s="2952"/>
      <c r="AA81" s="2952"/>
      <c r="AB81" s="2952"/>
      <c r="AC81" s="2952"/>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81"/>
      <c r="O82" s="2981"/>
      <c r="P82" s="2989"/>
      <c r="Q82" s="2966"/>
      <c r="R82" s="2952"/>
      <c r="S82" s="2952"/>
      <c r="T82" s="2952"/>
      <c r="U82" s="2952"/>
      <c r="V82" s="2952"/>
      <c r="W82" s="2952"/>
      <c r="X82" s="2952"/>
      <c r="Y82" s="2952"/>
      <c r="Z82" s="2952"/>
      <c r="AA82" s="2952"/>
      <c r="AB82" s="2952"/>
      <c r="AC82" s="2952"/>
    </row>
    <row r="83" spans="1:29" ht="15.75" thickTop="1">
      <c r="A83" s="489"/>
      <c r="B83" s="501" t="s">
        <v>2509</v>
      </c>
      <c r="C83" s="614" t="s">
        <v>2495</v>
      </c>
      <c r="D83" s="614" t="s">
        <v>2496</v>
      </c>
      <c r="E83" s="614" t="s">
        <v>2497</v>
      </c>
      <c r="F83" s="614" t="s">
        <v>2498</v>
      </c>
      <c r="G83" s="614" t="s">
        <v>2499</v>
      </c>
      <c r="H83" s="494"/>
      <c r="I83" s="494"/>
      <c r="J83" s="494"/>
      <c r="K83" s="494"/>
      <c r="L83" s="494"/>
      <c r="M83" s="1288"/>
      <c r="N83" s="2981"/>
      <c r="O83" s="2981"/>
      <c r="P83" s="2989"/>
      <c r="Q83" s="2966"/>
      <c r="R83" s="2952"/>
      <c r="S83" s="2952"/>
      <c r="T83" s="2952"/>
      <c r="U83" s="2952"/>
      <c r="V83" s="2952"/>
      <c r="W83" s="2952"/>
      <c r="X83" s="2952"/>
      <c r="Y83" s="2952"/>
      <c r="Z83" s="2952"/>
      <c r="AA83" s="2952"/>
      <c r="AB83" s="2952"/>
      <c r="AC83" s="2952"/>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81"/>
      <c r="O84" s="2981"/>
      <c r="P84" s="2989"/>
      <c r="Q84" s="2966"/>
      <c r="R84" s="2952"/>
      <c r="S84" s="2952"/>
      <c r="T84" s="2952"/>
      <c r="U84" s="2952"/>
      <c r="V84" s="2952"/>
      <c r="W84" s="2952"/>
      <c r="X84" s="2952"/>
      <c r="Y84" s="2952"/>
      <c r="Z84" s="2952"/>
      <c r="AA84" s="2952"/>
      <c r="AB84" s="2952"/>
      <c r="AC84" s="2952"/>
    </row>
    <row r="85" spans="1:29" ht="15.75" thickTop="1">
      <c r="A85" s="489"/>
      <c r="B85" s="493" t="s">
        <v>2518</v>
      </c>
      <c r="C85" s="533" t="s">
        <v>2417</v>
      </c>
      <c r="D85" s="533" t="s">
        <v>2418</v>
      </c>
      <c r="E85" s="533" t="s">
        <v>2419</v>
      </c>
      <c r="F85" s="533" t="s">
        <v>2420</v>
      </c>
      <c r="G85" s="533" t="s">
        <v>2421</v>
      </c>
      <c r="H85" s="494"/>
      <c r="I85" s="494"/>
      <c r="J85" s="494"/>
      <c r="K85" s="495"/>
      <c r="L85" s="496"/>
      <c r="M85" s="497"/>
      <c r="N85" s="2980"/>
      <c r="O85" s="2980"/>
      <c r="P85" s="2989"/>
      <c r="Q85" s="2966"/>
      <c r="R85" s="2952"/>
      <c r="S85" s="2952"/>
      <c r="T85" s="2952"/>
      <c r="U85" s="2952"/>
      <c r="V85" s="2952"/>
      <c r="W85" s="2952"/>
      <c r="X85" s="2952"/>
      <c r="Y85" s="2952"/>
      <c r="Z85" s="2952"/>
      <c r="AA85" s="2952"/>
      <c r="AB85" s="2952"/>
      <c r="AC85" s="2952"/>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81"/>
      <c r="O86" s="2981"/>
      <c r="P86" s="2989"/>
      <c r="Q86" s="2966"/>
      <c r="R86" s="2952"/>
      <c r="S86" s="2952"/>
      <c r="T86" s="2952"/>
      <c r="U86" s="2952"/>
      <c r="V86" s="2952"/>
      <c r="W86" s="2952"/>
      <c r="X86" s="2952"/>
      <c r="Y86" s="2952"/>
      <c r="Z86" s="2952"/>
      <c r="AA86" s="2952"/>
      <c r="AB86" s="2952"/>
      <c r="AC86" s="2952"/>
    </row>
    <row r="87" spans="1:29" s="113" customFormat="1" ht="27.75" thickTop="1">
      <c r="A87" s="534"/>
      <c r="B87" s="493" t="s">
        <v>2519</v>
      </c>
      <c r="C87" s="509"/>
      <c r="D87" s="509"/>
      <c r="E87" s="509"/>
      <c r="F87" s="509"/>
      <c r="G87" s="509"/>
      <c r="H87" s="509"/>
      <c r="I87" s="509"/>
      <c r="J87" s="509"/>
      <c r="K87" s="509"/>
      <c r="L87" s="535"/>
      <c r="M87" s="536"/>
      <c r="N87" s="2979"/>
      <c r="O87" s="2979"/>
      <c r="P87" s="2989"/>
      <c r="Q87" s="2966"/>
      <c r="R87" s="2886"/>
      <c r="S87" s="2886"/>
      <c r="T87" s="2886"/>
      <c r="U87" s="2886"/>
      <c r="V87" s="2886"/>
      <c r="W87" s="2886"/>
      <c r="X87" s="2886"/>
      <c r="Y87" s="2886"/>
      <c r="Z87" s="2886"/>
      <c r="AA87" s="2886"/>
      <c r="AB87" s="2886"/>
      <c r="AC87" s="2886"/>
    </row>
    <row r="88" spans="1:29" s="113"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4"/>
      <c r="B89" s="493" t="str">
        <f>B27</f>
        <v>楼层</v>
      </c>
      <c r="C89" s="509"/>
      <c r="D89" s="509"/>
      <c r="E89" s="509"/>
      <c r="F89" s="2111"/>
      <c r="G89" s="509"/>
      <c r="H89" s="509"/>
      <c r="I89" s="509"/>
      <c r="J89" s="509"/>
      <c r="K89" s="509"/>
      <c r="L89" s="509"/>
      <c r="M89" s="536"/>
      <c r="N89" s="2979"/>
      <c r="O89" s="2979"/>
      <c r="P89" s="2989"/>
      <c r="Q89" s="2966"/>
      <c r="R89" s="2886"/>
      <c r="S89" s="2886"/>
      <c r="T89" s="2886"/>
      <c r="U89" s="2886"/>
      <c r="V89" s="2886"/>
      <c r="W89" s="2886"/>
      <c r="X89" s="2886"/>
      <c r="Y89" s="2886"/>
      <c r="Z89" s="2886"/>
      <c r="AA89" s="2886"/>
      <c r="AB89" s="2886"/>
      <c r="AC89" s="2886"/>
    </row>
    <row r="90" spans="1:29" s="113"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81"/>
      <c r="O90" s="2981"/>
      <c r="P90" s="2989"/>
      <c r="Q90" s="2966"/>
      <c r="R90" s="2886"/>
      <c r="S90" s="2886"/>
      <c r="T90" s="2886"/>
      <c r="U90" s="2886"/>
      <c r="V90" s="2886"/>
      <c r="W90" s="2886"/>
      <c r="X90" s="2886"/>
      <c r="Y90" s="2886"/>
      <c r="Z90" s="2886"/>
      <c r="AA90" s="2886"/>
      <c r="AB90" s="2886"/>
      <c r="AC90" s="2886"/>
    </row>
    <row r="91" spans="1:29" s="428" customFormat="1" ht="15.75" thickTop="1">
      <c r="A91" s="508"/>
      <c r="B91" s="493" t="str">
        <f>B28</f>
        <v>朝向</v>
      </c>
      <c r="C91" s="509"/>
      <c r="D91" s="509"/>
      <c r="E91" s="509"/>
      <c r="F91" s="509"/>
      <c r="G91" s="509"/>
      <c r="H91" s="510"/>
      <c r="I91" s="510"/>
      <c r="J91" s="510"/>
      <c r="K91" s="510"/>
      <c r="L91" s="511"/>
      <c r="M91" s="512"/>
      <c r="N91" s="2982"/>
      <c r="O91" s="2982"/>
      <c r="P91" s="2990"/>
      <c r="Q91" s="2973"/>
      <c r="R91" s="2974"/>
      <c r="S91" s="2974"/>
      <c r="T91" s="2974"/>
      <c r="U91" s="2974"/>
      <c r="V91" s="2974"/>
      <c r="W91" s="2974"/>
      <c r="X91" s="2974"/>
      <c r="Y91" s="2974"/>
      <c r="Z91" s="2974"/>
      <c r="AA91" s="2974"/>
      <c r="AB91" s="2974"/>
      <c r="AC91" s="2974"/>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89"/>
      <c r="B93" s="493">
        <f>B29</f>
        <v>111</v>
      </c>
      <c r="C93" s="509"/>
      <c r="D93" s="509"/>
      <c r="E93" s="509"/>
      <c r="F93" s="509"/>
      <c r="G93" s="509"/>
      <c r="H93" s="509"/>
      <c r="I93" s="509"/>
      <c r="J93" s="509"/>
      <c r="K93" s="509"/>
      <c r="L93" s="535"/>
      <c r="M93" s="536"/>
      <c r="N93" s="2980"/>
      <c r="O93" s="2980"/>
      <c r="P93" s="2989"/>
      <c r="Q93" s="2966"/>
      <c r="R93" s="2952"/>
      <c r="S93" s="2952"/>
      <c r="T93" s="2952"/>
      <c r="U93" s="2952"/>
      <c r="V93" s="2952"/>
      <c r="W93" s="2952"/>
      <c r="X93" s="2952"/>
      <c r="Y93" s="2952"/>
      <c r="Z93" s="2952"/>
      <c r="AA93" s="2952"/>
      <c r="AB93" s="2952"/>
      <c r="AC93" s="2952"/>
    </row>
    <row r="94" spans="1:29" ht="15.75" thickBot="1">
      <c r="A94" s="489"/>
      <c r="B94" s="498"/>
      <c r="C94" s="515"/>
      <c r="D94" s="491"/>
      <c r="E94" s="491"/>
      <c r="F94" s="491"/>
      <c r="G94" s="491"/>
      <c r="H94" s="491"/>
      <c r="I94" s="491"/>
      <c r="J94" s="491"/>
      <c r="K94" s="491"/>
      <c r="L94" s="491"/>
      <c r="M94" s="492"/>
      <c r="N94" s="2981"/>
      <c r="O94" s="2981"/>
      <c r="P94" s="2989"/>
      <c r="Q94" s="2966"/>
      <c r="R94" s="2952"/>
      <c r="S94" s="2952"/>
      <c r="T94" s="2952"/>
      <c r="U94" s="2952"/>
      <c r="V94" s="2952"/>
      <c r="W94" s="2952"/>
      <c r="X94" s="2952"/>
      <c r="Y94" s="2952"/>
      <c r="Z94" s="2952"/>
      <c r="AA94" s="2952"/>
      <c r="AB94" s="2952"/>
      <c r="AC94" s="2952"/>
    </row>
    <row r="95" spans="1:29" ht="15.75" thickTop="1">
      <c r="A95" s="489"/>
      <c r="B95" s="493">
        <f>B30</f>
        <v>111</v>
      </c>
      <c r="C95" s="509"/>
      <c r="D95" s="509"/>
      <c r="E95" s="509"/>
      <c r="F95" s="509"/>
      <c r="G95" s="538"/>
      <c r="H95" s="538"/>
      <c r="I95" s="538"/>
      <c r="J95" s="538"/>
      <c r="K95" s="539"/>
      <c r="L95" s="540"/>
      <c r="M95" s="541"/>
      <c r="N95" s="2980"/>
      <c r="O95" s="2980"/>
      <c r="P95" s="2989"/>
      <c r="Q95" s="2966"/>
      <c r="R95" s="2952"/>
      <c r="S95" s="2952"/>
      <c r="T95" s="2952"/>
      <c r="U95" s="2952"/>
      <c r="V95" s="2952"/>
      <c r="W95" s="2952"/>
      <c r="X95" s="2952"/>
      <c r="Y95" s="2952"/>
      <c r="Z95" s="2952"/>
      <c r="AA95" s="2952"/>
      <c r="AB95" s="2952"/>
      <c r="AC95" s="2952"/>
    </row>
    <row r="96" spans="1:29" ht="15.75" thickBot="1">
      <c r="A96" s="489"/>
      <c r="B96" s="498"/>
      <c r="C96" s="515"/>
      <c r="D96" s="515"/>
      <c r="E96" s="515"/>
      <c r="F96" s="515"/>
      <c r="G96" s="491"/>
      <c r="H96" s="491"/>
      <c r="I96" s="491"/>
      <c r="J96" s="491"/>
      <c r="K96" s="491"/>
      <c r="L96" s="491"/>
      <c r="M96" s="492"/>
      <c r="N96" s="2981"/>
      <c r="O96" s="2981"/>
      <c r="P96" s="2989"/>
      <c r="Q96" s="2966"/>
      <c r="R96" s="2952"/>
      <c r="S96" s="2952"/>
      <c r="T96" s="2952"/>
      <c r="U96" s="2952"/>
      <c r="V96" s="2952"/>
      <c r="W96" s="2952"/>
      <c r="X96" s="2952"/>
      <c r="Y96" s="2952"/>
      <c r="Z96" s="2952"/>
      <c r="AA96" s="2952"/>
      <c r="AB96" s="2952"/>
      <c r="AC96" s="2952"/>
    </row>
    <row r="97" spans="1:29" ht="15.75" thickTop="1">
      <c r="A97" s="489"/>
      <c r="B97" s="493">
        <f>B31</f>
        <v>111</v>
      </c>
      <c r="C97" s="509"/>
      <c r="D97" s="509"/>
      <c r="E97" s="509"/>
      <c r="F97" s="509"/>
      <c r="G97" s="538"/>
      <c r="H97" s="538"/>
      <c r="I97" s="538"/>
      <c r="J97" s="538"/>
      <c r="K97" s="539"/>
      <c r="L97" s="540"/>
      <c r="M97" s="541"/>
      <c r="N97" s="2980"/>
      <c r="O97" s="2980"/>
      <c r="P97" s="2989"/>
      <c r="Q97" s="2966"/>
      <c r="R97" s="2952"/>
      <c r="S97" s="2952"/>
      <c r="T97" s="2952"/>
      <c r="U97" s="2952"/>
      <c r="V97" s="2952"/>
      <c r="W97" s="2952"/>
      <c r="X97" s="2952"/>
      <c r="Y97" s="2952"/>
      <c r="Z97" s="2952"/>
      <c r="AA97" s="2952"/>
      <c r="AB97" s="2952"/>
      <c r="AC97" s="2952"/>
    </row>
    <row r="98" spans="1:29" ht="15.75" thickBot="1">
      <c r="A98" s="489"/>
      <c r="B98" s="498"/>
      <c r="C98" s="515"/>
      <c r="D98" s="491"/>
      <c r="E98" s="491"/>
      <c r="F98" s="491"/>
      <c r="G98" s="491"/>
      <c r="H98" s="491"/>
      <c r="I98" s="491"/>
      <c r="J98" s="491"/>
      <c r="K98" s="491"/>
      <c r="L98" s="491"/>
      <c r="M98" s="492"/>
      <c r="N98" s="2981"/>
      <c r="O98" s="2981"/>
      <c r="P98" s="2989"/>
      <c r="Q98" s="2966"/>
      <c r="R98" s="2952"/>
      <c r="S98" s="2952"/>
      <c r="T98" s="2952"/>
      <c r="U98" s="2952"/>
      <c r="V98" s="2952"/>
      <c r="W98" s="2952"/>
      <c r="X98" s="2952"/>
      <c r="Y98" s="2952"/>
      <c r="Z98" s="2952"/>
      <c r="AA98" s="2952"/>
      <c r="AB98" s="2952"/>
      <c r="AC98" s="2952"/>
    </row>
    <row r="99" spans="1:29" ht="15.75" thickTop="1">
      <c r="A99" s="489"/>
      <c r="B99" s="501">
        <f>B32</f>
        <v>111</v>
      </c>
      <c r="C99" s="478"/>
      <c r="D99" s="478"/>
      <c r="E99" s="478"/>
      <c r="F99" s="478"/>
      <c r="G99" s="542"/>
      <c r="H99" s="542"/>
      <c r="I99" s="542"/>
      <c r="J99" s="542"/>
      <c r="K99" s="543"/>
      <c r="L99" s="544"/>
      <c r="M99" s="545"/>
      <c r="N99" s="2980"/>
      <c r="O99" s="2980"/>
      <c r="P99" s="2989"/>
      <c r="Q99" s="2966"/>
      <c r="R99" s="2952"/>
      <c r="S99" s="2952"/>
      <c r="T99" s="2952"/>
      <c r="U99" s="2952"/>
      <c r="V99" s="2952"/>
      <c r="W99" s="2952"/>
      <c r="X99" s="2952"/>
      <c r="Y99" s="2952"/>
      <c r="Z99" s="2952"/>
      <c r="AA99" s="2952"/>
      <c r="AB99" s="2952"/>
      <c r="AC99" s="2952"/>
    </row>
    <row r="100" spans="1:29" ht="15.75" thickBot="1">
      <c r="A100" s="2112"/>
      <c r="B100" s="524"/>
      <c r="C100" s="525"/>
      <c r="D100" s="525"/>
      <c r="E100" s="525"/>
      <c r="F100" s="525"/>
      <c r="G100" s="546"/>
      <c r="H100" s="546"/>
      <c r="I100" s="546"/>
      <c r="J100" s="546"/>
      <c r="K100" s="546"/>
      <c r="L100" s="546"/>
      <c r="M100" s="547"/>
      <c r="N100" s="2981"/>
      <c r="O100" s="2981"/>
      <c r="P100" s="2989"/>
      <c r="Q100" s="2966"/>
      <c r="R100" s="2952"/>
      <c r="S100" s="2952"/>
      <c r="T100" s="2952"/>
      <c r="U100" s="2952"/>
      <c r="V100" s="2952"/>
      <c r="W100" s="2952"/>
      <c r="X100" s="2952"/>
      <c r="Y100" s="2952"/>
      <c r="Z100" s="2952"/>
      <c r="AA100" s="2952"/>
      <c r="AB100" s="2952"/>
      <c r="AC100" s="2952"/>
    </row>
    <row r="101" spans="1:29">
      <c r="A101" s="482" t="s">
        <v>2383</v>
      </c>
      <c r="B101" s="483" t="s">
        <v>2432</v>
      </c>
      <c r="C101" s="485"/>
      <c r="D101" s="485"/>
      <c r="E101" s="485"/>
      <c r="F101" s="485"/>
      <c r="G101" s="485"/>
      <c r="H101" s="485"/>
      <c r="I101" s="485"/>
      <c r="J101" s="485"/>
      <c r="K101" s="486"/>
      <c r="L101" s="487"/>
      <c r="M101" s="488"/>
      <c r="N101" s="2980"/>
      <c r="O101" s="2980"/>
      <c r="P101" s="2989"/>
      <c r="Q101" s="2966"/>
      <c r="R101" s="2952"/>
      <c r="S101" s="2952"/>
      <c r="T101" s="2952"/>
      <c r="U101" s="2952"/>
      <c r="V101" s="2952"/>
      <c r="W101" s="2952"/>
      <c r="X101" s="2952"/>
      <c r="Y101" s="2952"/>
      <c r="Z101" s="2952"/>
      <c r="AA101" s="2952"/>
      <c r="AB101" s="2952"/>
      <c r="AC101" s="2952"/>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89"/>
      <c r="B103" s="493" t="s">
        <v>2433</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28" customFormat="1">
      <c r="A104" s="548"/>
      <c r="B104" s="549"/>
      <c r="C104" s="550"/>
      <c r="D104" s="550"/>
      <c r="E104" s="550"/>
      <c r="F104" s="550"/>
      <c r="G104" s="550"/>
      <c r="H104" s="550"/>
      <c r="I104" s="550"/>
      <c r="J104" s="551"/>
      <c r="K104" s="551"/>
      <c r="L104" s="552"/>
      <c r="M104" s="553"/>
      <c r="N104" s="2982"/>
      <c r="O104" s="2982"/>
      <c r="P104" s="2990"/>
      <c r="Q104" s="2973"/>
      <c r="R104" s="2974"/>
      <c r="S104" s="2974"/>
      <c r="T104" s="2974"/>
      <c r="U104" s="2974"/>
      <c r="V104" s="2974"/>
      <c r="W104" s="2974"/>
      <c r="X104" s="2974"/>
      <c r="Y104" s="2974"/>
      <c r="Z104" s="2974"/>
      <c r="AA104" s="2974"/>
      <c r="AB104" s="2974"/>
      <c r="AC104" s="2974"/>
    </row>
    <row r="105" spans="1:29" s="428" customFormat="1" ht="15.75" thickBot="1">
      <c r="A105" s="508"/>
      <c r="B105" s="498"/>
      <c r="C105" s="515"/>
      <c r="D105" s="491"/>
      <c r="E105" s="491"/>
      <c r="F105" s="491"/>
      <c r="G105" s="491"/>
      <c r="H105" s="491"/>
      <c r="I105" s="491"/>
      <c r="J105" s="491"/>
      <c r="K105" s="491"/>
      <c r="L105" s="491"/>
      <c r="M105" s="492"/>
      <c r="N105" s="2981"/>
      <c r="O105" s="2981"/>
      <c r="P105" s="2990"/>
      <c r="Q105" s="2973"/>
      <c r="R105" s="2974"/>
      <c r="S105" s="2974"/>
      <c r="T105" s="2974"/>
      <c r="U105" s="2974"/>
      <c r="V105" s="2974"/>
      <c r="W105" s="2974"/>
      <c r="X105" s="2974"/>
      <c r="Y105" s="2974"/>
      <c r="Z105" s="2974"/>
      <c r="AA105" s="2974"/>
      <c r="AB105" s="2974"/>
      <c r="AC105" s="2974"/>
    </row>
    <row r="106" spans="1:29" ht="15" thickTop="1">
      <c r="A106" s="554"/>
      <c r="B106" s="493" t="s">
        <v>2434</v>
      </c>
      <c r="C106" s="509"/>
      <c r="D106" s="509"/>
      <c r="E106" s="538"/>
      <c r="F106" s="538"/>
      <c r="G106" s="538"/>
      <c r="H106" s="538"/>
      <c r="I106" s="538"/>
      <c r="J106" s="538"/>
      <c r="K106" s="539"/>
      <c r="L106" s="540"/>
      <c r="M106" s="541"/>
      <c r="N106" s="2980"/>
      <c r="O106" s="2980"/>
      <c r="P106" s="2989"/>
      <c r="Q106" s="2966"/>
      <c r="R106" s="2952"/>
      <c r="S106" s="2952"/>
      <c r="T106" s="2952"/>
      <c r="U106" s="2952"/>
      <c r="V106" s="2952"/>
      <c r="W106" s="2952"/>
      <c r="X106" s="2952"/>
      <c r="Y106" s="2952"/>
      <c r="Z106" s="2952"/>
      <c r="AA106" s="2952"/>
      <c r="AB106" s="2952"/>
      <c r="AC106" s="2952"/>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4"/>
      <c r="B108" s="493" t="s">
        <v>2436</v>
      </c>
      <c r="C108" s="509"/>
      <c r="D108" s="509"/>
      <c r="E108" s="509"/>
      <c r="F108" s="538"/>
      <c r="G108" s="538"/>
      <c r="H108" s="538"/>
      <c r="I108" s="538"/>
      <c r="J108" s="538"/>
      <c r="K108" s="539"/>
      <c r="L108" s="540"/>
      <c r="M108" s="541"/>
      <c r="N108" s="2980"/>
      <c r="O108" s="2980"/>
      <c r="P108" s="2989"/>
      <c r="Q108" s="2966"/>
      <c r="R108" s="2952"/>
      <c r="S108" s="2952"/>
      <c r="T108" s="2952"/>
      <c r="U108" s="2952"/>
      <c r="V108" s="2952"/>
      <c r="W108" s="2952"/>
      <c r="X108" s="2952"/>
      <c r="Y108" s="2952"/>
      <c r="Z108" s="2952"/>
      <c r="AA108" s="2952"/>
      <c r="AB108" s="2952"/>
      <c r="AC108" s="2952"/>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4"/>
      <c r="B110" s="493" t="s">
        <v>1877</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80"/>
      <c r="O110" s="2980"/>
      <c r="P110" s="2989"/>
      <c r="Q110" s="2966"/>
      <c r="R110" s="2952"/>
      <c r="S110" s="2952"/>
      <c r="T110" s="2952"/>
      <c r="U110" s="2952"/>
      <c r="V110" s="2952"/>
      <c r="W110" s="2952"/>
      <c r="X110" s="2952"/>
      <c r="Y110" s="2952"/>
      <c r="Z110" s="2952"/>
      <c r="AA110" s="2952"/>
      <c r="AB110" s="2952"/>
      <c r="AC110" s="2952"/>
    </row>
    <row r="111" spans="1:29">
      <c r="A111" s="554"/>
      <c r="B111" s="501"/>
      <c r="C111" s="558">
        <v>0.5</v>
      </c>
      <c r="D111" s="558">
        <v>0.6</v>
      </c>
      <c r="E111" s="558">
        <v>0.7</v>
      </c>
      <c r="F111" s="558">
        <v>0.8</v>
      </c>
      <c r="G111" s="558">
        <v>0.9</v>
      </c>
      <c r="H111" s="558">
        <v>1.0001</v>
      </c>
      <c r="I111" s="577"/>
      <c r="J111" s="577"/>
      <c r="K111" s="578"/>
      <c r="L111" s="579"/>
      <c r="M111" s="580"/>
      <c r="N111" s="2980"/>
      <c r="O111" s="2980"/>
      <c r="P111" s="2989"/>
      <c r="Q111" s="2966"/>
      <c r="R111" s="2952"/>
      <c r="S111" s="2952"/>
      <c r="T111" s="2952"/>
      <c r="U111" s="2952"/>
      <c r="V111" s="2952"/>
      <c r="W111" s="2952"/>
      <c r="X111" s="2952"/>
      <c r="Y111" s="2952"/>
      <c r="Z111" s="2952"/>
      <c r="AA111" s="2952"/>
      <c r="AB111" s="2952"/>
      <c r="AC111" s="2952"/>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81"/>
      <c r="O112" s="2981"/>
      <c r="P112" s="2989"/>
      <c r="Q112" s="2966"/>
      <c r="R112" s="2952"/>
      <c r="S112" s="2952"/>
      <c r="T112" s="2952"/>
      <c r="U112" s="2952"/>
      <c r="V112" s="2952"/>
      <c r="W112" s="2952"/>
      <c r="X112" s="2952"/>
      <c r="Y112" s="2952"/>
      <c r="Z112" s="2952"/>
      <c r="AA112" s="2952"/>
      <c r="AB112" s="2952"/>
      <c r="AC112" s="2952"/>
    </row>
    <row r="113" spans="1:29" s="428" customFormat="1" ht="15" thickTop="1">
      <c r="A113" s="548"/>
      <c r="B113" s="493" t="s">
        <v>2520</v>
      </c>
      <c r="C113" s="509"/>
      <c r="D113" s="509"/>
      <c r="E113" s="509"/>
      <c r="F113" s="509"/>
      <c r="G113" s="509"/>
      <c r="H113" s="538"/>
      <c r="I113" s="538"/>
      <c r="J113" s="538"/>
      <c r="K113" s="539"/>
      <c r="L113" s="540"/>
      <c r="M113" s="541"/>
      <c r="N113" s="2982"/>
      <c r="O113" s="2982"/>
      <c r="P113" s="2990"/>
      <c r="Q113" s="2973"/>
      <c r="R113" s="2974"/>
      <c r="S113" s="2974"/>
      <c r="T113" s="2974"/>
      <c r="U113" s="2974"/>
      <c r="V113" s="2974"/>
      <c r="W113" s="2974"/>
      <c r="X113" s="2974"/>
      <c r="Y113" s="2974"/>
      <c r="Z113" s="2974"/>
      <c r="AA113" s="2974"/>
      <c r="AB113" s="2974"/>
      <c r="AC113" s="2974"/>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4"/>
      <c r="B115" s="493" t="s">
        <v>2437</v>
      </c>
      <c r="C115" s="509"/>
      <c r="D115" s="509"/>
      <c r="E115" s="538"/>
      <c r="F115" s="538"/>
      <c r="G115" s="538"/>
      <c r="H115" s="538"/>
      <c r="I115" s="538"/>
      <c r="J115" s="538"/>
      <c r="K115" s="539"/>
      <c r="L115" s="540"/>
      <c r="M115" s="541"/>
      <c r="N115" s="2980"/>
      <c r="O115" s="2980"/>
      <c r="P115" s="2989"/>
      <c r="Q115" s="2966"/>
      <c r="R115" s="2952"/>
      <c r="S115" s="2952"/>
      <c r="T115" s="2952"/>
      <c r="U115" s="2952"/>
      <c r="V115" s="2952"/>
      <c r="W115" s="2952"/>
      <c r="X115" s="2952"/>
      <c r="Y115" s="2952"/>
      <c r="Z115" s="2952"/>
      <c r="AA115" s="2952"/>
      <c r="AB115" s="2952"/>
      <c r="AC115" s="2952"/>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4"/>
      <c r="B117" s="493" t="s">
        <v>2438</v>
      </c>
      <c r="C117" s="509"/>
      <c r="D117" s="509"/>
      <c r="E117" s="509"/>
      <c r="F117" s="509"/>
      <c r="G117" s="509"/>
      <c r="H117" s="538"/>
      <c r="I117" s="538"/>
      <c r="J117" s="538"/>
      <c r="K117" s="539"/>
      <c r="L117" s="540"/>
      <c r="M117" s="541"/>
      <c r="N117" s="2980"/>
      <c r="O117" s="2980"/>
      <c r="P117" s="2989"/>
      <c r="Q117" s="2966"/>
      <c r="R117" s="2952"/>
      <c r="S117" s="2952"/>
      <c r="T117" s="2952"/>
      <c r="U117" s="2952"/>
      <c r="V117" s="2952"/>
      <c r="W117" s="2952"/>
      <c r="X117" s="2952"/>
      <c r="Y117" s="2952"/>
      <c r="Z117" s="2952"/>
      <c r="AA117" s="2952"/>
      <c r="AB117" s="2952"/>
      <c r="AC117" s="2952"/>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81"/>
      <c r="O118" s="2981"/>
      <c r="P118" s="2989"/>
      <c r="Q118" s="2966"/>
      <c r="R118" s="2952"/>
      <c r="S118" s="2952"/>
      <c r="T118" s="2952"/>
      <c r="U118" s="2952"/>
      <c r="V118" s="2952"/>
      <c r="W118" s="2952"/>
      <c r="X118" s="2952"/>
      <c r="Y118" s="2952"/>
      <c r="Z118" s="2952"/>
      <c r="AA118" s="2952"/>
      <c r="AB118" s="2952"/>
      <c r="AC118" s="2952"/>
    </row>
    <row r="119" spans="1:29" ht="15" thickTop="1">
      <c r="A119" s="554"/>
      <c r="B119" s="590" t="s">
        <v>2521</v>
      </c>
      <c r="C119" s="538"/>
      <c r="D119" s="538"/>
      <c r="E119" s="538"/>
      <c r="F119" s="538"/>
      <c r="G119" s="538"/>
      <c r="H119" s="538"/>
      <c r="I119" s="538"/>
      <c r="J119" s="538"/>
      <c r="K119" s="538"/>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81"/>
      <c r="O120" s="2981"/>
      <c r="P120" s="2989"/>
      <c r="Q120" s="2966"/>
      <c r="R120" s="2952"/>
      <c r="S120" s="2952"/>
      <c r="T120" s="2952"/>
      <c r="U120" s="2952"/>
      <c r="V120" s="2952"/>
      <c r="W120" s="2952"/>
      <c r="X120" s="2952"/>
      <c r="Y120" s="2952"/>
      <c r="Z120" s="2952"/>
      <c r="AA120" s="2952"/>
      <c r="AB120" s="2952"/>
      <c r="AC120" s="2952"/>
    </row>
    <row r="121" spans="1:29" s="428" customFormat="1" ht="15" thickTop="1">
      <c r="A121" s="548"/>
      <c r="B121" s="493" t="s">
        <v>2504</v>
      </c>
      <c r="C121" s="509"/>
      <c r="D121" s="509"/>
      <c r="E121" s="509"/>
      <c r="F121" s="538"/>
      <c r="G121" s="510"/>
      <c r="H121" s="510"/>
      <c r="I121" s="510"/>
      <c r="J121" s="510"/>
      <c r="K121" s="510"/>
      <c r="L121" s="511"/>
      <c r="M121" s="512"/>
      <c r="N121" s="2982"/>
      <c r="O121" s="2982"/>
      <c r="P121" s="2990"/>
      <c r="Q121" s="2973"/>
      <c r="R121" s="2974"/>
      <c r="S121" s="2974"/>
      <c r="T121" s="2974"/>
      <c r="U121" s="2974"/>
      <c r="V121" s="2974"/>
      <c r="W121" s="2974"/>
      <c r="X121" s="2974"/>
      <c r="Y121" s="2974"/>
      <c r="Z121" s="2974"/>
      <c r="AA121" s="2974"/>
      <c r="AB121" s="2974"/>
      <c r="AC121" s="2974"/>
    </row>
    <row r="122" spans="1:29" s="428" customFormat="1" ht="15.75" thickBot="1">
      <c r="A122" s="508"/>
      <c r="B122" s="490"/>
      <c r="C122" s="515"/>
      <c r="D122" s="515"/>
      <c r="E122" s="515"/>
      <c r="F122" s="515"/>
      <c r="G122" s="515"/>
      <c r="H122" s="515"/>
      <c r="I122" s="515"/>
      <c r="J122" s="515"/>
      <c r="K122" s="515"/>
      <c r="L122" s="515"/>
      <c r="M122" s="515"/>
      <c r="N122" s="2982"/>
      <c r="O122" s="2982"/>
      <c r="P122" s="2990"/>
      <c r="Q122" s="2973"/>
      <c r="R122" s="2974"/>
      <c r="S122" s="2974"/>
      <c r="T122" s="2974"/>
      <c r="U122" s="2974"/>
      <c r="V122" s="2974"/>
      <c r="W122" s="2974"/>
      <c r="X122" s="2974"/>
      <c r="Y122" s="2974"/>
      <c r="Z122" s="2974"/>
      <c r="AA122" s="2974"/>
      <c r="AB122" s="2974"/>
      <c r="AC122" s="2974"/>
    </row>
    <row r="123" spans="1:29" ht="15" thickTop="1">
      <c r="A123" s="554"/>
      <c r="B123" s="493" t="s">
        <v>2440</v>
      </c>
      <c r="C123" s="509"/>
      <c r="D123" s="509"/>
      <c r="E123" s="509"/>
      <c r="F123" s="538"/>
      <c r="G123" s="538"/>
      <c r="H123" s="538"/>
      <c r="I123" s="538"/>
      <c r="J123" s="538"/>
      <c r="K123" s="539"/>
      <c r="L123" s="540"/>
      <c r="M123" s="541"/>
      <c r="N123" s="2980"/>
      <c r="O123" s="2980"/>
      <c r="P123" s="2989"/>
      <c r="Q123" s="2966"/>
      <c r="R123" s="2952"/>
      <c r="S123" s="2952"/>
      <c r="T123" s="2952"/>
      <c r="U123" s="2952"/>
      <c r="V123" s="2952"/>
      <c r="W123" s="2952"/>
      <c r="X123" s="2952"/>
      <c r="Y123" s="2952"/>
      <c r="Z123" s="2952"/>
      <c r="AA123" s="2952"/>
      <c r="AB123" s="2952"/>
      <c r="AC123" s="2952"/>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4"/>
      <c r="B125" s="493" t="s">
        <v>2441</v>
      </c>
      <c r="C125" s="533" t="s">
        <v>2417</v>
      </c>
      <c r="D125" s="533" t="s">
        <v>2418</v>
      </c>
      <c r="E125" s="533" t="s">
        <v>2419</v>
      </c>
      <c r="F125" s="533" t="s">
        <v>2420</v>
      </c>
      <c r="G125" s="533" t="s">
        <v>2421</v>
      </c>
      <c r="H125" s="494"/>
      <c r="I125" s="494"/>
      <c r="J125" s="494"/>
      <c r="K125" s="495"/>
      <c r="L125" s="496"/>
      <c r="M125" s="497"/>
      <c r="N125" s="2980"/>
      <c r="O125" s="2980"/>
      <c r="P125" s="2990"/>
      <c r="Q125" s="2966"/>
      <c r="R125" s="2952"/>
      <c r="S125" s="2952"/>
      <c r="T125" s="2952"/>
      <c r="U125" s="2952"/>
      <c r="V125" s="2952"/>
      <c r="W125" s="2952"/>
      <c r="X125" s="2952"/>
      <c r="Y125" s="2952"/>
      <c r="Z125" s="2952"/>
      <c r="AA125" s="2952"/>
      <c r="AB125" s="2952"/>
      <c r="AC125" s="2952"/>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81"/>
      <c r="O126" s="2981"/>
      <c r="P126" s="2989"/>
      <c r="Q126" s="2966"/>
      <c r="R126" s="2952"/>
      <c r="S126" s="2952"/>
      <c r="T126" s="2952"/>
      <c r="U126" s="2952"/>
      <c r="V126" s="2952"/>
      <c r="W126" s="2952"/>
      <c r="X126" s="2952"/>
      <c r="Y126" s="2952"/>
      <c r="Z126" s="2952"/>
      <c r="AA126" s="2952"/>
      <c r="AB126" s="2952"/>
      <c r="AC126" s="2952"/>
    </row>
    <row r="127" spans="1:29" s="428" customFormat="1" ht="15" thickTop="1">
      <c r="A127" s="548"/>
      <c r="B127" s="493">
        <f>B45</f>
        <v>111</v>
      </c>
      <c r="C127" s="509"/>
      <c r="D127" s="509"/>
      <c r="E127" s="509"/>
      <c r="F127" s="509"/>
      <c r="G127" s="509"/>
      <c r="H127" s="510"/>
      <c r="I127" s="510"/>
      <c r="J127" s="510"/>
      <c r="K127" s="510"/>
      <c r="L127" s="511"/>
      <c r="M127" s="512"/>
      <c r="N127" s="2982"/>
      <c r="O127" s="2982"/>
      <c r="P127" s="2990"/>
      <c r="Q127" s="2973"/>
      <c r="R127" s="2974"/>
      <c r="S127" s="2974"/>
      <c r="T127" s="2974"/>
      <c r="U127" s="2974"/>
      <c r="V127" s="2974"/>
      <c r="W127" s="2974"/>
      <c r="X127" s="2974"/>
      <c r="Y127" s="2974"/>
      <c r="Z127" s="2974"/>
      <c r="AA127" s="2974"/>
      <c r="AB127" s="2974"/>
      <c r="AC127" s="2974"/>
    </row>
    <row r="128" spans="1:29" s="428" customFormat="1" ht="15.75" thickBot="1">
      <c r="A128" s="508"/>
      <c r="B128" s="498"/>
      <c r="C128" s="515"/>
      <c r="D128" s="491"/>
      <c r="E128" s="491"/>
      <c r="F128" s="491"/>
      <c r="G128" s="515"/>
      <c r="H128" s="517"/>
      <c r="I128" s="517"/>
      <c r="J128" s="517"/>
      <c r="K128" s="517"/>
      <c r="L128" s="517"/>
      <c r="M128" s="518"/>
      <c r="N128" s="2982"/>
      <c r="O128" s="2982"/>
      <c r="P128" s="2990"/>
      <c r="Q128" s="2973"/>
      <c r="R128" s="2974"/>
      <c r="S128" s="2974"/>
      <c r="T128" s="2974"/>
      <c r="U128" s="2974"/>
      <c r="V128" s="2974"/>
      <c r="W128" s="2974"/>
      <c r="X128" s="2974"/>
      <c r="Y128" s="2974"/>
      <c r="Z128" s="2974"/>
      <c r="AA128" s="2974"/>
      <c r="AB128" s="2974"/>
      <c r="AC128" s="2974"/>
    </row>
    <row r="129" spans="1:29" ht="15" thickTop="1">
      <c r="A129" s="554"/>
      <c r="B129" s="493">
        <f>B46</f>
        <v>111</v>
      </c>
      <c r="C129" s="509"/>
      <c r="D129" s="509"/>
      <c r="E129" s="509"/>
      <c r="F129" s="509"/>
      <c r="G129" s="538"/>
      <c r="H129" s="538"/>
      <c r="I129" s="538"/>
      <c r="J129" s="538"/>
      <c r="K129" s="539"/>
      <c r="L129" s="540"/>
      <c r="M129" s="541"/>
      <c r="N129" s="2980"/>
      <c r="O129" s="2980"/>
      <c r="P129" s="2989"/>
      <c r="Q129" s="2966"/>
      <c r="R129" s="2952"/>
      <c r="S129" s="2952"/>
      <c r="T129" s="2952"/>
      <c r="U129" s="2952"/>
      <c r="V129" s="2952"/>
      <c r="W129" s="2952"/>
      <c r="X129" s="2952"/>
      <c r="Y129" s="2952"/>
      <c r="Z129" s="2952"/>
      <c r="AA129" s="2952"/>
      <c r="AB129" s="2952"/>
      <c r="AC129" s="2952"/>
    </row>
    <row r="130" spans="1:29" ht="15.75" thickBot="1">
      <c r="A130" s="489"/>
      <c r="B130" s="498"/>
      <c r="C130" s="515"/>
      <c r="D130" s="515"/>
      <c r="E130" s="515"/>
      <c r="F130" s="515"/>
      <c r="G130" s="491"/>
      <c r="H130" s="491"/>
      <c r="I130" s="491"/>
      <c r="J130" s="491"/>
      <c r="K130" s="491"/>
      <c r="L130" s="491"/>
      <c r="M130" s="492"/>
      <c r="N130" s="2981"/>
      <c r="O130" s="2981"/>
      <c r="P130" s="2989"/>
      <c r="Q130" s="2966"/>
      <c r="R130" s="2952"/>
      <c r="S130" s="2952"/>
      <c r="T130" s="2952"/>
      <c r="U130" s="2952"/>
      <c r="V130" s="2952"/>
      <c r="W130" s="2952"/>
      <c r="X130" s="2952"/>
      <c r="Y130" s="2952"/>
      <c r="Z130" s="2952"/>
      <c r="AA130" s="2952"/>
      <c r="AB130" s="2952"/>
      <c r="AC130" s="2952"/>
    </row>
    <row r="131" spans="1:29" ht="15" thickTop="1">
      <c r="A131" s="554"/>
      <c r="B131" s="501">
        <f>B47</f>
        <v>111</v>
      </c>
      <c r="C131" s="478"/>
      <c r="D131" s="478"/>
      <c r="E131" s="478"/>
      <c r="F131" s="478"/>
      <c r="G131" s="542"/>
      <c r="H131" s="542"/>
      <c r="I131" s="542"/>
      <c r="J131" s="542"/>
      <c r="K131" s="478"/>
      <c r="L131" s="479"/>
      <c r="M131" s="545"/>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4"/>
      <c r="C132" s="525"/>
      <c r="D132" s="525"/>
      <c r="E132" s="525"/>
      <c r="F132" s="525"/>
      <c r="G132" s="546"/>
      <c r="H132" s="546"/>
      <c r="I132" s="546"/>
      <c r="J132" s="546"/>
      <c r="K132" s="546"/>
      <c r="L132" s="546"/>
      <c r="M132" s="547"/>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2348</v>
      </c>
      <c r="B1" s="2141" t="s">
        <v>2522</v>
      </c>
      <c r="C1" s="1389" t="s">
        <v>2350</v>
      </c>
      <c r="D1" s="1390"/>
      <c r="E1" s="1399"/>
      <c r="F1" s="2063"/>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6" customFormat="1" ht="28.5" customHeight="1" thickTop="1">
      <c r="A2" s="1386" t="s">
        <v>2150</v>
      </c>
      <c r="B2" s="1323" t="e">
        <f ca="1">IF(C2="——",ROUND(C43*D3/10000,0),ROUND(C43*D3/10000,0)-D2)</f>
        <v>#DIV/0!</v>
      </c>
      <c r="C2" s="2065"/>
      <c r="D2" s="1035" t="e">
        <f ca="1">SUMIF(INDIRECT("'"&amp;F2&amp;"'"&amp;"!A:A"),"承租人权益价值",INDIRECT("'"&amp;F2&amp;"'"&amp;"!c:c"))</f>
        <v>#REF!</v>
      </c>
      <c r="E2" s="2066" t="s">
        <v>2151</v>
      </c>
      <c r="F2" s="2067"/>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6" customFormat="1" ht="28.5" customHeight="1" thickBot="1">
      <c r="A3" s="207" t="s">
        <v>2152</v>
      </c>
      <c r="B3" s="564" t="e">
        <f ca="1">IF(C2="——",C43,ROUND(B2*10000/D3,0))</f>
        <v>#DIV/0!</v>
      </c>
      <c r="C3" s="358" t="s">
        <v>2464</v>
      </c>
      <c r="D3" s="357">
        <f>IF(D1="",'数据-汇总表'!E3,SUMIF('数据-汇总表'!$C19:$C33,D1,'数据-汇总表'!$E19:$E33))</f>
        <v>160498.87</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9" t="s">
        <v>2465</v>
      </c>
      <c r="B4" s="360"/>
      <c r="C4" s="3296" t="s">
        <v>2466</v>
      </c>
      <c r="D4" s="3297"/>
      <c r="E4" s="3298" t="s">
        <v>2467</v>
      </c>
      <c r="F4" s="3299"/>
      <c r="G4" s="3296" t="s">
        <v>2468</v>
      </c>
      <c r="H4" s="3297"/>
      <c r="I4" s="3296" t="s">
        <v>2469</v>
      </c>
      <c r="J4" s="3297"/>
      <c r="K4" s="565" t="s">
        <v>2470</v>
      </c>
      <c r="L4" s="1041"/>
      <c r="M4" s="1042"/>
      <c r="N4" s="1042"/>
      <c r="O4" s="1042"/>
      <c r="P4" s="3300" t="s">
        <v>2471</v>
      </c>
      <c r="Q4" s="3301"/>
      <c r="R4" s="3283" t="s">
        <v>2467</v>
      </c>
      <c r="S4" s="3284"/>
      <c r="T4" s="3283" t="s">
        <v>2468</v>
      </c>
      <c r="U4" s="3284"/>
      <c r="V4" s="3308" t="s">
        <v>2469</v>
      </c>
      <c r="W4" s="3308"/>
      <c r="X4" s="1538"/>
      <c r="Y4" s="3283" t="s">
        <v>2471</v>
      </c>
      <c r="Z4" s="3284"/>
      <c r="AA4" s="3278" t="s">
        <v>2467</v>
      </c>
      <c r="AB4" s="3279" t="s">
        <v>2468</v>
      </c>
      <c r="AC4" s="3278" t="s">
        <v>2469</v>
      </c>
    </row>
    <row r="5" spans="1:29" ht="15">
      <c r="A5" s="362"/>
      <c r="B5" s="363"/>
      <c r="C5" s="3289" t="s">
        <v>2362</v>
      </c>
      <c r="D5" s="3290"/>
      <c r="E5" s="3287" t="s">
        <v>2363</v>
      </c>
      <c r="F5" s="3288"/>
      <c r="G5" s="3289" t="s">
        <v>2364</v>
      </c>
      <c r="H5" s="3290"/>
      <c r="I5" s="3289" t="s">
        <v>2365</v>
      </c>
      <c r="J5" s="3290"/>
      <c r="K5" s="565"/>
      <c r="L5" s="1041"/>
      <c r="M5" s="1042"/>
      <c r="N5" s="1042"/>
      <c r="O5" s="1042"/>
      <c r="P5" s="3302"/>
      <c r="Q5" s="3303"/>
      <c r="R5" s="3285"/>
      <c r="S5" s="3286"/>
      <c r="T5" s="3285"/>
      <c r="U5" s="3286"/>
      <c r="V5" s="3308"/>
      <c r="W5" s="3308"/>
      <c r="X5" s="1538"/>
      <c r="Y5" s="3285"/>
      <c r="Z5" s="3286"/>
      <c r="AA5" s="3279"/>
      <c r="AB5" s="3279"/>
      <c r="AC5" s="3279"/>
    </row>
    <row r="6" spans="1:29" ht="15.75" thickBot="1">
      <c r="A6" s="364"/>
      <c r="B6" s="365"/>
      <c r="C6" s="3291" t="s">
        <v>2366</v>
      </c>
      <c r="D6" s="3292"/>
      <c r="E6" s="3293" t="s">
        <v>2366</v>
      </c>
      <c r="F6" s="3294"/>
      <c r="G6" s="3291" t="s">
        <v>2366</v>
      </c>
      <c r="H6" s="3292"/>
      <c r="I6" s="3291" t="s">
        <v>2366</v>
      </c>
      <c r="J6" s="3292"/>
      <c r="K6" s="565" t="s">
        <v>2367</v>
      </c>
      <c r="L6" s="1041"/>
      <c r="M6" s="1042"/>
      <c r="N6" s="1042"/>
      <c r="O6" s="1042"/>
      <c r="P6" s="3304"/>
      <c r="Q6" s="3305"/>
      <c r="R6" s="3285"/>
      <c r="S6" s="3286"/>
      <c r="T6" s="3306"/>
      <c r="U6" s="3307"/>
      <c r="V6" s="3308"/>
      <c r="W6" s="3308"/>
      <c r="X6" s="1538"/>
      <c r="Y6" s="3306"/>
      <c r="Z6" s="3307"/>
      <c r="AA6" s="3280"/>
      <c r="AB6" s="3280"/>
      <c r="AC6" s="3280"/>
    </row>
    <row r="7" spans="1:29" s="113" customFormat="1" ht="15.75" thickBot="1">
      <c r="A7" s="366" t="s">
        <v>2368</v>
      </c>
      <c r="B7" s="367"/>
      <c r="C7" s="368">
        <f>'数据-取费表'!B2</f>
        <v>44141</v>
      </c>
      <c r="D7" s="369">
        <v>100</v>
      </c>
      <c r="E7" s="370"/>
      <c r="F7" s="371">
        <f>SUMIF(52:52,YEAR(E7)&amp;"-"&amp;MONTH(E7),53:53)</f>
        <v>0</v>
      </c>
      <c r="G7" s="370"/>
      <c r="H7" s="369">
        <f>SUMIF(52:52,YEAR(G7)&amp;"-"&amp;MONTH(G7),53:53)</f>
        <v>0</v>
      </c>
      <c r="I7" s="370"/>
      <c r="J7" s="369">
        <f>SUMIF(52:52,YEAR(I7)&amp;"-"&amp;MONTH(I7),53:53)</f>
        <v>0</v>
      </c>
      <c r="K7" s="566"/>
      <c r="L7" s="1043"/>
      <c r="M7" s="1044"/>
      <c r="N7" s="1044"/>
      <c r="O7" s="1044"/>
      <c r="P7" s="3281" t="s">
        <v>2369</v>
      </c>
      <c r="Q7" s="3309"/>
      <c r="R7" s="707" t="s">
        <v>17</v>
      </c>
      <c r="S7" s="708">
        <f t="shared" ref="S7:S15" si="0">F7</f>
        <v>0</v>
      </c>
      <c r="T7" s="707" t="s">
        <v>17</v>
      </c>
      <c r="U7" s="708">
        <f t="shared" ref="U7:U15" si="1">H7</f>
        <v>0</v>
      </c>
      <c r="V7" s="707" t="s">
        <v>17</v>
      </c>
      <c r="W7" s="708">
        <f t="shared" ref="W7:W15" si="2">J7</f>
        <v>0</v>
      </c>
      <c r="X7" s="709"/>
      <c r="Y7" s="3281" t="s">
        <v>2369</v>
      </c>
      <c r="Z7" s="3282"/>
      <c r="AA7" s="710" t="e">
        <f>D7/F7</f>
        <v>#DIV/0!</v>
      </c>
      <c r="AB7" s="710" t="e">
        <f>D7/H7</f>
        <v>#DIV/0!</v>
      </c>
      <c r="AC7" s="710" t="e">
        <f>D7/J7</f>
        <v>#DIV/0!</v>
      </c>
    </row>
    <row r="8" spans="1:29" s="113" customFormat="1" ht="15.75" thickBot="1">
      <c r="A8" s="366" t="s">
        <v>2370</v>
      </c>
      <c r="B8" s="367"/>
      <c r="C8" s="372" t="s">
        <v>2371</v>
      </c>
      <c r="D8" s="369">
        <v>100</v>
      </c>
      <c r="E8" s="372"/>
      <c r="F8" s="371">
        <f>SUMIF(55:55,E8,56:56)-SUMIF(55:55,C8,56:56)+100</f>
        <v>0</v>
      </c>
      <c r="G8" s="372"/>
      <c r="H8" s="369">
        <f>SUMIF(55:55,G8,56:56)-SUMIF(55:55,C8,56:56)+100</f>
        <v>0</v>
      </c>
      <c r="I8" s="372"/>
      <c r="J8" s="369">
        <f>SUMIF(55:55,I8,56:56)-SUMIF(55:55,C8,56:56)+100</f>
        <v>0</v>
      </c>
      <c r="K8" s="566"/>
      <c r="L8" s="1043"/>
      <c r="M8" s="1044"/>
      <c r="N8" s="1044"/>
      <c r="O8" s="1044"/>
      <c r="P8" s="3281" t="s">
        <v>2372</v>
      </c>
      <c r="Q8" s="3282"/>
      <c r="R8" s="707" t="s">
        <v>17</v>
      </c>
      <c r="S8" s="708">
        <f t="shared" si="0"/>
        <v>0</v>
      </c>
      <c r="T8" s="707" t="s">
        <v>17</v>
      </c>
      <c r="U8" s="708">
        <f t="shared" si="1"/>
        <v>0</v>
      </c>
      <c r="V8" s="707" t="s">
        <v>17</v>
      </c>
      <c r="W8" s="708">
        <f t="shared" si="2"/>
        <v>0</v>
      </c>
      <c r="X8" s="709"/>
      <c r="Y8" s="3281" t="s">
        <v>2372</v>
      </c>
      <c r="Z8" s="3282"/>
      <c r="AA8" s="710" t="e">
        <f t="shared" ref="AA8:AA40" si="3">D8/F8</f>
        <v>#DIV/0!</v>
      </c>
      <c r="AB8" s="710" t="e">
        <f t="shared" ref="AB8:AB40" si="4">D8/H8</f>
        <v>#DIV/0!</v>
      </c>
      <c r="AC8" s="710" t="e">
        <f t="shared" ref="AC8:AC40" si="5">D8/J8</f>
        <v>#DIV/0!</v>
      </c>
    </row>
    <row r="9" spans="1:29" s="113" customFormat="1">
      <c r="A9" s="373" t="s">
        <v>2373</v>
      </c>
      <c r="B9" s="67" t="s">
        <v>2374</v>
      </c>
      <c r="C9" s="374"/>
      <c r="D9" s="129">
        <v>100</v>
      </c>
      <c r="E9" s="377"/>
      <c r="F9" s="129">
        <f>SUMIF(57:57,E9,58:58)-SUMIF(57:57,C9,58:58)+100</f>
        <v>100</v>
      </c>
      <c r="G9" s="375"/>
      <c r="H9" s="129">
        <f>SUMIF(57:57,G9,58:58)-SUMIF(57:57,C9,58:58)+100</f>
        <v>100</v>
      </c>
      <c r="I9" s="375"/>
      <c r="J9" s="129">
        <f>SUMIF(57:57,I9,58:58)-SUMIF(57:57,C9,58:58)+100</f>
        <v>100</v>
      </c>
      <c r="K9" s="566"/>
      <c r="L9" s="1043"/>
      <c r="M9" s="1044"/>
      <c r="N9" s="1044"/>
      <c r="O9" s="1045"/>
      <c r="P9" s="3295" t="s">
        <v>2375</v>
      </c>
      <c r="Q9" s="1526" t="str">
        <f t="shared" ref="Q9:Q15" si="6">B9</f>
        <v>用途</v>
      </c>
      <c r="R9" s="707" t="s">
        <v>17</v>
      </c>
      <c r="S9" s="708">
        <f t="shared" si="0"/>
        <v>100</v>
      </c>
      <c r="T9" s="707" t="s">
        <v>17</v>
      </c>
      <c r="U9" s="708">
        <f t="shared" si="1"/>
        <v>100</v>
      </c>
      <c r="V9" s="707" t="s">
        <v>17</v>
      </c>
      <c r="W9" s="708">
        <f t="shared" si="2"/>
        <v>100</v>
      </c>
      <c r="X9" s="709"/>
      <c r="Y9" s="3251" t="s">
        <v>2376</v>
      </c>
      <c r="Z9" s="55" t="str">
        <f t="shared" ref="Z9:Z15" si="7">Q9</f>
        <v>用途</v>
      </c>
      <c r="AA9" s="710">
        <f t="shared" si="3"/>
        <v>1</v>
      </c>
      <c r="AB9" s="710">
        <f t="shared" si="4"/>
        <v>1</v>
      </c>
      <c r="AC9" s="710">
        <f t="shared" si="5"/>
        <v>1</v>
      </c>
    </row>
    <row r="10" spans="1:29" s="384" customFormat="1" ht="27">
      <c r="A10" s="378"/>
      <c r="B10" s="379" t="s">
        <v>2377</v>
      </c>
      <c r="C10" s="380"/>
      <c r="D10" s="130">
        <v>100</v>
      </c>
      <c r="E10" s="380"/>
      <c r="F10" s="130">
        <f>SUMIF(59:59,E10,60:60)-SUMIF(59:59,C10,60:60)+100</f>
        <v>100</v>
      </c>
      <c r="G10" s="381"/>
      <c r="H10" s="130">
        <f>SUMIF(59:59,G10,60:60)-SUMIF(59:59,C10,60:60)+100</f>
        <v>100</v>
      </c>
      <c r="I10" s="380"/>
      <c r="J10" s="130">
        <f>SUMIF(59:59,I10,60:60)-SUMIF(59:59,C10,60:60)+100</f>
        <v>100</v>
      </c>
      <c r="K10" s="567"/>
      <c r="L10" s="1046"/>
      <c r="M10" s="1047"/>
      <c r="N10" s="1047"/>
      <c r="O10" s="1048"/>
      <c r="P10" s="3295"/>
      <c r="Q10" s="1526" t="str">
        <f t="shared" si="6"/>
        <v>土地使用年限（年）</v>
      </c>
      <c r="R10" s="707" t="s">
        <v>17</v>
      </c>
      <c r="S10" s="708">
        <f t="shared" si="0"/>
        <v>100</v>
      </c>
      <c r="T10" s="707" t="s">
        <v>17</v>
      </c>
      <c r="U10" s="708">
        <f t="shared" si="1"/>
        <v>100</v>
      </c>
      <c r="V10" s="707" t="s">
        <v>17</v>
      </c>
      <c r="W10" s="708">
        <f t="shared" si="2"/>
        <v>100</v>
      </c>
      <c r="X10" s="709"/>
      <c r="Y10" s="3251"/>
      <c r="Z10" s="55" t="str">
        <f t="shared" si="7"/>
        <v>土地使用年限（年）</v>
      </c>
      <c r="AA10" s="710">
        <f t="shared" si="3"/>
        <v>1</v>
      </c>
      <c r="AB10" s="710">
        <f t="shared" si="4"/>
        <v>1</v>
      </c>
      <c r="AC10" s="710">
        <f t="shared" si="5"/>
        <v>1</v>
      </c>
    </row>
    <row r="11" spans="1:29" ht="15">
      <c r="A11" s="385"/>
      <c r="B11" s="379" t="s">
        <v>2378</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49"/>
      <c r="M11" s="1042"/>
      <c r="N11" s="1042"/>
      <c r="O11" s="1050"/>
      <c r="P11" s="3295"/>
      <c r="Q11" s="1526" t="str">
        <f t="shared" si="6"/>
        <v>容积率</v>
      </c>
      <c r="R11" s="707" t="s">
        <v>17</v>
      </c>
      <c r="S11" s="708" t="e">
        <f t="shared" si="0"/>
        <v>#N/A</v>
      </c>
      <c r="T11" s="707" t="s">
        <v>17</v>
      </c>
      <c r="U11" s="708" t="e">
        <f t="shared" si="1"/>
        <v>#N/A</v>
      </c>
      <c r="V11" s="707" t="s">
        <v>17</v>
      </c>
      <c r="W11" s="708" t="e">
        <f t="shared" si="2"/>
        <v>#N/A</v>
      </c>
      <c r="X11" s="709"/>
      <c r="Y11" s="3251"/>
      <c r="Z11" s="55" t="str">
        <f t="shared" si="7"/>
        <v>容积率</v>
      </c>
      <c r="AA11" s="710" t="e">
        <f t="shared" si="3"/>
        <v>#N/A</v>
      </c>
      <c r="AB11" s="710" t="e">
        <f t="shared" si="4"/>
        <v>#N/A</v>
      </c>
      <c r="AC11" s="710" t="e">
        <f t="shared" si="5"/>
        <v>#N/A</v>
      </c>
    </row>
    <row r="12" spans="1:29" s="113" customFormat="1" ht="15">
      <c r="A12" s="388"/>
      <c r="B12" s="2077">
        <v>111</v>
      </c>
      <c r="C12" s="389"/>
      <c r="D12" s="390">
        <v>100</v>
      </c>
      <c r="E12" s="391"/>
      <c r="F12" s="130">
        <f>SUMIF(64:64,E12,65:65)-SUMIF(64:64,C12,65:65)+100</f>
        <v>100</v>
      </c>
      <c r="G12" s="2154"/>
      <c r="H12" s="130">
        <f>SUMIF(64:64,G12,65:65)-SUMIF(64:64,C12,65:65)+100</f>
        <v>100</v>
      </c>
      <c r="I12" s="426"/>
      <c r="J12" s="130">
        <f>SUMIF(64:64,I12,65:65)-SUMIF(64:64,C12,65:65)+100</f>
        <v>100</v>
      </c>
      <c r="K12" s="568"/>
      <c r="L12" s="1043"/>
      <c r="M12" s="1044"/>
      <c r="N12" s="1044"/>
      <c r="O12" s="1045"/>
      <c r="P12" s="3295"/>
      <c r="Q12" s="1526">
        <f t="shared" si="6"/>
        <v>111</v>
      </c>
      <c r="R12" s="707" t="s">
        <v>17</v>
      </c>
      <c r="S12" s="708">
        <f t="shared" si="0"/>
        <v>100</v>
      </c>
      <c r="T12" s="707" t="s">
        <v>17</v>
      </c>
      <c r="U12" s="708">
        <f t="shared" si="1"/>
        <v>100</v>
      </c>
      <c r="V12" s="707" t="s">
        <v>17</v>
      </c>
      <c r="W12" s="708">
        <f t="shared" si="2"/>
        <v>100</v>
      </c>
      <c r="X12" s="709"/>
      <c r="Y12" s="3251"/>
      <c r="Z12" s="55">
        <f t="shared" si="7"/>
        <v>111</v>
      </c>
      <c r="AA12" s="710">
        <f>D12/F12</f>
        <v>1</v>
      </c>
      <c r="AB12" s="710">
        <f>D12/H12</f>
        <v>1</v>
      </c>
      <c r="AC12" s="710">
        <f>D12/J12</f>
        <v>1</v>
      </c>
    </row>
    <row r="13" spans="1:29" ht="15">
      <c r="A13" s="385"/>
      <c r="B13" s="2077">
        <v>111</v>
      </c>
      <c r="C13" s="391"/>
      <c r="D13" s="392">
        <v>100</v>
      </c>
      <c r="E13" s="391"/>
      <c r="F13" s="130">
        <f>SUMIF(66:66,E13,67:67)-SUMIF(66:66,C13,67:67)+100</f>
        <v>100</v>
      </c>
      <c r="G13" s="2154"/>
      <c r="H13" s="392">
        <f>SUMIF(66:66,G13,67:67)-SUMIF(66:66,C13,67:67)+100</f>
        <v>100</v>
      </c>
      <c r="I13" s="426"/>
      <c r="J13" s="392">
        <f>SUMIF(66:66,I13,67:67)-SUMIF(66:66,C13,67:67)+100</f>
        <v>100</v>
      </c>
      <c r="K13" s="568"/>
      <c r="L13" s="1051"/>
      <c r="M13" s="1042"/>
      <c r="N13" s="1042"/>
      <c r="O13" s="1050"/>
      <c r="P13" s="3295"/>
      <c r="Q13" s="1526">
        <f t="shared" si="6"/>
        <v>111</v>
      </c>
      <c r="R13" s="707" t="s">
        <v>17</v>
      </c>
      <c r="S13" s="708">
        <f t="shared" si="0"/>
        <v>100</v>
      </c>
      <c r="T13" s="707" t="s">
        <v>17</v>
      </c>
      <c r="U13" s="708">
        <f t="shared" si="1"/>
        <v>100</v>
      </c>
      <c r="V13" s="707" t="s">
        <v>17</v>
      </c>
      <c r="W13" s="708">
        <f t="shared" si="2"/>
        <v>100</v>
      </c>
      <c r="X13" s="709"/>
      <c r="Y13" s="3251"/>
      <c r="Z13" s="55">
        <f t="shared" si="7"/>
        <v>111</v>
      </c>
      <c r="AA13" s="710">
        <f t="shared" si="3"/>
        <v>1</v>
      </c>
      <c r="AB13" s="710">
        <f t="shared" si="4"/>
        <v>1</v>
      </c>
      <c r="AC13" s="710">
        <f t="shared" si="5"/>
        <v>1</v>
      </c>
    </row>
    <row r="14" spans="1:29" ht="15.75" thickBot="1">
      <c r="A14" s="393"/>
      <c r="B14" s="2079">
        <v>111</v>
      </c>
      <c r="C14" s="394"/>
      <c r="D14" s="395">
        <v>100</v>
      </c>
      <c r="E14" s="394"/>
      <c r="F14" s="395">
        <f>SUMIF(68:68,E14,69:69)-SUMIF(68:68,C14,69:69)+100</f>
        <v>100</v>
      </c>
      <c r="G14" s="2154"/>
      <c r="H14" s="395">
        <f>SUMIF(68:68,G14,69:69)-SUMIF(68:68,C14,69:69)+100</f>
        <v>100</v>
      </c>
      <c r="I14" s="426"/>
      <c r="J14" s="395">
        <f>SUMIF(68:68,I14,69:69)-SUMIF(68:68,C14,69:69)+100</f>
        <v>100</v>
      </c>
      <c r="K14" s="568"/>
      <c r="L14" s="1051"/>
      <c r="M14" s="1042"/>
      <c r="N14" s="1042"/>
      <c r="O14" s="1050"/>
      <c r="P14" s="3295"/>
      <c r="Q14" s="1526">
        <f t="shared" si="6"/>
        <v>111</v>
      </c>
      <c r="R14" s="707" t="s">
        <v>17</v>
      </c>
      <c r="S14" s="708">
        <f t="shared" si="0"/>
        <v>100</v>
      </c>
      <c r="T14" s="707" t="s">
        <v>17</v>
      </c>
      <c r="U14" s="708">
        <f t="shared" si="1"/>
        <v>100</v>
      </c>
      <c r="V14" s="707" t="s">
        <v>17</v>
      </c>
      <c r="W14" s="708">
        <f t="shared" si="2"/>
        <v>100</v>
      </c>
      <c r="X14" s="709"/>
      <c r="Y14" s="3251"/>
      <c r="Z14" s="55">
        <f t="shared" si="7"/>
        <v>111</v>
      </c>
      <c r="AA14" s="710">
        <f t="shared" si="3"/>
        <v>1</v>
      </c>
      <c r="AB14" s="710">
        <f t="shared" si="4"/>
        <v>1</v>
      </c>
      <c r="AC14" s="710">
        <f t="shared" si="5"/>
        <v>1</v>
      </c>
    </row>
    <row r="15" spans="1:29" ht="57">
      <c r="A15" s="397" t="s">
        <v>2379</v>
      </c>
      <c r="B15" s="65" t="s">
        <v>2523</v>
      </c>
      <c r="C15" s="2155"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1"/>
      <c r="M15" s="1042"/>
      <c r="N15" s="1042"/>
      <c r="O15" s="1050"/>
      <c r="P15" s="3310" t="s">
        <v>2380</v>
      </c>
      <c r="Q15" s="1535" t="str">
        <f t="shared" si="6"/>
        <v>产业集聚程度</v>
      </c>
      <c r="R15" s="711" t="s">
        <v>17</v>
      </c>
      <c r="S15" s="712">
        <f t="shared" si="0"/>
        <v>100</v>
      </c>
      <c r="T15" s="711" t="s">
        <v>17</v>
      </c>
      <c r="U15" s="712">
        <f t="shared" si="1"/>
        <v>100</v>
      </c>
      <c r="V15" s="711" t="s">
        <v>17</v>
      </c>
      <c r="W15" s="712">
        <f t="shared" si="2"/>
        <v>100</v>
      </c>
      <c r="X15" s="1538"/>
      <c r="Y15" s="3310" t="s">
        <v>2380</v>
      </c>
      <c r="Z15" s="1539" t="str">
        <f t="shared" si="7"/>
        <v>产业集聚程度</v>
      </c>
      <c r="AA15" s="1536">
        <f t="shared" si="3"/>
        <v>1</v>
      </c>
      <c r="AB15" s="1536">
        <f t="shared" si="4"/>
        <v>1</v>
      </c>
      <c r="AC15" s="1536">
        <f t="shared" si="5"/>
        <v>1</v>
      </c>
    </row>
    <row r="16" spans="1:29" ht="15">
      <c r="A16" s="385"/>
      <c r="B16" s="403"/>
      <c r="C16" s="404"/>
      <c r="D16" s="405"/>
      <c r="E16" s="404"/>
      <c r="F16" s="406"/>
      <c r="G16" s="404"/>
      <c r="H16" s="407"/>
      <c r="I16" s="404"/>
      <c r="J16" s="405"/>
      <c r="K16" s="570"/>
      <c r="L16" s="1051"/>
      <c r="M16" s="1042"/>
      <c r="N16" s="1042"/>
      <c r="O16" s="1050"/>
      <c r="P16" s="3311"/>
      <c r="Q16" s="1535"/>
      <c r="R16" s="711"/>
      <c r="S16" s="712"/>
      <c r="T16" s="711"/>
      <c r="U16" s="712"/>
      <c r="V16" s="711"/>
      <c r="W16" s="712"/>
      <c r="X16" s="1538"/>
      <c r="Y16" s="3311"/>
      <c r="Z16" s="1539"/>
      <c r="AA16" s="1536">
        <v>1</v>
      </c>
      <c r="AB16" s="1536">
        <v>1</v>
      </c>
      <c r="AC16" s="1536">
        <v>1</v>
      </c>
    </row>
    <row r="17" spans="1:29" ht="85.5">
      <c r="A17" s="385"/>
      <c r="B17" s="408" t="s">
        <v>1947</v>
      </c>
      <c r="C17" s="2084"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1"/>
      <c r="M17" s="1042"/>
      <c r="N17" s="1042"/>
      <c r="O17" s="1050"/>
      <c r="P17" s="3311"/>
      <c r="Q17" s="1535" t="str">
        <f>B17</f>
        <v>交通便捷度</v>
      </c>
      <c r="R17" s="711" t="s">
        <v>17</v>
      </c>
      <c r="S17" s="712">
        <f>F17</f>
        <v>100</v>
      </c>
      <c r="T17" s="711" t="s">
        <v>17</v>
      </c>
      <c r="U17" s="712">
        <f>H17</f>
        <v>100</v>
      </c>
      <c r="V17" s="711" t="s">
        <v>17</v>
      </c>
      <c r="W17" s="712">
        <f>J17</f>
        <v>100</v>
      </c>
      <c r="X17" s="1538"/>
      <c r="Y17" s="3311"/>
      <c r="Z17" s="1539" t="str">
        <f>Q17</f>
        <v>交通便捷度</v>
      </c>
      <c r="AA17" s="1536">
        <f t="shared" si="3"/>
        <v>1</v>
      </c>
      <c r="AB17" s="1536">
        <f t="shared" si="4"/>
        <v>1</v>
      </c>
      <c r="AC17" s="1536">
        <f t="shared" si="5"/>
        <v>1</v>
      </c>
    </row>
    <row r="18" spans="1:29" ht="15">
      <c r="A18" s="385"/>
      <c r="B18" s="413"/>
      <c r="C18" s="2085"/>
      <c r="D18" s="407"/>
      <c r="E18" s="2087"/>
      <c r="F18" s="410"/>
      <c r="G18" s="2086"/>
      <c r="H18" s="405"/>
      <c r="I18" s="2087"/>
      <c r="J18" s="405"/>
      <c r="K18" s="570"/>
      <c r="L18" s="1051"/>
      <c r="M18" s="1042"/>
      <c r="N18" s="1042"/>
      <c r="O18" s="1050"/>
      <c r="P18" s="3311"/>
      <c r="Q18" s="1535"/>
      <c r="R18" s="711"/>
      <c r="S18" s="712"/>
      <c r="T18" s="711"/>
      <c r="U18" s="712"/>
      <c r="V18" s="711"/>
      <c r="W18" s="712"/>
      <c r="X18" s="1538"/>
      <c r="Y18" s="3311"/>
      <c r="Z18" s="1539"/>
      <c r="AA18" s="1536">
        <v>1</v>
      </c>
      <c r="AB18" s="1536">
        <v>1</v>
      </c>
      <c r="AC18" s="1536">
        <v>1</v>
      </c>
    </row>
    <row r="19" spans="1:29" ht="42.75">
      <c r="A19" s="385"/>
      <c r="B19" s="408" t="s">
        <v>2508</v>
      </c>
      <c r="C19" s="2084"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1"/>
      <c r="M19" s="1042"/>
      <c r="N19" s="1042"/>
      <c r="O19" s="1050"/>
      <c r="P19" s="3311"/>
      <c r="Q19" s="1535" t="str">
        <f>B19</f>
        <v>公共配套设施</v>
      </c>
      <c r="R19" s="711" t="s">
        <v>17</v>
      </c>
      <c r="S19" s="712">
        <f>F19</f>
        <v>100</v>
      </c>
      <c r="T19" s="711" t="s">
        <v>17</v>
      </c>
      <c r="U19" s="712">
        <f>H19</f>
        <v>100</v>
      </c>
      <c r="V19" s="711" t="s">
        <v>17</v>
      </c>
      <c r="W19" s="712">
        <f>J19</f>
        <v>100</v>
      </c>
      <c r="X19" s="1538"/>
      <c r="Y19" s="3311"/>
      <c r="Z19" s="1539" t="str">
        <f>Q19</f>
        <v>公共配套设施</v>
      </c>
      <c r="AA19" s="1536">
        <f t="shared" si="3"/>
        <v>1</v>
      </c>
      <c r="AB19" s="1536">
        <f t="shared" si="4"/>
        <v>1</v>
      </c>
      <c r="AC19" s="1536">
        <f t="shared" si="5"/>
        <v>1</v>
      </c>
    </row>
    <row r="20" spans="1:29" ht="15">
      <c r="A20" s="385"/>
      <c r="B20" s="413"/>
      <c r="C20" s="404"/>
      <c r="D20" s="405"/>
      <c r="E20" s="2082"/>
      <c r="F20" s="406"/>
      <c r="G20" s="2081"/>
      <c r="H20" s="405"/>
      <c r="I20" s="2082"/>
      <c r="J20" s="405"/>
      <c r="K20" s="570"/>
      <c r="L20" s="1051"/>
      <c r="M20" s="1042"/>
      <c r="N20" s="1042"/>
      <c r="O20" s="1050"/>
      <c r="P20" s="3311"/>
      <c r="Q20" s="1535"/>
      <c r="R20" s="711"/>
      <c r="S20" s="712"/>
      <c r="T20" s="711"/>
      <c r="U20" s="712"/>
      <c r="V20" s="711"/>
      <c r="W20" s="712"/>
      <c r="X20" s="1538"/>
      <c r="Y20" s="3311"/>
      <c r="Z20" s="1539"/>
      <c r="AA20" s="1536">
        <v>1</v>
      </c>
      <c r="AB20" s="1536">
        <v>1</v>
      </c>
      <c r="AC20" s="1536">
        <v>1</v>
      </c>
    </row>
    <row r="21" spans="1:29" ht="28.5">
      <c r="A21" s="385"/>
      <c r="B21" s="1290" t="s">
        <v>2509</v>
      </c>
      <c r="C21" s="2084"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1"/>
      <c r="M21" s="1042"/>
      <c r="N21" s="1042"/>
      <c r="O21" s="1050"/>
      <c r="P21" s="3311"/>
      <c r="Q21" s="1535" t="str">
        <f>B21</f>
        <v>基础设施水平</v>
      </c>
      <c r="R21" s="711" t="s">
        <v>17</v>
      </c>
      <c r="S21" s="712">
        <f>F21</f>
        <v>100</v>
      </c>
      <c r="T21" s="711" t="s">
        <v>17</v>
      </c>
      <c r="U21" s="712">
        <f>H21</f>
        <v>100</v>
      </c>
      <c r="V21" s="711" t="s">
        <v>17</v>
      </c>
      <c r="W21" s="712">
        <f>J21</f>
        <v>100</v>
      </c>
      <c r="X21" s="1538"/>
      <c r="Y21" s="3311"/>
      <c r="Z21" s="1539" t="str">
        <f>Q21</f>
        <v>基础设施水平</v>
      </c>
      <c r="AA21" s="1536">
        <f t="shared" ref="AA21" si="8">D21/F21</f>
        <v>1</v>
      </c>
      <c r="AB21" s="1536">
        <f t="shared" ref="AB21" si="9">D21/H21</f>
        <v>1</v>
      </c>
      <c r="AC21" s="1536">
        <f t="shared" ref="AC21" si="10">D21/J21</f>
        <v>1</v>
      </c>
    </row>
    <row r="22" spans="1:29" ht="15">
      <c r="A22" s="385"/>
      <c r="B22" s="1290"/>
      <c r="C22" s="2085"/>
      <c r="D22" s="405"/>
      <c r="E22" s="404"/>
      <c r="F22" s="406"/>
      <c r="G22" s="404"/>
      <c r="H22" s="405"/>
      <c r="I22" s="404"/>
      <c r="J22" s="405"/>
      <c r="K22" s="1289"/>
      <c r="L22" s="1051"/>
      <c r="M22" s="1042"/>
      <c r="N22" s="1042"/>
      <c r="O22" s="1050"/>
      <c r="P22" s="3311"/>
      <c r="Q22" s="1535"/>
      <c r="R22" s="711"/>
      <c r="S22" s="712"/>
      <c r="T22" s="711"/>
      <c r="U22" s="712"/>
      <c r="V22" s="711"/>
      <c r="W22" s="712"/>
      <c r="X22" s="1538"/>
      <c r="Y22" s="3311"/>
      <c r="Z22" s="1539"/>
      <c r="AA22" s="1536">
        <v>1</v>
      </c>
      <c r="AB22" s="1536">
        <v>1</v>
      </c>
      <c r="AC22" s="1536">
        <v>1</v>
      </c>
    </row>
    <row r="23" spans="1:29" ht="71.25">
      <c r="A23" s="385"/>
      <c r="B23" s="408" t="s">
        <v>2510</v>
      </c>
      <c r="C23" s="2084"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1"/>
      <c r="M23" s="1042"/>
      <c r="N23" s="1042"/>
      <c r="O23" s="1050"/>
      <c r="P23" s="3311"/>
      <c r="Q23" s="1535" t="str">
        <f>B23</f>
        <v>环境质量</v>
      </c>
      <c r="R23" s="711" t="s">
        <v>17</v>
      </c>
      <c r="S23" s="712">
        <f>F23</f>
        <v>100</v>
      </c>
      <c r="T23" s="711" t="s">
        <v>17</v>
      </c>
      <c r="U23" s="712">
        <f>H23</f>
        <v>100</v>
      </c>
      <c r="V23" s="711" t="s">
        <v>17</v>
      </c>
      <c r="W23" s="712">
        <f>J23</f>
        <v>100</v>
      </c>
      <c r="X23" s="1538"/>
      <c r="Y23" s="3311"/>
      <c r="Z23" s="1539" t="str">
        <f>Q23</f>
        <v>环境质量</v>
      </c>
      <c r="AA23" s="1536">
        <f t="shared" si="3"/>
        <v>1</v>
      </c>
      <c r="AB23" s="1536">
        <f t="shared" si="4"/>
        <v>1</v>
      </c>
      <c r="AC23" s="1536">
        <f t="shared" si="5"/>
        <v>1</v>
      </c>
    </row>
    <row r="24" spans="1:29" ht="15">
      <c r="A24" s="385"/>
      <c r="B24" s="1290"/>
      <c r="C24" s="404"/>
      <c r="D24" s="405"/>
      <c r="E24" s="2082"/>
      <c r="F24" s="406"/>
      <c r="G24" s="2081"/>
      <c r="H24" s="405"/>
      <c r="I24" s="2082"/>
      <c r="J24" s="405"/>
      <c r="K24" s="570"/>
      <c r="L24" s="1051"/>
      <c r="M24" s="1042"/>
      <c r="N24" s="1042"/>
      <c r="O24" s="1050"/>
      <c r="P24" s="3311"/>
      <c r="Q24" s="1535"/>
      <c r="R24" s="711"/>
      <c r="S24" s="712"/>
      <c r="T24" s="711"/>
      <c r="U24" s="712"/>
      <c r="V24" s="711"/>
      <c r="W24" s="712"/>
      <c r="X24" s="1538"/>
      <c r="Y24" s="3311"/>
      <c r="Z24" s="1539"/>
      <c r="AA24" s="1536">
        <v>1</v>
      </c>
      <c r="AB24" s="1536">
        <v>1</v>
      </c>
      <c r="AC24" s="1536">
        <v>1</v>
      </c>
    </row>
    <row r="25" spans="1:29" ht="15">
      <c r="A25" s="362"/>
      <c r="B25" s="1292">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1"/>
      <c r="M25" s="1042"/>
      <c r="N25" s="1042"/>
      <c r="O25" s="1050"/>
      <c r="P25" s="3311"/>
      <c r="Q25" s="1535">
        <f>B25</f>
        <v>111</v>
      </c>
      <c r="R25" s="711" t="s">
        <v>17</v>
      </c>
      <c r="S25" s="712">
        <f>F25</f>
        <v>100</v>
      </c>
      <c r="T25" s="711" t="s">
        <v>17</v>
      </c>
      <c r="U25" s="712">
        <f>H25</f>
        <v>100</v>
      </c>
      <c r="V25" s="711" t="s">
        <v>17</v>
      </c>
      <c r="W25" s="712">
        <f>J25</f>
        <v>100</v>
      </c>
      <c r="X25" s="1538"/>
      <c r="Y25" s="3311"/>
      <c r="Z25" s="1539">
        <f>Q25</f>
        <v>111</v>
      </c>
      <c r="AA25" s="1536">
        <f t="shared" si="3"/>
        <v>1</v>
      </c>
      <c r="AB25" s="1536">
        <f t="shared" si="4"/>
        <v>1</v>
      </c>
      <c r="AC25" s="1536">
        <f t="shared" si="5"/>
        <v>1</v>
      </c>
    </row>
    <row r="26" spans="1:29" ht="15">
      <c r="A26" s="385"/>
      <c r="B26" s="1292">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1"/>
      <c r="M26" s="1042"/>
      <c r="N26" s="1042"/>
      <c r="O26" s="1050"/>
      <c r="P26" s="3311"/>
      <c r="Q26" s="1535">
        <f t="shared" ref="Q26:Q40" si="11">B26</f>
        <v>111</v>
      </c>
      <c r="R26" s="711" t="s">
        <v>17</v>
      </c>
      <c r="S26" s="712">
        <f>F26</f>
        <v>100</v>
      </c>
      <c r="T26" s="711" t="s">
        <v>17</v>
      </c>
      <c r="U26" s="712">
        <f>H26</f>
        <v>100</v>
      </c>
      <c r="V26" s="711" t="s">
        <v>17</v>
      </c>
      <c r="W26" s="712">
        <f>J26</f>
        <v>100</v>
      </c>
      <c r="X26" s="1538"/>
      <c r="Y26" s="3311"/>
      <c r="Z26" s="1539">
        <f>Q26</f>
        <v>111</v>
      </c>
      <c r="AA26" s="1536">
        <f t="shared" si="3"/>
        <v>1</v>
      </c>
      <c r="AB26" s="1536">
        <f t="shared" si="4"/>
        <v>1</v>
      </c>
      <c r="AC26" s="1536">
        <f t="shared" si="5"/>
        <v>1</v>
      </c>
    </row>
    <row r="27" spans="1:29" s="113" customFormat="1" ht="15">
      <c r="A27" s="388"/>
      <c r="B27" s="1292">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3"/>
      <c r="M27" s="1044"/>
      <c r="N27" s="1044"/>
      <c r="O27" s="1045"/>
      <c r="P27" s="3311"/>
      <c r="Q27" s="1526">
        <f t="shared" si="11"/>
        <v>111</v>
      </c>
      <c r="R27" s="707" t="s">
        <v>17</v>
      </c>
      <c r="S27" s="708">
        <f>F27</f>
        <v>100</v>
      </c>
      <c r="T27" s="707" t="s">
        <v>17</v>
      </c>
      <c r="U27" s="708">
        <f>H27</f>
        <v>100</v>
      </c>
      <c r="V27" s="707" t="s">
        <v>17</v>
      </c>
      <c r="W27" s="708">
        <f>J27</f>
        <v>100</v>
      </c>
      <c r="X27" s="709"/>
      <c r="Y27" s="3311"/>
      <c r="Z27" s="55">
        <f>Q27</f>
        <v>111</v>
      </c>
      <c r="AA27" s="1536">
        <f>D27/F27</f>
        <v>1</v>
      </c>
      <c r="AB27" s="1536">
        <f>D27/H27</f>
        <v>1</v>
      </c>
      <c r="AC27" s="1536">
        <f>D27/J27</f>
        <v>1</v>
      </c>
    </row>
    <row r="28" spans="1:29" ht="15.75" thickBot="1">
      <c r="A28" s="393"/>
      <c r="B28" s="1292">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1"/>
      <c r="M28" s="1042"/>
      <c r="N28" s="1042"/>
      <c r="O28" s="1050"/>
      <c r="P28" s="3311"/>
      <c r="Q28" s="1535">
        <f t="shared" si="11"/>
        <v>111</v>
      </c>
      <c r="R28" s="711" t="s">
        <v>17</v>
      </c>
      <c r="S28" s="712">
        <f t="shared" ref="S28:S40" si="12">F28</f>
        <v>100</v>
      </c>
      <c r="T28" s="711" t="s">
        <v>17</v>
      </c>
      <c r="U28" s="712">
        <f t="shared" ref="U28:U40" si="13">H28</f>
        <v>100</v>
      </c>
      <c r="V28" s="711" t="s">
        <v>17</v>
      </c>
      <c r="W28" s="712">
        <f t="shared" ref="W28:W40" si="14">J28</f>
        <v>100</v>
      </c>
      <c r="X28" s="1538"/>
      <c r="Y28" s="3311"/>
      <c r="Z28" s="1539">
        <f t="shared" ref="Z28:Z40" si="15">Q28</f>
        <v>111</v>
      </c>
      <c r="AA28" s="1536">
        <f t="shared" si="3"/>
        <v>1</v>
      </c>
      <c r="AB28" s="1536">
        <f t="shared" si="4"/>
        <v>1</v>
      </c>
      <c r="AC28" s="1536">
        <f t="shared" si="5"/>
        <v>1</v>
      </c>
    </row>
    <row r="29" spans="1:29" ht="28.5">
      <c r="A29" s="423" t="s">
        <v>2383</v>
      </c>
      <c r="B29" s="67" t="s">
        <v>2513</v>
      </c>
      <c r="C29" s="2151"/>
      <c r="D29" s="424">
        <v>100</v>
      </c>
      <c r="E29" s="2151"/>
      <c r="F29" s="418">
        <f>SUMIF(88:88,E29,89:89)-SUMIF(88:88,C29,89:89)+100</f>
        <v>100</v>
      </c>
      <c r="G29" s="2151"/>
      <c r="H29" s="392">
        <f>SUMIF(88:88,G29,89:89)-SUMIF(88:88,C29,89:89)+100</f>
        <v>100</v>
      </c>
      <c r="I29" s="2151"/>
      <c r="J29" s="424">
        <f>SUMIF(88:88,I29,89:89)-SUMIF(88:88,C29,89:89)+100</f>
        <v>100</v>
      </c>
      <c r="K29" s="567"/>
      <c r="L29" s="1051"/>
      <c r="M29" s="1042"/>
      <c r="N29" s="1042"/>
      <c r="O29" s="1050"/>
      <c r="P29" s="3312" t="s">
        <v>2385</v>
      </c>
      <c r="Q29" s="1535" t="str">
        <f t="shared" si="11"/>
        <v>建筑类型</v>
      </c>
      <c r="R29" s="711" t="s">
        <v>17</v>
      </c>
      <c r="S29" s="712">
        <f t="shared" si="12"/>
        <v>100</v>
      </c>
      <c r="T29" s="711" t="s">
        <v>17</v>
      </c>
      <c r="U29" s="712">
        <f t="shared" si="13"/>
        <v>100</v>
      </c>
      <c r="V29" s="711" t="s">
        <v>17</v>
      </c>
      <c r="W29" s="712">
        <f t="shared" si="14"/>
        <v>100</v>
      </c>
      <c r="X29" s="1538"/>
      <c r="Y29" s="3313" t="s">
        <v>2385</v>
      </c>
      <c r="Z29" s="1539" t="str">
        <f t="shared" si="15"/>
        <v>建筑类型</v>
      </c>
      <c r="AA29" s="1536">
        <f t="shared" si="3"/>
        <v>1</v>
      </c>
      <c r="AB29" s="1536">
        <f t="shared" si="4"/>
        <v>1</v>
      </c>
      <c r="AC29" s="1536">
        <f t="shared" si="5"/>
        <v>1</v>
      </c>
    </row>
    <row r="30" spans="1:29" s="428" customFormat="1" ht="15">
      <c r="A30" s="425"/>
      <c r="B30" s="379" t="s">
        <v>2386</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49"/>
      <c r="M30" s="1052"/>
      <c r="N30" s="1052"/>
      <c r="O30" s="1053"/>
      <c r="P30" s="3313"/>
      <c r="Q30" s="713" t="str">
        <f t="shared" si="11"/>
        <v>项目建筑规模</v>
      </c>
      <c r="R30" s="714" t="s">
        <v>17</v>
      </c>
      <c r="S30" s="715" t="e">
        <f t="shared" si="12"/>
        <v>#N/A</v>
      </c>
      <c r="T30" s="714" t="s">
        <v>17</v>
      </c>
      <c r="U30" s="715" t="e">
        <f t="shared" si="13"/>
        <v>#N/A</v>
      </c>
      <c r="V30" s="714" t="s">
        <v>17</v>
      </c>
      <c r="W30" s="715" t="e">
        <f t="shared" si="14"/>
        <v>#N/A</v>
      </c>
      <c r="X30" s="716"/>
      <c r="Y30" s="3313"/>
      <c r="Z30" s="717" t="str">
        <f t="shared" si="15"/>
        <v>项目建筑规模</v>
      </c>
      <c r="AA30" s="1536" t="e">
        <f t="shared" si="3"/>
        <v>#N/A</v>
      </c>
      <c r="AB30" s="1536" t="e">
        <f t="shared" si="4"/>
        <v>#N/A</v>
      </c>
      <c r="AC30" s="1536" t="e">
        <f t="shared" si="5"/>
        <v>#N/A</v>
      </c>
    </row>
    <row r="31" spans="1:29" ht="15">
      <c r="A31" s="429"/>
      <c r="B31" s="379" t="s">
        <v>2387</v>
      </c>
      <c r="C31" s="417"/>
      <c r="D31" s="392">
        <v>100</v>
      </c>
      <c r="E31" s="417"/>
      <c r="F31" s="418">
        <f>SUMIF(93:93,E31,94:94)-SUMIF(93:93,C31,94:94)+100</f>
        <v>100</v>
      </c>
      <c r="G31" s="417"/>
      <c r="H31" s="392">
        <f>SUMIF(93:93,G31,94:94)-SUMIF(93:93,C31,94:94)+100</f>
        <v>100</v>
      </c>
      <c r="I31" s="417"/>
      <c r="J31" s="392">
        <f>SUMIF(93:93,I31,94:94)-SUMIF(93:93,C31,94:94)+100</f>
        <v>100</v>
      </c>
      <c r="K31" s="567"/>
      <c r="L31" s="1051"/>
      <c r="M31" s="1042"/>
      <c r="N31" s="1042"/>
      <c r="O31" s="1050"/>
      <c r="P31" s="3313"/>
      <c r="Q31" s="1535" t="str">
        <f t="shared" si="11"/>
        <v>建筑结构</v>
      </c>
      <c r="R31" s="711" t="s">
        <v>17</v>
      </c>
      <c r="S31" s="712">
        <f t="shared" si="12"/>
        <v>100</v>
      </c>
      <c r="T31" s="711" t="s">
        <v>17</v>
      </c>
      <c r="U31" s="712">
        <f t="shared" si="13"/>
        <v>100</v>
      </c>
      <c r="V31" s="711" t="s">
        <v>17</v>
      </c>
      <c r="W31" s="712">
        <f t="shared" si="14"/>
        <v>100</v>
      </c>
      <c r="X31" s="1538"/>
      <c r="Y31" s="3313"/>
      <c r="Z31" s="1539" t="str">
        <f t="shared" si="15"/>
        <v>建筑结构</v>
      </c>
      <c r="AA31" s="1536">
        <f t="shared" si="3"/>
        <v>1</v>
      </c>
      <c r="AB31" s="1536">
        <f t="shared" si="4"/>
        <v>1</v>
      </c>
      <c r="AC31" s="1536">
        <f t="shared" si="5"/>
        <v>1</v>
      </c>
    </row>
    <row r="32" spans="1:29" ht="15">
      <c r="A32" s="429"/>
      <c r="B32" s="379" t="s">
        <v>2481</v>
      </c>
      <c r="C32" s="417"/>
      <c r="D32" s="392">
        <v>100</v>
      </c>
      <c r="E32" s="417"/>
      <c r="F32" s="418">
        <f>SUMIF(95:95,E32,96:96)-SUMIF(95:95,C32,96:96)+100</f>
        <v>100</v>
      </c>
      <c r="G32" s="417"/>
      <c r="H32" s="392">
        <f>SUMIF(95:95,G32,96:96)-SUMIF(95:95,C32,96:96)+100</f>
        <v>100</v>
      </c>
      <c r="I32" s="417"/>
      <c r="J32" s="392">
        <f>SUMIF(95:95,I32,96:96)-SUMIF(95:95,C32,96:96)+100</f>
        <v>100</v>
      </c>
      <c r="K32" s="567"/>
      <c r="L32" s="1051"/>
      <c r="M32" s="1042"/>
      <c r="N32" s="1042"/>
      <c r="O32" s="1050"/>
      <c r="P32" s="3313"/>
      <c r="Q32" s="1535" t="str">
        <f t="shared" si="11"/>
        <v>公共部分装修</v>
      </c>
      <c r="R32" s="711" t="s">
        <v>17</v>
      </c>
      <c r="S32" s="712">
        <f t="shared" si="12"/>
        <v>100</v>
      </c>
      <c r="T32" s="711" t="s">
        <v>17</v>
      </c>
      <c r="U32" s="712">
        <f t="shared" si="13"/>
        <v>100</v>
      </c>
      <c r="V32" s="711" t="s">
        <v>17</v>
      </c>
      <c r="W32" s="712">
        <f t="shared" si="14"/>
        <v>100</v>
      </c>
      <c r="X32" s="1538"/>
      <c r="Y32" s="3313"/>
      <c r="Z32" s="1539" t="str">
        <f t="shared" si="15"/>
        <v>公共部分装修</v>
      </c>
      <c r="AA32" s="1536">
        <f t="shared" si="3"/>
        <v>1</v>
      </c>
      <c r="AB32" s="1536">
        <f t="shared" si="4"/>
        <v>1</v>
      </c>
      <c r="AC32" s="1536">
        <f t="shared" si="5"/>
        <v>1</v>
      </c>
    </row>
    <row r="33" spans="1:29" ht="15">
      <c r="A33" s="429"/>
      <c r="B33" s="379" t="s">
        <v>2482</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1"/>
      <c r="M33" s="1042"/>
      <c r="N33" s="1042"/>
      <c r="O33" s="1050"/>
      <c r="P33" s="3313"/>
      <c r="Q33" s="1535" t="str">
        <f t="shared" si="11"/>
        <v>成新度</v>
      </c>
      <c r="R33" s="711" t="s">
        <v>17</v>
      </c>
      <c r="S33" s="712" t="e">
        <f t="shared" si="12"/>
        <v>#N/A</v>
      </c>
      <c r="T33" s="711" t="s">
        <v>17</v>
      </c>
      <c r="U33" s="712" t="e">
        <f t="shared" si="13"/>
        <v>#N/A</v>
      </c>
      <c r="V33" s="711" t="s">
        <v>17</v>
      </c>
      <c r="W33" s="712" t="e">
        <f t="shared" si="14"/>
        <v>#N/A</v>
      </c>
      <c r="X33" s="1538"/>
      <c r="Y33" s="3313"/>
      <c r="Z33" s="1539" t="str">
        <f t="shared" si="15"/>
        <v>成新度</v>
      </c>
      <c r="AA33" s="1536" t="e">
        <f t="shared" si="3"/>
        <v>#N/A</v>
      </c>
      <c r="AB33" s="1536" t="e">
        <f t="shared" si="4"/>
        <v>#N/A</v>
      </c>
      <c r="AC33" s="1536" t="e">
        <f t="shared" si="5"/>
        <v>#N/A</v>
      </c>
    </row>
    <row r="34" spans="1:29" s="113" customFormat="1" ht="15">
      <c r="A34" s="430"/>
      <c r="B34" s="379" t="s">
        <v>2515</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3"/>
      <c r="M34" s="1044"/>
      <c r="N34" s="1044"/>
      <c r="O34" s="1045"/>
      <c r="P34" s="3313"/>
      <c r="Q34" s="1526" t="str">
        <f t="shared" si="11"/>
        <v>物业管理</v>
      </c>
      <c r="R34" s="707" t="s">
        <v>17</v>
      </c>
      <c r="S34" s="708">
        <f t="shared" si="12"/>
        <v>100</v>
      </c>
      <c r="T34" s="707" t="s">
        <v>17</v>
      </c>
      <c r="U34" s="708">
        <f t="shared" si="13"/>
        <v>100</v>
      </c>
      <c r="V34" s="707" t="s">
        <v>17</v>
      </c>
      <c r="W34" s="708">
        <f t="shared" si="14"/>
        <v>100</v>
      </c>
      <c r="X34" s="709"/>
      <c r="Y34" s="3313"/>
      <c r="Z34" s="55" t="str">
        <f t="shared" si="15"/>
        <v>物业管理</v>
      </c>
      <c r="AA34" s="710">
        <f t="shared" si="3"/>
        <v>1</v>
      </c>
      <c r="AB34" s="710">
        <f t="shared" si="4"/>
        <v>1</v>
      </c>
      <c r="AC34" s="710">
        <f t="shared" si="5"/>
        <v>1</v>
      </c>
    </row>
    <row r="35" spans="1:29" ht="15">
      <c r="A35" s="429"/>
      <c r="B35" s="379" t="s">
        <v>2483</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1"/>
      <c r="M35" s="1042"/>
      <c r="N35" s="1042"/>
      <c r="O35" s="1050"/>
      <c r="P35" s="3313" t="s">
        <v>2385</v>
      </c>
      <c r="Q35" s="1535" t="str">
        <f t="shared" si="11"/>
        <v>市政基础设施</v>
      </c>
      <c r="R35" s="711" t="s">
        <v>17</v>
      </c>
      <c r="S35" s="712">
        <f t="shared" si="12"/>
        <v>100</v>
      </c>
      <c r="T35" s="711" t="s">
        <v>17</v>
      </c>
      <c r="U35" s="712">
        <f t="shared" si="13"/>
        <v>100</v>
      </c>
      <c r="V35" s="711" t="s">
        <v>17</v>
      </c>
      <c r="W35" s="712">
        <f t="shared" si="14"/>
        <v>100</v>
      </c>
      <c r="X35" s="1538"/>
      <c r="Y35" s="3313" t="s">
        <v>2385</v>
      </c>
      <c r="Z35" s="1539" t="str">
        <f t="shared" si="15"/>
        <v>市政基础设施</v>
      </c>
      <c r="AA35" s="1536">
        <f t="shared" si="3"/>
        <v>1</v>
      </c>
      <c r="AB35" s="1536">
        <f t="shared" si="4"/>
        <v>1</v>
      </c>
      <c r="AC35" s="1536">
        <f t="shared" si="5"/>
        <v>1</v>
      </c>
    </row>
    <row r="36" spans="1:29" ht="15">
      <c r="A36" s="429"/>
      <c r="B36" s="379" t="s">
        <v>2488</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1"/>
      <c r="M36" s="1042"/>
      <c r="N36" s="1042"/>
      <c r="O36" s="1050"/>
      <c r="P36" s="3313"/>
      <c r="Q36" s="1535" t="str">
        <f t="shared" si="11"/>
        <v>内部装修</v>
      </c>
      <c r="R36" s="711" t="s">
        <v>17</v>
      </c>
      <c r="S36" s="712">
        <f t="shared" si="12"/>
        <v>100</v>
      </c>
      <c r="T36" s="711" t="s">
        <v>17</v>
      </c>
      <c r="U36" s="712">
        <f t="shared" si="13"/>
        <v>100</v>
      </c>
      <c r="V36" s="711" t="s">
        <v>17</v>
      </c>
      <c r="W36" s="712">
        <f t="shared" si="14"/>
        <v>100</v>
      </c>
      <c r="X36" s="1538"/>
      <c r="Y36" s="3313"/>
      <c r="Z36" s="1539" t="str">
        <f t="shared" si="15"/>
        <v>内部装修</v>
      </c>
      <c r="AA36" s="1536">
        <f t="shared" si="3"/>
        <v>1</v>
      </c>
      <c r="AB36" s="1536">
        <f t="shared" si="4"/>
        <v>1</v>
      </c>
      <c r="AC36" s="1536">
        <f t="shared" si="5"/>
        <v>1</v>
      </c>
    </row>
    <row r="37" spans="1:29" ht="15">
      <c r="A37" s="429"/>
      <c r="B37" s="379" t="s">
        <v>2524</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1"/>
      <c r="M37" s="1042"/>
      <c r="N37" s="1042"/>
      <c r="O37" s="1050"/>
      <c r="P37" s="3313"/>
      <c r="Q37" s="1535" t="str">
        <f t="shared" si="11"/>
        <v>内部装修状况</v>
      </c>
      <c r="R37" s="711" t="s">
        <v>17</v>
      </c>
      <c r="S37" s="712">
        <f t="shared" si="12"/>
        <v>100</v>
      </c>
      <c r="T37" s="711" t="s">
        <v>17</v>
      </c>
      <c r="U37" s="712">
        <f t="shared" si="13"/>
        <v>100</v>
      </c>
      <c r="V37" s="711" t="s">
        <v>17</v>
      </c>
      <c r="W37" s="712">
        <f t="shared" si="14"/>
        <v>100</v>
      </c>
      <c r="X37" s="1538"/>
      <c r="Y37" s="3313"/>
      <c r="Z37" s="1539" t="str">
        <f t="shared" si="15"/>
        <v>内部装修状况</v>
      </c>
      <c r="AA37" s="1536">
        <f t="shared" si="3"/>
        <v>1</v>
      </c>
      <c r="AB37" s="1536">
        <f t="shared" si="4"/>
        <v>1</v>
      </c>
      <c r="AC37" s="1536">
        <f t="shared" si="5"/>
        <v>1</v>
      </c>
    </row>
    <row r="38" spans="1:29" s="428" customFormat="1" ht="15">
      <c r="A38" s="425"/>
      <c r="B38" s="1292">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49"/>
      <c r="M38" s="1052"/>
      <c r="N38" s="1052"/>
      <c r="O38" s="1053"/>
      <c r="P38" s="3313"/>
      <c r="Q38" s="713">
        <f t="shared" si="11"/>
        <v>111</v>
      </c>
      <c r="R38" s="714" t="s">
        <v>17</v>
      </c>
      <c r="S38" s="715">
        <f t="shared" si="12"/>
        <v>100</v>
      </c>
      <c r="T38" s="714" t="s">
        <v>17</v>
      </c>
      <c r="U38" s="715">
        <f t="shared" si="13"/>
        <v>100</v>
      </c>
      <c r="V38" s="714" t="s">
        <v>17</v>
      </c>
      <c r="W38" s="715">
        <f t="shared" si="14"/>
        <v>100</v>
      </c>
      <c r="X38" s="716"/>
      <c r="Y38" s="3313"/>
      <c r="Z38" s="717">
        <f t="shared" si="15"/>
        <v>111</v>
      </c>
      <c r="AA38" s="1536">
        <f t="shared" si="3"/>
        <v>1</v>
      </c>
      <c r="AB38" s="1536">
        <f t="shared" si="4"/>
        <v>1</v>
      </c>
      <c r="AC38" s="1536">
        <f t="shared" si="5"/>
        <v>1</v>
      </c>
    </row>
    <row r="39" spans="1:29" ht="15">
      <c r="A39" s="429"/>
      <c r="B39" s="1292">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1"/>
      <c r="M39" s="1042"/>
      <c r="N39" s="1042"/>
      <c r="O39" s="1050"/>
      <c r="P39" s="3313"/>
      <c r="Q39" s="1535">
        <f t="shared" si="11"/>
        <v>111</v>
      </c>
      <c r="R39" s="711" t="s">
        <v>17</v>
      </c>
      <c r="S39" s="712">
        <f t="shared" si="12"/>
        <v>100</v>
      </c>
      <c r="T39" s="711" t="s">
        <v>17</v>
      </c>
      <c r="U39" s="712">
        <f t="shared" si="13"/>
        <v>100</v>
      </c>
      <c r="V39" s="711" t="s">
        <v>17</v>
      </c>
      <c r="W39" s="712">
        <f t="shared" si="14"/>
        <v>100</v>
      </c>
      <c r="X39" s="1538"/>
      <c r="Y39" s="3313"/>
      <c r="Z39" s="1539">
        <f t="shared" si="15"/>
        <v>111</v>
      </c>
      <c r="AA39" s="1536">
        <f t="shared" si="3"/>
        <v>1</v>
      </c>
      <c r="AB39" s="1536">
        <f t="shared" si="4"/>
        <v>1</v>
      </c>
      <c r="AC39" s="1536">
        <f t="shared" si="5"/>
        <v>1</v>
      </c>
    </row>
    <row r="40" spans="1:29" ht="15.75" thickBot="1">
      <c r="A40" s="435"/>
      <c r="B40" s="2079">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1"/>
      <c r="M40" s="1042"/>
      <c r="N40" s="1042"/>
      <c r="O40" s="1050"/>
      <c r="P40" s="3380"/>
      <c r="Q40" s="1535">
        <f t="shared" si="11"/>
        <v>111</v>
      </c>
      <c r="R40" s="711" t="s">
        <v>17</v>
      </c>
      <c r="S40" s="712">
        <f t="shared" si="12"/>
        <v>100</v>
      </c>
      <c r="T40" s="711" t="s">
        <v>17</v>
      </c>
      <c r="U40" s="712">
        <f t="shared" si="13"/>
        <v>100</v>
      </c>
      <c r="V40" s="711" t="s">
        <v>17</v>
      </c>
      <c r="W40" s="712">
        <f t="shared" si="14"/>
        <v>100</v>
      </c>
      <c r="X40" s="1538"/>
      <c r="Y40" s="3380"/>
      <c r="Z40" s="1539">
        <f t="shared" si="15"/>
        <v>111</v>
      </c>
      <c r="AA40" s="1536">
        <f t="shared" si="3"/>
        <v>1</v>
      </c>
      <c r="AB40" s="1536">
        <f t="shared" si="4"/>
        <v>1</v>
      </c>
      <c r="AC40" s="1536">
        <f t="shared" si="5"/>
        <v>1</v>
      </c>
    </row>
    <row r="41" spans="1:29" ht="15">
      <c r="A41" s="436" t="s">
        <v>2397</v>
      </c>
      <c r="B41" s="437"/>
      <c r="C41" s="1313" t="s">
        <v>1</v>
      </c>
      <c r="D41" s="1314"/>
      <c r="E41" s="1315"/>
      <c r="F41" s="1316"/>
      <c r="G41" s="1317"/>
      <c r="H41" s="1318"/>
      <c r="I41" s="1315"/>
      <c r="J41" s="1318"/>
      <c r="K41" s="720"/>
      <c r="L41" s="1054"/>
      <c r="M41" s="1055"/>
      <c r="N41" s="1042"/>
      <c r="O41" s="1055"/>
      <c r="P41" s="3295" t="str">
        <f>A41</f>
        <v>成交单价（元/平方米）</v>
      </c>
      <c r="Q41" s="3295"/>
      <c r="R41" s="3376">
        <f>E41</f>
        <v>0</v>
      </c>
      <c r="S41" s="3376"/>
      <c r="T41" s="3376">
        <f>G41</f>
        <v>0</v>
      </c>
      <c r="U41" s="3376"/>
      <c r="V41" s="3376">
        <f>I41</f>
        <v>0</v>
      </c>
      <c r="W41" s="3376"/>
      <c r="X41" s="696"/>
      <c r="Y41" s="718"/>
      <c r="Z41" s="696"/>
      <c r="AA41" s="696"/>
      <c r="AB41" s="696"/>
      <c r="AC41" s="696"/>
    </row>
    <row r="42" spans="1:29" ht="15.75" thickBot="1">
      <c r="A42" s="443" t="s">
        <v>2489</v>
      </c>
      <c r="B42" s="444"/>
      <c r="C42" s="1319" t="e">
        <f>R43</f>
        <v>#DIV/0!</v>
      </c>
      <c r="D42" s="2536" t="s">
        <v>2879</v>
      </c>
      <c r="E42" s="1320" t="e">
        <f>R42</f>
        <v>#DIV/0!</v>
      </c>
      <c r="F42" s="2537"/>
      <c r="G42" s="1319" t="e">
        <f>T42</f>
        <v>#DIV/0!</v>
      </c>
      <c r="H42" s="2537"/>
      <c r="I42" s="1320" t="e">
        <f>V42</f>
        <v>#DIV/0!</v>
      </c>
      <c r="J42" s="2537"/>
      <c r="K42" s="2539">
        <f>F42+H42+J42</f>
        <v>0</v>
      </c>
      <c r="L42" s="1054"/>
      <c r="M42" s="1055"/>
      <c r="N42" s="1042"/>
      <c r="O42" s="1055"/>
      <c r="P42" s="3295" t="str">
        <f>A42</f>
        <v>比较价值（元/平方米）</v>
      </c>
      <c r="Q42" s="329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696"/>
      <c r="Y42" s="696"/>
      <c r="Z42" s="696"/>
      <c r="AA42" s="696"/>
      <c r="AB42" s="696"/>
      <c r="AC42" s="696"/>
    </row>
    <row r="43" spans="1:29" ht="15.75" thickBot="1">
      <c r="A43" s="447" t="s">
        <v>2490</v>
      </c>
      <c r="B43" s="448"/>
      <c r="C43" s="1322" t="e">
        <f>R43</f>
        <v>#DIV/0!</v>
      </c>
      <c r="D43" s="1322"/>
      <c r="E43" s="1322"/>
      <c r="F43" s="1322"/>
      <c r="G43" s="1322"/>
      <c r="H43" s="1322"/>
      <c r="I43" s="1322"/>
      <c r="J43" s="1322"/>
      <c r="K43" s="721"/>
      <c r="L43" s="1054"/>
      <c r="M43" s="1055"/>
      <c r="N43" s="1055"/>
      <c r="O43" s="1055"/>
      <c r="P43" s="3315" t="str">
        <f>A43</f>
        <v>估价对象XX用房的比较价值（楼面单价，元/平方米）</v>
      </c>
      <c r="Q43" s="3316"/>
      <c r="R43" s="3375" t="e">
        <f>IF(F1="售价",ROUND(IF(D42="简单平均",AVERAGE(R42:V42),R42*F42+T42*H42+V42*J42),0),ROUND(IF(D42="简单平均",AVERAGE(R42:V42),R42*F42+T42*H42+V42*J42),1))</f>
        <v>#DIV/0!</v>
      </c>
      <c r="S43" s="3375"/>
      <c r="T43" s="3375"/>
      <c r="U43" s="3375"/>
      <c r="V43" s="3375"/>
      <c r="W43" s="3375"/>
      <c r="X43" s="696"/>
      <c r="Y43" s="696"/>
      <c r="Z43" s="696"/>
      <c r="AA43" s="696"/>
      <c r="AB43" s="696"/>
      <c r="AC43" s="696"/>
    </row>
    <row r="44" spans="1:29">
      <c r="A44" s="2952"/>
      <c r="B44" s="2952"/>
      <c r="C44" s="2952"/>
      <c r="D44" s="2952"/>
      <c r="E44" s="2952"/>
      <c r="F44" s="2952"/>
      <c r="G44" s="2956"/>
      <c r="H44" s="2952"/>
      <c r="I44" s="2952"/>
      <c r="J44" s="2952"/>
      <c r="K44" s="2957"/>
      <c r="L44" s="1017"/>
      <c r="M44" s="1055"/>
      <c r="N44" s="1055"/>
      <c r="O44" s="1055"/>
    </row>
    <row r="45" spans="1:29">
      <c r="A45" s="2952"/>
      <c r="B45" s="2952"/>
      <c r="C45" s="2952"/>
      <c r="D45" s="2952"/>
      <c r="E45" s="2952"/>
      <c r="F45" s="2952"/>
      <c r="G45" s="2952"/>
      <c r="H45" s="2952"/>
      <c r="I45" s="2952"/>
      <c r="J45" s="2952"/>
      <c r="K45" s="2957"/>
      <c r="L45" s="1017"/>
      <c r="M45" s="1055"/>
      <c r="N45" s="1055"/>
      <c r="O45" s="1055"/>
    </row>
    <row r="46" spans="1:29" ht="13.5" customHeight="1">
      <c r="A46" s="2952"/>
      <c r="B46" s="2952"/>
      <c r="C46" s="452" t="s">
        <v>2491</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7"/>
      <c r="L46" s="1017"/>
      <c r="M46" s="1055"/>
      <c r="N46" s="1055"/>
      <c r="O46" s="1055"/>
    </row>
    <row r="47" spans="1:29" ht="13.5" customHeight="1">
      <c r="A47" s="2952"/>
      <c r="B47" s="2952"/>
      <c r="C47" s="452" t="s">
        <v>2492</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7"/>
      <c r="L47" s="1017"/>
      <c r="M47" s="1055"/>
      <c r="N47" s="1055"/>
      <c r="O47" s="1055"/>
    </row>
    <row r="48" spans="1:29" s="457" customFormat="1" ht="13.5" customHeight="1">
      <c r="A48" s="2955"/>
      <c r="B48" s="2955"/>
      <c r="C48" s="452" t="s">
        <v>2493</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60"/>
      <c r="L48" s="1058"/>
      <c r="M48" s="1056"/>
      <c r="N48" s="1056"/>
      <c r="O48" s="1056"/>
    </row>
    <row r="49" spans="1:17" s="457" customFormat="1">
      <c r="A49" s="2955"/>
      <c r="B49" s="2958"/>
      <c r="C49" s="2959"/>
      <c r="D49" s="2955"/>
      <c r="E49" s="2955"/>
      <c r="F49" s="2955"/>
      <c r="G49" s="2955"/>
      <c r="H49" s="2955"/>
      <c r="I49" s="2955"/>
      <c r="J49" s="2955"/>
      <c r="K49" s="2960"/>
      <c r="L49" s="1058"/>
      <c r="M49" s="1056"/>
      <c r="N49" s="1056"/>
      <c r="O49" s="1056"/>
    </row>
    <row r="50" spans="1:17">
      <c r="A50" s="2952"/>
      <c r="B50" s="2958"/>
      <c r="C50" s="2959"/>
      <c r="D50" s="2952"/>
      <c r="E50" s="2952"/>
      <c r="F50" s="2952"/>
      <c r="G50" s="2952"/>
      <c r="H50" s="2952"/>
      <c r="I50" s="2952"/>
      <c r="J50" s="2952"/>
      <c r="K50" s="2957"/>
      <c r="L50" s="1017"/>
      <c r="M50" s="1055"/>
      <c r="N50" s="1055"/>
      <c r="O50" s="1055"/>
    </row>
    <row r="51" spans="1:17" ht="21.75" thickBot="1">
      <c r="A51" s="700" t="s">
        <v>2494</v>
      </c>
      <c r="B51" s="696"/>
      <c r="C51" s="701"/>
      <c r="D51" s="701"/>
      <c r="E51" s="701"/>
      <c r="F51" s="702"/>
      <c r="G51" s="702"/>
      <c r="H51" s="701"/>
      <c r="I51" s="701"/>
      <c r="J51" s="701"/>
      <c r="K51" s="1069"/>
      <c r="L51" s="1070"/>
      <c r="M51" s="1068"/>
      <c r="N51" s="1068"/>
      <c r="O51" s="1068"/>
      <c r="P51" s="458"/>
      <c r="Q51" s="459"/>
    </row>
    <row r="52" spans="1:17" s="463" customFormat="1" ht="15">
      <c r="A52" s="460" t="s">
        <v>2368</v>
      </c>
      <c r="B52" s="461"/>
      <c r="C52" s="1343" t="str">
        <f>YEAR(C7)&amp;"-"&amp;MONTH(C7)</f>
        <v>2020-11</v>
      </c>
      <c r="D52" s="1344">
        <f>EDATE(C52,-1)</f>
        <v>44105</v>
      </c>
      <c r="E52" s="1344">
        <f t="shared" ref="E52:O52" si="16">EDATE(D52,-1)</f>
        <v>44075</v>
      </c>
      <c r="F52" s="1344">
        <f t="shared" si="16"/>
        <v>44044</v>
      </c>
      <c r="G52" s="1344">
        <f t="shared" si="16"/>
        <v>44013</v>
      </c>
      <c r="H52" s="1344">
        <f t="shared" si="16"/>
        <v>43983</v>
      </c>
      <c r="I52" s="1344">
        <f t="shared" si="16"/>
        <v>43952</v>
      </c>
      <c r="J52" s="1344">
        <f t="shared" si="16"/>
        <v>43922</v>
      </c>
      <c r="K52" s="1344">
        <f t="shared" si="16"/>
        <v>43891</v>
      </c>
      <c r="L52" s="1344">
        <f t="shared" si="16"/>
        <v>43862</v>
      </c>
      <c r="M52" s="1344">
        <f t="shared" si="16"/>
        <v>43831</v>
      </c>
      <c r="N52" s="1344">
        <f t="shared" si="16"/>
        <v>43800</v>
      </c>
      <c r="O52" s="1344">
        <f t="shared" si="16"/>
        <v>43770</v>
      </c>
      <c r="P52" s="462"/>
    </row>
    <row r="53" spans="1:17" s="113" customFormat="1" ht="15">
      <c r="A53" s="464"/>
      <c r="B53" s="465"/>
      <c r="C53" s="1342">
        <v>100</v>
      </c>
      <c r="D53" s="467"/>
      <c r="E53" s="467"/>
      <c r="F53" s="467"/>
      <c r="G53" s="467"/>
      <c r="H53" s="467"/>
      <c r="I53" s="467"/>
      <c r="J53" s="467"/>
      <c r="K53" s="467"/>
      <c r="L53" s="467"/>
      <c r="M53" s="468"/>
      <c r="N53" s="467"/>
      <c r="O53" s="469"/>
      <c r="P53" s="459"/>
    </row>
    <row r="54" spans="1:17" s="113" customFormat="1" ht="15.75" thickBot="1">
      <c r="A54" s="470" t="s">
        <v>2405</v>
      </c>
      <c r="B54" s="471"/>
      <c r="C54" s="472"/>
      <c r="D54" s="473"/>
      <c r="E54" s="473"/>
      <c r="F54" s="473"/>
      <c r="G54" s="473"/>
      <c r="H54" s="473"/>
      <c r="I54" s="473"/>
      <c r="J54" s="473"/>
      <c r="K54" s="473"/>
      <c r="L54" s="473"/>
      <c r="M54" s="474"/>
      <c r="N54" s="2997"/>
      <c r="O54" s="2998"/>
      <c r="P54" s="459"/>
      <c r="Q54" s="459"/>
    </row>
    <row r="55" spans="1:17" s="113" customFormat="1" ht="15">
      <c r="A55" s="476" t="s">
        <v>2370</v>
      </c>
      <c r="B55" s="465"/>
      <c r="C55" s="477" t="s">
        <v>2472</v>
      </c>
      <c r="D55" s="478"/>
      <c r="E55" s="478"/>
      <c r="F55" s="478"/>
      <c r="G55" s="478"/>
      <c r="H55" s="478"/>
      <c r="I55" s="478"/>
      <c r="J55" s="478"/>
      <c r="K55" s="478"/>
      <c r="L55" s="479"/>
      <c r="M55" s="480"/>
      <c r="N55" s="1060"/>
      <c r="O55" s="1060"/>
      <c r="P55" s="481"/>
      <c r="Q55" s="459"/>
    </row>
    <row r="56" spans="1:17" s="113" customFormat="1" ht="15.75" thickBot="1">
      <c r="A56" s="476"/>
      <c r="B56" s="465"/>
      <c r="C56" s="593">
        <v>100</v>
      </c>
      <c r="D56" s="467"/>
      <c r="E56" s="467"/>
      <c r="F56" s="467"/>
      <c r="G56" s="467"/>
      <c r="H56" s="467"/>
      <c r="I56" s="467"/>
      <c r="J56" s="467"/>
      <c r="K56" s="467"/>
      <c r="L56" s="467"/>
      <c r="M56" s="469"/>
      <c r="N56" s="1060"/>
      <c r="O56" s="1060"/>
      <c r="P56" s="459"/>
      <c r="Q56" s="459"/>
    </row>
    <row r="57" spans="1:17">
      <c r="A57" s="482" t="s">
        <v>2408</v>
      </c>
      <c r="B57" s="483" t="s">
        <v>2374</v>
      </c>
      <c r="C57" s="484">
        <f>C9</f>
        <v>0</v>
      </c>
      <c r="D57" s="485"/>
      <c r="E57" s="485"/>
      <c r="F57" s="485"/>
      <c r="G57" s="485"/>
      <c r="H57" s="485"/>
      <c r="I57" s="485"/>
      <c r="J57" s="485"/>
      <c r="K57" s="486"/>
      <c r="L57" s="487"/>
      <c r="M57" s="488"/>
      <c r="N57" s="1061"/>
      <c r="O57" s="1061"/>
      <c r="P57" s="45"/>
      <c r="Q57" s="459"/>
    </row>
    <row r="58" spans="1:17" ht="15.75" thickBot="1">
      <c r="A58" s="489"/>
      <c r="B58" s="490"/>
      <c r="C58" s="491">
        <v>100</v>
      </c>
      <c r="D58" s="491"/>
      <c r="E58" s="491"/>
      <c r="F58" s="491"/>
      <c r="G58" s="491"/>
      <c r="H58" s="491"/>
      <c r="I58" s="491"/>
      <c r="J58" s="491"/>
      <c r="K58" s="491"/>
      <c r="L58" s="491"/>
      <c r="M58" s="492"/>
      <c r="N58" s="1062"/>
      <c r="O58" s="1062"/>
      <c r="P58" s="45"/>
      <c r="Q58" s="459"/>
    </row>
    <row r="59" spans="1:17" ht="27.75" thickTop="1">
      <c r="A59" s="489"/>
      <c r="B59" s="493" t="s">
        <v>2377</v>
      </c>
      <c r="C59" s="494" t="s">
        <v>2409</v>
      </c>
      <c r="D59" s="494" t="s">
        <v>2410</v>
      </c>
      <c r="E59" s="494" t="s">
        <v>2411</v>
      </c>
      <c r="F59" s="494" t="s">
        <v>2412</v>
      </c>
      <c r="G59" s="494" t="s">
        <v>2413</v>
      </c>
      <c r="H59" s="494" t="s">
        <v>2414</v>
      </c>
      <c r="I59" s="494" t="s">
        <v>2415</v>
      </c>
      <c r="J59" s="494"/>
      <c r="K59" s="495"/>
      <c r="L59" s="496"/>
      <c r="M59" s="497"/>
      <c r="N59" s="1061"/>
      <c r="O59" s="1061"/>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2"/>
      <c r="O60" s="1062"/>
      <c r="P60" s="45"/>
      <c r="Q60" s="459"/>
    </row>
    <row r="61" spans="1:17" ht="15.75" thickTop="1">
      <c r="A61" s="489"/>
      <c r="B61" s="501" t="s">
        <v>2378</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2"/>
      <c r="O61" s="1062"/>
      <c r="P61" s="45"/>
      <c r="Q61" s="459"/>
    </row>
    <row r="62" spans="1:17" ht="15">
      <c r="A62" s="489"/>
      <c r="B62" s="503"/>
      <c r="C62" s="504"/>
      <c r="D62" s="504"/>
      <c r="E62" s="504"/>
      <c r="F62" s="504"/>
      <c r="G62" s="504"/>
      <c r="H62" s="504"/>
      <c r="I62" s="504"/>
      <c r="J62" s="504"/>
      <c r="K62" s="505"/>
      <c r="L62" s="506"/>
      <c r="M62" s="507"/>
      <c r="N62" s="1061"/>
      <c r="O62" s="1061"/>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2"/>
      <c r="O63" s="1062"/>
      <c r="P63" s="45"/>
      <c r="Q63" s="459"/>
    </row>
    <row r="64" spans="1:17" s="428" customFormat="1" ht="15.75" thickTop="1">
      <c r="A64" s="508"/>
      <c r="B64" s="493">
        <f>B12</f>
        <v>111</v>
      </c>
      <c r="C64" s="509"/>
      <c r="D64" s="509"/>
      <c r="E64" s="509"/>
      <c r="F64" s="509"/>
      <c r="G64" s="509"/>
      <c r="H64" s="510"/>
      <c r="I64" s="510"/>
      <c r="J64" s="510"/>
      <c r="K64" s="510"/>
      <c r="L64" s="511"/>
      <c r="M64" s="512"/>
      <c r="N64" s="1063"/>
      <c r="O64" s="1063"/>
      <c r="P64" s="513"/>
      <c r="Q64" s="514"/>
    </row>
    <row r="65" spans="1:17" s="428" customFormat="1" ht="15.75" thickBot="1">
      <c r="A65" s="508"/>
      <c r="B65" s="498"/>
      <c r="C65" s="515"/>
      <c r="D65" s="491"/>
      <c r="E65" s="491"/>
      <c r="F65" s="491"/>
      <c r="G65" s="491"/>
      <c r="H65" s="491"/>
      <c r="I65" s="491"/>
      <c r="J65" s="491"/>
      <c r="K65" s="491"/>
      <c r="L65" s="491"/>
      <c r="M65" s="492"/>
      <c r="N65" s="1062"/>
      <c r="O65" s="1062"/>
      <c r="P65" s="513"/>
      <c r="Q65" s="514"/>
    </row>
    <row r="66" spans="1:17" s="428" customFormat="1" ht="15.75" thickTop="1">
      <c r="A66" s="508"/>
      <c r="B66" s="493">
        <f>B13</f>
        <v>111</v>
      </c>
      <c r="C66" s="509"/>
      <c r="D66" s="509"/>
      <c r="E66" s="509"/>
      <c r="F66" s="509"/>
      <c r="G66" s="509"/>
      <c r="H66" s="510"/>
      <c r="I66" s="510"/>
      <c r="J66" s="510"/>
      <c r="K66" s="510"/>
      <c r="L66" s="511"/>
      <c r="M66" s="512"/>
      <c r="N66" s="1063"/>
      <c r="O66" s="1063"/>
      <c r="P66" s="427"/>
      <c r="Q66" s="516"/>
    </row>
    <row r="67" spans="1:17" s="428" customFormat="1" ht="15.75" thickBot="1">
      <c r="A67" s="508"/>
      <c r="B67" s="498"/>
      <c r="C67" s="515"/>
      <c r="D67" s="491"/>
      <c r="E67" s="491"/>
      <c r="F67" s="491"/>
      <c r="G67" s="515"/>
      <c r="H67" s="517"/>
      <c r="I67" s="517"/>
      <c r="J67" s="517"/>
      <c r="K67" s="517"/>
      <c r="L67" s="517"/>
      <c r="M67" s="518"/>
      <c r="N67" s="1063"/>
      <c r="O67" s="1063"/>
      <c r="P67" s="513"/>
      <c r="Q67" s="514"/>
    </row>
    <row r="68" spans="1:17" s="428" customFormat="1" ht="15.75" thickTop="1">
      <c r="A68" s="508"/>
      <c r="B68" s="501">
        <f>B14</f>
        <v>111</v>
      </c>
      <c r="C68" s="478"/>
      <c r="D68" s="478"/>
      <c r="E68" s="478"/>
      <c r="F68" s="478"/>
      <c r="G68" s="478"/>
      <c r="H68" s="519"/>
      <c r="I68" s="519"/>
      <c r="J68" s="519"/>
      <c r="K68" s="519"/>
      <c r="L68" s="520"/>
      <c r="M68" s="521"/>
      <c r="N68" s="1063"/>
      <c r="O68" s="1063"/>
      <c r="P68" s="522"/>
      <c r="Q68" s="514"/>
    </row>
    <row r="69" spans="1:17" s="428" customFormat="1" ht="15.75" thickBot="1">
      <c r="A69" s="523"/>
      <c r="B69" s="524"/>
      <c r="C69" s="525"/>
      <c r="D69" s="525"/>
      <c r="E69" s="525"/>
      <c r="F69" s="525"/>
      <c r="G69" s="525"/>
      <c r="H69" s="526"/>
      <c r="I69" s="526"/>
      <c r="J69" s="526"/>
      <c r="K69" s="526"/>
      <c r="L69" s="526"/>
      <c r="M69" s="527"/>
      <c r="N69" s="1063"/>
      <c r="O69" s="1063"/>
      <c r="P69" s="513"/>
      <c r="Q69" s="514"/>
    </row>
    <row r="70" spans="1:17">
      <c r="A70" s="482" t="s">
        <v>2379</v>
      </c>
      <c r="B70" s="483" t="s">
        <v>2525</v>
      </c>
      <c r="C70" s="528" t="s">
        <v>2417</v>
      </c>
      <c r="D70" s="528" t="s">
        <v>2418</v>
      </c>
      <c r="E70" s="528" t="s">
        <v>2419</v>
      </c>
      <c r="F70" s="528" t="s">
        <v>2420</v>
      </c>
      <c r="G70" s="528" t="s">
        <v>2421</v>
      </c>
      <c r="H70" s="484"/>
      <c r="I70" s="484"/>
      <c r="J70" s="484"/>
      <c r="K70" s="529"/>
      <c r="L70" s="530"/>
      <c r="M70" s="531"/>
      <c r="N70" s="1061"/>
      <c r="O70" s="1061"/>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2"/>
      <c r="O71" s="1062"/>
      <c r="P71" s="45"/>
      <c r="Q71" s="459"/>
    </row>
    <row r="72" spans="1:17" ht="15.75" thickTop="1">
      <c r="A72" s="489"/>
      <c r="B72" s="493" t="s">
        <v>2422</v>
      </c>
      <c r="C72" s="533" t="s">
        <v>2417</v>
      </c>
      <c r="D72" s="533" t="s">
        <v>2418</v>
      </c>
      <c r="E72" s="533" t="s">
        <v>2419</v>
      </c>
      <c r="F72" s="533" t="s">
        <v>2420</v>
      </c>
      <c r="G72" s="533" t="s">
        <v>2421</v>
      </c>
      <c r="H72" s="494"/>
      <c r="I72" s="494"/>
      <c r="J72" s="494"/>
      <c r="K72" s="495"/>
      <c r="L72" s="496"/>
      <c r="M72" s="497"/>
      <c r="N72" s="1061"/>
      <c r="O72" s="1061"/>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2"/>
      <c r="O73" s="1062"/>
      <c r="P73" s="45"/>
      <c r="Q73" s="459"/>
    </row>
    <row r="74" spans="1:17" ht="15.75" thickTop="1">
      <c r="A74" s="489"/>
      <c r="B74" s="493" t="s">
        <v>2423</v>
      </c>
      <c r="C74" s="533" t="s">
        <v>2417</v>
      </c>
      <c r="D74" s="533" t="s">
        <v>2418</v>
      </c>
      <c r="E74" s="533" t="s">
        <v>2419</v>
      </c>
      <c r="F74" s="533" t="s">
        <v>2420</v>
      </c>
      <c r="G74" s="533" t="s">
        <v>2421</v>
      </c>
      <c r="H74" s="494"/>
      <c r="I74" s="494"/>
      <c r="J74" s="494"/>
      <c r="K74" s="495"/>
      <c r="L74" s="496"/>
      <c r="M74" s="497"/>
      <c r="N74" s="1061"/>
      <c r="O74" s="1061"/>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2"/>
      <c r="O75" s="1062"/>
      <c r="P75" s="45"/>
      <c r="Q75" s="459"/>
    </row>
    <row r="76" spans="1:17" ht="15.75" thickTop="1">
      <c r="A76" s="489"/>
      <c r="B76" s="501" t="s">
        <v>2509</v>
      </c>
      <c r="C76" s="614" t="s">
        <v>2495</v>
      </c>
      <c r="D76" s="614" t="s">
        <v>2496</v>
      </c>
      <c r="E76" s="614" t="s">
        <v>2497</v>
      </c>
      <c r="F76" s="614" t="s">
        <v>2498</v>
      </c>
      <c r="G76" s="614" t="s">
        <v>2499</v>
      </c>
      <c r="H76" s="494"/>
      <c r="I76" s="494"/>
      <c r="J76" s="494"/>
      <c r="K76" s="494"/>
      <c r="L76" s="494"/>
      <c r="M76" s="1288"/>
      <c r="N76" s="1062"/>
      <c r="O76" s="1062"/>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2"/>
      <c r="O77" s="1062"/>
      <c r="P77" s="45"/>
      <c r="Q77" s="459"/>
    </row>
    <row r="78" spans="1:17" ht="15.75" thickTop="1">
      <c r="A78" s="489"/>
      <c r="B78" s="493" t="s">
        <v>2518</v>
      </c>
      <c r="C78" s="533" t="s">
        <v>2417</v>
      </c>
      <c r="D78" s="533" t="s">
        <v>2418</v>
      </c>
      <c r="E78" s="533" t="s">
        <v>2419</v>
      </c>
      <c r="F78" s="533" t="s">
        <v>2420</v>
      </c>
      <c r="G78" s="533" t="s">
        <v>2421</v>
      </c>
      <c r="H78" s="494"/>
      <c r="I78" s="494"/>
      <c r="J78" s="494"/>
      <c r="K78" s="495"/>
      <c r="L78" s="496"/>
      <c r="M78" s="497"/>
      <c r="N78" s="1061"/>
      <c r="O78" s="1061"/>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2"/>
      <c r="O79" s="1062"/>
      <c r="P79" s="45"/>
      <c r="Q79" s="459"/>
    </row>
    <row r="80" spans="1:17" s="113" customFormat="1" ht="15.75" thickTop="1">
      <c r="A80" s="534"/>
      <c r="B80" s="493">
        <f>B25</f>
        <v>111</v>
      </c>
      <c r="C80" s="509"/>
      <c r="D80" s="509"/>
      <c r="E80" s="509"/>
      <c r="F80" s="509"/>
      <c r="G80" s="509"/>
      <c r="H80" s="509"/>
      <c r="I80" s="509"/>
      <c r="J80" s="509"/>
      <c r="K80" s="509"/>
      <c r="L80" s="535"/>
      <c r="M80" s="536"/>
      <c r="N80" s="1060"/>
      <c r="O80" s="1060"/>
      <c r="P80" s="45"/>
      <c r="Q80" s="459"/>
    </row>
    <row r="81" spans="1:17" s="113" customFormat="1" ht="15.75" thickBot="1">
      <c r="A81" s="534"/>
      <c r="B81" s="498"/>
      <c r="C81" s="515"/>
      <c r="D81" s="491"/>
      <c r="E81" s="491"/>
      <c r="F81" s="491"/>
      <c r="G81" s="491"/>
      <c r="H81" s="491"/>
      <c r="I81" s="491"/>
      <c r="J81" s="491"/>
      <c r="K81" s="491"/>
      <c r="L81" s="491"/>
      <c r="M81" s="492"/>
      <c r="N81" s="1062"/>
      <c r="O81" s="1062"/>
      <c r="P81" s="45"/>
      <c r="Q81" s="459"/>
    </row>
    <row r="82" spans="1:17" s="113" customFormat="1" ht="15.75" thickTop="1">
      <c r="A82" s="534"/>
      <c r="B82" s="493">
        <f>B26</f>
        <v>111</v>
      </c>
      <c r="C82" s="509"/>
      <c r="D82" s="509"/>
      <c r="E82" s="509"/>
      <c r="F82" s="509"/>
      <c r="G82" s="509"/>
      <c r="H82" s="509"/>
      <c r="I82" s="509"/>
      <c r="J82" s="509"/>
      <c r="K82" s="509"/>
      <c r="L82" s="535"/>
      <c r="M82" s="536"/>
      <c r="N82" s="1060"/>
      <c r="O82" s="1060"/>
      <c r="P82" s="45"/>
      <c r="Q82" s="459"/>
    </row>
    <row r="83" spans="1:17" s="113" customFormat="1" ht="15.75" thickBot="1">
      <c r="A83" s="534"/>
      <c r="B83" s="498"/>
      <c r="C83" s="515"/>
      <c r="D83" s="491"/>
      <c r="E83" s="491"/>
      <c r="F83" s="491"/>
      <c r="G83" s="491"/>
      <c r="H83" s="491"/>
      <c r="I83" s="491"/>
      <c r="J83" s="491"/>
      <c r="K83" s="491"/>
      <c r="L83" s="491"/>
      <c r="M83" s="492"/>
      <c r="N83" s="1062"/>
      <c r="O83" s="1062"/>
      <c r="P83" s="45"/>
      <c r="Q83" s="459"/>
    </row>
    <row r="84" spans="1:17" s="428" customFormat="1" ht="15.75" thickTop="1">
      <c r="A84" s="508"/>
      <c r="B84" s="493">
        <f>B27</f>
        <v>111</v>
      </c>
      <c r="C84" s="509"/>
      <c r="D84" s="509"/>
      <c r="E84" s="509"/>
      <c r="F84" s="509"/>
      <c r="G84" s="509"/>
      <c r="H84" s="509"/>
      <c r="I84" s="509"/>
      <c r="J84" s="509"/>
      <c r="K84" s="509"/>
      <c r="L84" s="535"/>
      <c r="M84" s="536"/>
      <c r="N84" s="1063"/>
      <c r="O84" s="1063"/>
      <c r="P84" s="513"/>
      <c r="Q84" s="514"/>
    </row>
    <row r="85" spans="1:17" s="428" customFormat="1" ht="15.75" thickBot="1">
      <c r="A85" s="508"/>
      <c r="B85" s="498"/>
      <c r="C85" s="515"/>
      <c r="D85" s="491"/>
      <c r="E85" s="491"/>
      <c r="F85" s="491"/>
      <c r="G85" s="491"/>
      <c r="H85" s="491"/>
      <c r="I85" s="491"/>
      <c r="J85" s="491"/>
      <c r="K85" s="491"/>
      <c r="L85" s="491"/>
      <c r="M85" s="492"/>
      <c r="N85" s="1063"/>
      <c r="O85" s="1063"/>
      <c r="P85" s="513"/>
      <c r="Q85" s="514"/>
    </row>
    <row r="86" spans="1:17" ht="15.75" thickTop="1">
      <c r="A86" s="489"/>
      <c r="B86" s="501">
        <f>B28</f>
        <v>111</v>
      </c>
      <c r="C86" s="478"/>
      <c r="D86" s="478"/>
      <c r="E86" s="478"/>
      <c r="F86" s="478"/>
      <c r="G86" s="542"/>
      <c r="H86" s="542"/>
      <c r="I86" s="542"/>
      <c r="J86" s="542"/>
      <c r="K86" s="543"/>
      <c r="L86" s="544"/>
      <c r="M86" s="545"/>
      <c r="N86" s="1061"/>
      <c r="O86" s="1061"/>
      <c r="P86" s="45"/>
      <c r="Q86" s="459"/>
    </row>
    <row r="87" spans="1:17" ht="15.75" thickBot="1">
      <c r="A87" s="2112"/>
      <c r="B87" s="524"/>
      <c r="C87" s="525"/>
      <c r="D87" s="525"/>
      <c r="E87" s="525"/>
      <c r="F87" s="525"/>
      <c r="G87" s="546"/>
      <c r="H87" s="546"/>
      <c r="I87" s="546"/>
      <c r="J87" s="546"/>
      <c r="K87" s="546"/>
      <c r="L87" s="546"/>
      <c r="M87" s="547"/>
      <c r="N87" s="1062"/>
      <c r="O87" s="1062"/>
      <c r="P87" s="45"/>
      <c r="Q87" s="459"/>
    </row>
    <row r="88" spans="1:17">
      <c r="A88" s="482" t="s">
        <v>2383</v>
      </c>
      <c r="B88" s="483" t="s">
        <v>2432</v>
      </c>
      <c r="C88" s="485"/>
      <c r="D88" s="485"/>
      <c r="E88" s="485"/>
      <c r="F88" s="485"/>
      <c r="G88" s="485"/>
      <c r="H88" s="485"/>
      <c r="I88" s="485"/>
      <c r="J88" s="485"/>
      <c r="K88" s="486"/>
      <c r="L88" s="487"/>
      <c r="M88" s="488"/>
      <c r="N88" s="1061"/>
      <c r="O88" s="1061"/>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2"/>
      <c r="O89" s="1062"/>
      <c r="P89" s="45"/>
      <c r="Q89" s="459"/>
    </row>
    <row r="90" spans="1:17" ht="15.75" thickTop="1">
      <c r="A90" s="489"/>
      <c r="B90" s="493" t="s">
        <v>2433</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0"/>
      <c r="O90" s="1060"/>
      <c r="P90" s="45"/>
      <c r="Q90" s="459"/>
    </row>
    <row r="91" spans="1:17" s="428" customFormat="1">
      <c r="A91" s="548"/>
      <c r="B91" s="549"/>
      <c r="C91" s="550"/>
      <c r="D91" s="550"/>
      <c r="E91" s="550"/>
      <c r="F91" s="550"/>
      <c r="G91" s="550"/>
      <c r="H91" s="550"/>
      <c r="I91" s="550"/>
      <c r="J91" s="551"/>
      <c r="K91" s="551"/>
      <c r="L91" s="552"/>
      <c r="M91" s="553"/>
      <c r="N91" s="1063"/>
      <c r="O91" s="1063"/>
      <c r="P91" s="513"/>
      <c r="Q91" s="514"/>
    </row>
    <row r="92" spans="1:17" s="428" customFormat="1" ht="15.75" thickBot="1">
      <c r="A92" s="508"/>
      <c r="B92" s="498"/>
      <c r="C92" s="515"/>
      <c r="D92" s="491"/>
      <c r="E92" s="491"/>
      <c r="F92" s="491"/>
      <c r="G92" s="491"/>
      <c r="H92" s="491"/>
      <c r="I92" s="491"/>
      <c r="J92" s="491"/>
      <c r="K92" s="491"/>
      <c r="L92" s="491"/>
      <c r="M92" s="492"/>
      <c r="N92" s="1062"/>
      <c r="O92" s="1062"/>
      <c r="P92" s="513"/>
      <c r="Q92" s="514"/>
    </row>
    <row r="93" spans="1:17" ht="15" thickTop="1">
      <c r="A93" s="554"/>
      <c r="B93" s="493" t="s">
        <v>2434</v>
      </c>
      <c r="C93" s="509"/>
      <c r="D93" s="509"/>
      <c r="E93" s="538"/>
      <c r="F93" s="538"/>
      <c r="G93" s="538"/>
      <c r="H93" s="538"/>
      <c r="I93" s="538"/>
      <c r="J93" s="538"/>
      <c r="K93" s="539"/>
      <c r="L93" s="540"/>
      <c r="M93" s="541"/>
      <c r="N93" s="1061"/>
      <c r="O93" s="1061"/>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2"/>
      <c r="O94" s="1062"/>
      <c r="P94" s="45"/>
      <c r="Q94" s="459"/>
    </row>
    <row r="95" spans="1:17" ht="15" thickTop="1">
      <c r="A95" s="554"/>
      <c r="B95" s="493" t="s">
        <v>2436</v>
      </c>
      <c r="C95" s="509"/>
      <c r="D95" s="509"/>
      <c r="E95" s="509"/>
      <c r="F95" s="538"/>
      <c r="G95" s="538"/>
      <c r="H95" s="538"/>
      <c r="I95" s="538"/>
      <c r="J95" s="538"/>
      <c r="K95" s="539"/>
      <c r="L95" s="540"/>
      <c r="M95" s="541"/>
      <c r="N95" s="1061"/>
      <c r="O95" s="1061"/>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2"/>
      <c r="O96" s="1062"/>
      <c r="P96" s="45"/>
      <c r="Q96" s="459"/>
    </row>
    <row r="97" spans="1:17" ht="15" thickTop="1">
      <c r="A97" s="554"/>
      <c r="B97" s="493" t="s">
        <v>1877</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1"/>
      <c r="O97" s="1061"/>
      <c r="P97" s="45"/>
      <c r="Q97" s="459"/>
    </row>
    <row r="98" spans="1:17">
      <c r="A98" s="554"/>
      <c r="B98" s="501"/>
      <c r="C98" s="558">
        <v>0.5</v>
      </c>
      <c r="D98" s="558">
        <v>0.6</v>
      </c>
      <c r="E98" s="558">
        <v>0.7</v>
      </c>
      <c r="F98" s="558">
        <v>0.8</v>
      </c>
      <c r="G98" s="558">
        <v>0.9</v>
      </c>
      <c r="H98" s="558">
        <v>1.0001</v>
      </c>
      <c r="I98" s="577"/>
      <c r="J98" s="577"/>
      <c r="K98" s="578"/>
      <c r="L98" s="579"/>
      <c r="M98" s="580"/>
      <c r="N98" s="1061"/>
      <c r="O98" s="1061"/>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2"/>
      <c r="O99" s="1062"/>
      <c r="P99" s="45"/>
      <c r="Q99" s="459"/>
    </row>
    <row r="100" spans="1:17" s="428" customFormat="1" ht="15" thickTop="1">
      <c r="A100" s="548"/>
      <c r="B100" s="493" t="s">
        <v>2437</v>
      </c>
      <c r="C100" s="509"/>
      <c r="D100" s="509"/>
      <c r="E100" s="509"/>
      <c r="F100" s="509"/>
      <c r="G100" s="509"/>
      <c r="H100" s="538"/>
      <c r="I100" s="538"/>
      <c r="J100" s="538"/>
      <c r="K100" s="539"/>
      <c r="L100" s="540"/>
      <c r="M100" s="541"/>
      <c r="N100" s="1063"/>
      <c r="O100" s="1063"/>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3"/>
      <c r="O101" s="1063"/>
      <c r="P101" s="513"/>
      <c r="Q101" s="514"/>
    </row>
    <row r="102" spans="1:17" ht="15" thickTop="1">
      <c r="A102" s="554"/>
      <c r="B102" s="493" t="s">
        <v>2438</v>
      </c>
      <c r="C102" s="509"/>
      <c r="D102" s="509"/>
      <c r="E102" s="509"/>
      <c r="F102" s="509"/>
      <c r="G102" s="509"/>
      <c r="H102" s="538"/>
      <c r="I102" s="538"/>
      <c r="J102" s="538"/>
      <c r="K102" s="539"/>
      <c r="L102" s="540"/>
      <c r="M102" s="541"/>
      <c r="N102" s="1061"/>
      <c r="O102" s="1061"/>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2"/>
      <c r="O103" s="1062"/>
      <c r="P103" s="45"/>
      <c r="Q103" s="459"/>
    </row>
    <row r="104" spans="1:17" ht="15" thickTop="1">
      <c r="A104" s="554"/>
      <c r="B104" s="493" t="s">
        <v>2440</v>
      </c>
      <c r="C104" s="509"/>
      <c r="D104" s="509"/>
      <c r="E104" s="509"/>
      <c r="F104" s="509"/>
      <c r="G104" s="509"/>
      <c r="H104" s="538"/>
      <c r="I104" s="538"/>
      <c r="J104" s="538"/>
      <c r="K104" s="539"/>
      <c r="L104" s="540"/>
      <c r="M104" s="541"/>
      <c r="N104" s="1061"/>
      <c r="O104" s="1061"/>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2"/>
      <c r="O105" s="1062"/>
      <c r="P105" s="45"/>
      <c r="Q105" s="459"/>
    </row>
    <row r="106" spans="1:17" ht="15" thickTop="1">
      <c r="A106" s="554"/>
      <c r="B106" s="590" t="s">
        <v>2526</v>
      </c>
      <c r="C106" s="533" t="s">
        <v>2417</v>
      </c>
      <c r="D106" s="533" t="s">
        <v>2418</v>
      </c>
      <c r="E106" s="533" t="s">
        <v>2419</v>
      </c>
      <c r="F106" s="533" t="s">
        <v>2420</v>
      </c>
      <c r="G106" s="533" t="s">
        <v>2421</v>
      </c>
      <c r="H106" s="494"/>
      <c r="I106" s="494"/>
      <c r="J106" s="494"/>
      <c r="K106" s="495"/>
      <c r="L106" s="496"/>
      <c r="M106" s="497"/>
      <c r="N106" s="1062"/>
      <c r="O106" s="1062"/>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2"/>
      <c r="O107" s="1062"/>
      <c r="P107" s="45"/>
      <c r="Q107" s="459"/>
    </row>
    <row r="108" spans="1:17" s="428" customFormat="1" ht="15" thickTop="1">
      <c r="A108" s="548"/>
      <c r="B108" s="493">
        <f>B38</f>
        <v>111</v>
      </c>
      <c r="C108" s="509"/>
      <c r="D108" s="509"/>
      <c r="E108" s="509"/>
      <c r="F108" s="509"/>
      <c r="G108" s="509"/>
      <c r="H108" s="510"/>
      <c r="I108" s="510"/>
      <c r="J108" s="510"/>
      <c r="K108" s="510"/>
      <c r="L108" s="511"/>
      <c r="M108" s="512"/>
      <c r="N108" s="1063"/>
      <c r="O108" s="1063"/>
      <c r="P108" s="513"/>
      <c r="Q108" s="514"/>
    </row>
    <row r="109" spans="1:17" s="428" customFormat="1" ht="15.75" thickBot="1">
      <c r="A109" s="508"/>
      <c r="B109" s="490"/>
      <c r="C109" s="515"/>
      <c r="D109" s="491"/>
      <c r="E109" s="491"/>
      <c r="F109" s="491"/>
      <c r="G109" s="515"/>
      <c r="H109" s="517"/>
      <c r="I109" s="517"/>
      <c r="J109" s="517"/>
      <c r="K109" s="517"/>
      <c r="L109" s="517"/>
      <c r="M109" s="518"/>
      <c r="N109" s="1063"/>
      <c r="O109" s="1063"/>
      <c r="P109" s="513"/>
      <c r="Q109" s="514"/>
    </row>
    <row r="110" spans="1:17" ht="15" thickTop="1">
      <c r="A110" s="554"/>
      <c r="B110" s="493">
        <f>B39</f>
        <v>111</v>
      </c>
      <c r="C110" s="509"/>
      <c r="D110" s="509"/>
      <c r="E110" s="509"/>
      <c r="F110" s="509"/>
      <c r="G110" s="509"/>
      <c r="H110" s="510"/>
      <c r="I110" s="510"/>
      <c r="J110" s="510"/>
      <c r="K110" s="510"/>
      <c r="L110" s="511"/>
      <c r="M110" s="512"/>
      <c r="N110" s="1061"/>
      <c r="O110" s="1061"/>
      <c r="P110" s="45"/>
      <c r="Q110" s="459"/>
    </row>
    <row r="111" spans="1:17" ht="15.75" thickBot="1">
      <c r="A111" s="489"/>
      <c r="B111" s="498"/>
      <c r="C111" s="515"/>
      <c r="D111" s="491"/>
      <c r="E111" s="491"/>
      <c r="F111" s="491"/>
      <c r="G111" s="515"/>
      <c r="H111" s="517"/>
      <c r="I111" s="517"/>
      <c r="J111" s="517"/>
      <c r="K111" s="517"/>
      <c r="L111" s="517"/>
      <c r="M111" s="518"/>
      <c r="N111" s="1062"/>
      <c r="O111" s="1062"/>
      <c r="P111" s="45"/>
      <c r="Q111" s="459"/>
    </row>
    <row r="112" spans="1:17" ht="15" thickTop="1">
      <c r="A112" s="554"/>
      <c r="B112" s="501">
        <f>B40</f>
        <v>111</v>
      </c>
      <c r="C112" s="478"/>
      <c r="D112" s="478"/>
      <c r="E112" s="478"/>
      <c r="F112" s="478"/>
      <c r="G112" s="542"/>
      <c r="H112" s="542"/>
      <c r="I112" s="542"/>
      <c r="J112" s="542"/>
      <c r="K112" s="478"/>
      <c r="L112" s="479"/>
      <c r="M112" s="545"/>
      <c r="N112" s="1061"/>
      <c r="O112" s="1061"/>
      <c r="P112" s="45"/>
      <c r="Q112" s="459"/>
    </row>
    <row r="113" spans="1:17" ht="15.75" thickBot="1">
      <c r="A113" s="2112"/>
      <c r="B113" s="524"/>
      <c r="C113" s="525"/>
      <c r="D113" s="525"/>
      <c r="E113" s="525"/>
      <c r="F113" s="525"/>
      <c r="G113" s="546"/>
      <c r="H113" s="546"/>
      <c r="I113" s="546"/>
      <c r="J113" s="546"/>
      <c r="K113" s="546"/>
      <c r="L113" s="546"/>
      <c r="M113" s="547"/>
      <c r="N113" s="1062"/>
      <c r="O113" s="1062"/>
      <c r="P113" s="45"/>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N36" sqref="N36"/>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4"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2527</v>
      </c>
      <c r="B1" s="1388"/>
      <c r="C1" s="1389" t="s">
        <v>2350</v>
      </c>
      <c r="D1" s="1390"/>
      <c r="E1" s="1391"/>
      <c r="F1" s="2063"/>
      <c r="G1" s="1392" t="s">
        <v>2463</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6" customFormat="1" ht="28.5" customHeight="1" thickTop="1">
      <c r="A2" s="1386" t="s">
        <v>2150</v>
      </c>
      <c r="B2" s="1323" t="e">
        <f ca="1">IF(C2="——",IF(B37="元/平方米",ROUND(C39*D3/10000,0),ROUND(F3*C39/10000,0)),IF(B37="元/平方米",ROUND(C39*D3/10000,0),ROUND(F3*C39/10000,0))-D2)</f>
        <v>#DIV/0!</v>
      </c>
      <c r="C2" s="2065"/>
      <c r="D2" s="1035" t="e">
        <f ca="1">SUMIF(INDIRECT("'"&amp;F2&amp;"'"&amp;"!A:A"),"承租人权益价值",INDIRECT("'"&amp;F2&amp;"'"&amp;"!c:c"))</f>
        <v>#REF!</v>
      </c>
      <c r="E2" s="2066" t="s">
        <v>2151</v>
      </c>
      <c r="F2" s="2067"/>
      <c r="G2" s="1036"/>
      <c r="H2" s="1036"/>
      <c r="I2" s="1036"/>
      <c r="J2" s="1036"/>
      <c r="K2" s="1038"/>
      <c r="L2" s="2961"/>
      <c r="M2" s="2962"/>
      <c r="N2" s="2962"/>
      <c r="O2" s="2962"/>
      <c r="P2" s="1324"/>
      <c r="Q2" s="705"/>
      <c r="R2" s="705"/>
      <c r="S2" s="705"/>
      <c r="T2" s="705"/>
      <c r="U2" s="705"/>
      <c r="V2" s="705"/>
      <c r="W2" s="705"/>
      <c r="X2" s="705"/>
      <c r="Y2" s="705"/>
      <c r="Z2" s="705"/>
      <c r="AA2" s="705"/>
      <c r="AB2" s="705"/>
      <c r="AC2" s="706"/>
    </row>
    <row r="3" spans="1:29" s="356" customFormat="1" ht="28.5" customHeight="1" thickBot="1">
      <c r="A3" s="207" t="s">
        <v>2152</v>
      </c>
      <c r="B3" s="564" t="e">
        <f ca="1">IF(AND(C2="——",B37="元/平方米"),C39,ROUND(B2*10000/D3,0))</f>
        <v>#DIV/0!</v>
      </c>
      <c r="C3" s="358" t="s">
        <v>2464</v>
      </c>
      <c r="D3" s="357">
        <f>SUMIF('数据-汇总表'!$C19:$C33,D1,'数据-汇总表'!$E19:$E33)</f>
        <v>0</v>
      </c>
      <c r="E3" s="358" t="s">
        <v>2528</v>
      </c>
      <c r="F3" s="357">
        <f>SUMIF('数据-取费表'!A5:A15,D1,'数据-取费表'!AH5:AH15)</f>
        <v>0</v>
      </c>
      <c r="G3" s="1036"/>
      <c r="H3" s="1036"/>
      <c r="I3" s="1036"/>
      <c r="J3" s="1036"/>
      <c r="K3" s="1038"/>
      <c r="L3" s="2961"/>
      <c r="M3" s="2962"/>
      <c r="N3" s="2962"/>
      <c r="O3" s="2962"/>
      <c r="P3" s="1324"/>
      <c r="Q3" s="705"/>
      <c r="R3" s="705"/>
      <c r="S3" s="705"/>
      <c r="T3" s="705"/>
      <c r="U3" s="705"/>
      <c r="V3" s="705"/>
      <c r="W3" s="705"/>
      <c r="X3" s="705"/>
      <c r="Y3" s="705"/>
      <c r="Z3" s="705"/>
      <c r="AA3" s="705"/>
      <c r="AB3" s="722"/>
      <c r="AC3" s="719"/>
    </row>
    <row r="4" spans="1:29" ht="15">
      <c r="A4" s="359" t="s">
        <v>2465</v>
      </c>
      <c r="B4" s="360"/>
      <c r="C4" s="3296" t="s">
        <v>2466</v>
      </c>
      <c r="D4" s="3297"/>
      <c r="E4" s="3298" t="s">
        <v>2467</v>
      </c>
      <c r="F4" s="3299"/>
      <c r="G4" s="3296" t="s">
        <v>2468</v>
      </c>
      <c r="H4" s="3297"/>
      <c r="I4" s="3296" t="s">
        <v>2469</v>
      </c>
      <c r="J4" s="3297"/>
      <c r="K4" s="565" t="s">
        <v>2470</v>
      </c>
      <c r="L4" s="2942"/>
      <c r="M4" s="2943"/>
      <c r="N4" s="2943"/>
      <c r="O4" s="2943"/>
      <c r="P4" s="3300" t="s">
        <v>2471</v>
      </c>
      <c r="Q4" s="3301"/>
      <c r="R4" s="3283" t="s">
        <v>2467</v>
      </c>
      <c r="S4" s="3284"/>
      <c r="T4" s="3283" t="s">
        <v>2468</v>
      </c>
      <c r="U4" s="3284"/>
      <c r="V4" s="3308" t="s">
        <v>2469</v>
      </c>
      <c r="W4" s="3308"/>
      <c r="X4" s="1538"/>
      <c r="Y4" s="3283" t="s">
        <v>2471</v>
      </c>
      <c r="Z4" s="3284"/>
      <c r="AA4" s="3278" t="s">
        <v>2467</v>
      </c>
      <c r="AB4" s="3279" t="s">
        <v>2468</v>
      </c>
      <c r="AC4" s="3278" t="s">
        <v>2469</v>
      </c>
    </row>
    <row r="5" spans="1:29" ht="15">
      <c r="A5" s="362"/>
      <c r="B5" s="363"/>
      <c r="C5" s="3289" t="s">
        <v>2362</v>
      </c>
      <c r="D5" s="3290"/>
      <c r="E5" s="3287" t="s">
        <v>2363</v>
      </c>
      <c r="F5" s="3288"/>
      <c r="G5" s="3289" t="s">
        <v>2364</v>
      </c>
      <c r="H5" s="3290"/>
      <c r="I5" s="3289" t="s">
        <v>2365</v>
      </c>
      <c r="J5" s="3290"/>
      <c r="K5" s="565"/>
      <c r="L5" s="2942"/>
      <c r="M5" s="2943"/>
      <c r="N5" s="2943"/>
      <c r="O5" s="2943"/>
      <c r="P5" s="3302"/>
      <c r="Q5" s="3303"/>
      <c r="R5" s="3285"/>
      <c r="S5" s="3286"/>
      <c r="T5" s="3285"/>
      <c r="U5" s="3286"/>
      <c r="V5" s="3308"/>
      <c r="W5" s="3308"/>
      <c r="X5" s="1538"/>
      <c r="Y5" s="3285"/>
      <c r="Z5" s="3286"/>
      <c r="AA5" s="3279"/>
      <c r="AB5" s="3279"/>
      <c r="AC5" s="3279"/>
    </row>
    <row r="6" spans="1:29" ht="15.75" thickBot="1">
      <c r="A6" s="364"/>
      <c r="B6" s="365"/>
      <c r="C6" s="3291" t="s">
        <v>2366</v>
      </c>
      <c r="D6" s="3292"/>
      <c r="E6" s="3293" t="s">
        <v>2366</v>
      </c>
      <c r="F6" s="3294"/>
      <c r="G6" s="3291" t="s">
        <v>2366</v>
      </c>
      <c r="H6" s="3292"/>
      <c r="I6" s="3291" t="s">
        <v>2366</v>
      </c>
      <c r="J6" s="3292"/>
      <c r="K6" s="565" t="s">
        <v>2367</v>
      </c>
      <c r="L6" s="2942"/>
      <c r="M6" s="2943"/>
      <c r="N6" s="2943"/>
      <c r="O6" s="2943"/>
      <c r="P6" s="3304"/>
      <c r="Q6" s="3305"/>
      <c r="R6" s="3285"/>
      <c r="S6" s="3286"/>
      <c r="T6" s="3306"/>
      <c r="U6" s="3307"/>
      <c r="V6" s="3308"/>
      <c r="W6" s="3308"/>
      <c r="X6" s="1538"/>
      <c r="Y6" s="3306"/>
      <c r="Z6" s="3307"/>
      <c r="AA6" s="3280"/>
      <c r="AB6" s="3280"/>
      <c r="AC6" s="3280"/>
    </row>
    <row r="7" spans="1:29" s="113" customFormat="1" ht="15.75" thickBot="1">
      <c r="A7" s="366" t="s">
        <v>2368</v>
      </c>
      <c r="B7" s="367"/>
      <c r="C7" s="368">
        <f>'数据-取费表'!B2</f>
        <v>44141</v>
      </c>
      <c r="D7" s="369">
        <v>100</v>
      </c>
      <c r="E7" s="370"/>
      <c r="F7" s="371">
        <f>SUMIF(48:48,YEAR(E7)&amp;"-"&amp;MONTH(E7),49:49)</f>
        <v>0</v>
      </c>
      <c r="G7" s="370"/>
      <c r="H7" s="369">
        <f>SUMIF(48:48,YEAR(G7)&amp;"-"&amp;MONTH(G7),49:49)</f>
        <v>0</v>
      </c>
      <c r="I7" s="370"/>
      <c r="J7" s="369">
        <f>SUMIF(48:48,YEAR(I7)&amp;"-"&amp;MONTH(I7),49:49)</f>
        <v>0</v>
      </c>
      <c r="K7" s="566"/>
      <c r="L7" s="2944"/>
      <c r="M7" s="2945"/>
      <c r="N7" s="2945"/>
      <c r="O7" s="2945"/>
      <c r="P7" s="3281" t="s">
        <v>2369</v>
      </c>
      <c r="Q7" s="3309"/>
      <c r="R7" s="707" t="s">
        <v>17</v>
      </c>
      <c r="S7" s="708">
        <f t="shared" ref="S7:S14" si="0">F7</f>
        <v>0</v>
      </c>
      <c r="T7" s="707" t="s">
        <v>17</v>
      </c>
      <c r="U7" s="708">
        <f t="shared" ref="U7:U14" si="1">H7</f>
        <v>0</v>
      </c>
      <c r="V7" s="707" t="s">
        <v>17</v>
      </c>
      <c r="W7" s="708">
        <f t="shared" ref="W7:W14" si="2">J7</f>
        <v>0</v>
      </c>
      <c r="X7" s="709"/>
      <c r="Y7" s="3281" t="s">
        <v>2369</v>
      </c>
      <c r="Z7" s="3282"/>
      <c r="AA7" s="710" t="e">
        <f>D7/F7</f>
        <v>#DIV/0!</v>
      </c>
      <c r="AB7" s="710" t="e">
        <f>D7/H7</f>
        <v>#DIV/0!</v>
      </c>
      <c r="AC7" s="710" t="e">
        <f>D7/J7</f>
        <v>#DIV/0!</v>
      </c>
    </row>
    <row r="8" spans="1:29" s="113" customFormat="1" ht="15.75" thickBot="1">
      <c r="A8" s="366" t="s">
        <v>2370</v>
      </c>
      <c r="B8" s="367"/>
      <c r="C8" s="372" t="s">
        <v>2472</v>
      </c>
      <c r="D8" s="369">
        <v>100</v>
      </c>
      <c r="E8" s="372"/>
      <c r="F8" s="371">
        <f>SUMIF(51:51,E8,52:52)-SUMIF(51:51,C8,52:52)+100</f>
        <v>0</v>
      </c>
      <c r="G8" s="372"/>
      <c r="H8" s="369">
        <f>SUMIF(51:51,G8,52:52)-SUMIF(51:51,C8,52:52)+100</f>
        <v>0</v>
      </c>
      <c r="I8" s="372"/>
      <c r="J8" s="369">
        <f>SUMIF(51:51,I8,52:52)-SUMIF(51:51,C8,52:52)+100</f>
        <v>0</v>
      </c>
      <c r="K8" s="566"/>
      <c r="L8" s="2944"/>
      <c r="M8" s="2945"/>
      <c r="N8" s="2945"/>
      <c r="O8" s="2945"/>
      <c r="P8" s="3281" t="s">
        <v>2372</v>
      </c>
      <c r="Q8" s="3282"/>
      <c r="R8" s="707" t="s">
        <v>17</v>
      </c>
      <c r="S8" s="708">
        <f t="shared" si="0"/>
        <v>0</v>
      </c>
      <c r="T8" s="707" t="s">
        <v>17</v>
      </c>
      <c r="U8" s="708">
        <f t="shared" si="1"/>
        <v>0</v>
      </c>
      <c r="V8" s="707" t="s">
        <v>17</v>
      </c>
      <c r="W8" s="708">
        <f t="shared" si="2"/>
        <v>0</v>
      </c>
      <c r="X8" s="709"/>
      <c r="Y8" s="3281" t="s">
        <v>2372</v>
      </c>
      <c r="Z8" s="3282"/>
      <c r="AA8" s="710" t="e">
        <f t="shared" ref="AA8:AA36" si="3">D8/F8</f>
        <v>#DIV/0!</v>
      </c>
      <c r="AB8" s="710" t="e">
        <f t="shared" ref="AB8:AB36" si="4">D8/H8</f>
        <v>#DIV/0!</v>
      </c>
      <c r="AC8" s="710" t="e">
        <f t="shared" ref="AC8:AC36" si="5">D8/J8</f>
        <v>#DIV/0!</v>
      </c>
    </row>
    <row r="9" spans="1:29" s="113" customFormat="1">
      <c r="A9" s="64" t="s">
        <v>2373</v>
      </c>
      <c r="B9" s="594" t="s">
        <v>2374</v>
      </c>
      <c r="C9" s="374"/>
      <c r="D9" s="129">
        <v>100</v>
      </c>
      <c r="E9" s="377"/>
      <c r="F9" s="129">
        <f>SUMIF(53:53,E9,54:54)-SUMIF(53:53,C9,54:54)+100</f>
        <v>100</v>
      </c>
      <c r="G9" s="375"/>
      <c r="H9" s="129">
        <f>SUMIF(53:53,G9,54:54)-SUMIF(53:53,C9,54:54)+100</f>
        <v>100</v>
      </c>
      <c r="I9" s="375"/>
      <c r="J9" s="129">
        <f>SUMIF(53:53,I9,54:54)-SUMIF(53:53,C9,54:54)+100</f>
        <v>100</v>
      </c>
      <c r="K9" s="566"/>
      <c r="L9" s="2944"/>
      <c r="M9" s="2945"/>
      <c r="N9" s="2945"/>
      <c r="O9" s="2945"/>
      <c r="P9" s="3295" t="s">
        <v>2375</v>
      </c>
      <c r="Q9" s="1526" t="str">
        <f t="shared" ref="Q9:Q14" si="6">B9</f>
        <v>用途</v>
      </c>
      <c r="R9" s="707" t="s">
        <v>17</v>
      </c>
      <c r="S9" s="708">
        <f t="shared" si="0"/>
        <v>100</v>
      </c>
      <c r="T9" s="707" t="s">
        <v>17</v>
      </c>
      <c r="U9" s="708">
        <f t="shared" si="1"/>
        <v>100</v>
      </c>
      <c r="V9" s="707" t="s">
        <v>17</v>
      </c>
      <c r="W9" s="708">
        <f t="shared" si="2"/>
        <v>100</v>
      </c>
      <c r="X9" s="709"/>
      <c r="Y9" s="3251" t="s">
        <v>2376</v>
      </c>
      <c r="Z9" s="55" t="str">
        <f t="shared" ref="Z9:Z14" si="7">Q9</f>
        <v>用途</v>
      </c>
      <c r="AA9" s="710">
        <f t="shared" si="3"/>
        <v>1</v>
      </c>
      <c r="AB9" s="710">
        <f t="shared" si="4"/>
        <v>1</v>
      </c>
      <c r="AC9" s="710">
        <f t="shared" si="5"/>
        <v>1</v>
      </c>
    </row>
    <row r="10" spans="1:29" s="384" customFormat="1" ht="27">
      <c r="A10" s="595"/>
      <c r="B10" s="596" t="s">
        <v>2377</v>
      </c>
      <c r="C10" s="380"/>
      <c r="D10" s="130">
        <v>100</v>
      </c>
      <c r="E10" s="380"/>
      <c r="F10" s="130">
        <f>SUMIF(55:55,E10,56:56)-SUMIF(55:55,C10,56:56)+100</f>
        <v>100</v>
      </c>
      <c r="G10" s="381"/>
      <c r="H10" s="130">
        <f>SUMIF(55:55,G10,56:56)-SUMIF(55:55,C10,56:56)+100</f>
        <v>100</v>
      </c>
      <c r="I10" s="380"/>
      <c r="J10" s="130">
        <f>SUMIF(55:55,I10,56:56)-SUMIF(55:55,C10,56:56)+100</f>
        <v>100</v>
      </c>
      <c r="K10" s="567"/>
      <c r="L10" s="2946"/>
      <c r="M10" s="2947"/>
      <c r="N10" s="2947"/>
      <c r="O10" s="2947"/>
      <c r="P10" s="3295"/>
      <c r="Q10" s="1526" t="str">
        <f t="shared" si="6"/>
        <v>土地使用年限（年）</v>
      </c>
      <c r="R10" s="707" t="s">
        <v>17</v>
      </c>
      <c r="S10" s="708">
        <f t="shared" si="0"/>
        <v>100</v>
      </c>
      <c r="T10" s="707" t="s">
        <v>17</v>
      </c>
      <c r="U10" s="708">
        <f t="shared" si="1"/>
        <v>100</v>
      </c>
      <c r="V10" s="707" t="s">
        <v>17</v>
      </c>
      <c r="W10" s="708">
        <f t="shared" si="2"/>
        <v>100</v>
      </c>
      <c r="X10" s="709"/>
      <c r="Y10" s="3251"/>
      <c r="Z10" s="55" t="str">
        <f t="shared" si="7"/>
        <v>土地使用年限（年）</v>
      </c>
      <c r="AA10" s="710">
        <f t="shared" si="3"/>
        <v>1</v>
      </c>
      <c r="AB10" s="710">
        <f t="shared" si="4"/>
        <v>1</v>
      </c>
      <c r="AC10" s="710">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48"/>
      <c r="M11" s="2943"/>
      <c r="N11" s="2943"/>
      <c r="O11" s="2943"/>
      <c r="P11" s="3295"/>
      <c r="Q11" s="1526">
        <f t="shared" si="6"/>
        <v>111</v>
      </c>
      <c r="R11" s="707" t="s">
        <v>17</v>
      </c>
      <c r="S11" s="708">
        <f t="shared" si="0"/>
        <v>100</v>
      </c>
      <c r="T11" s="707" t="s">
        <v>17</v>
      </c>
      <c r="U11" s="708">
        <f t="shared" si="1"/>
        <v>100</v>
      </c>
      <c r="V11" s="707" t="s">
        <v>17</v>
      </c>
      <c r="W11" s="708">
        <f t="shared" si="2"/>
        <v>100</v>
      </c>
      <c r="X11" s="709"/>
      <c r="Y11" s="3251"/>
      <c r="Z11" s="55">
        <f t="shared" si="7"/>
        <v>111</v>
      </c>
      <c r="AA11" s="710">
        <f t="shared" si="3"/>
        <v>1</v>
      </c>
      <c r="AB11" s="710">
        <f t="shared" si="4"/>
        <v>1</v>
      </c>
      <c r="AC11" s="710">
        <f t="shared" si="5"/>
        <v>1</v>
      </c>
    </row>
    <row r="12" spans="1:29" s="113"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44"/>
      <c r="M12" s="2945"/>
      <c r="N12" s="2945"/>
      <c r="O12" s="2945"/>
      <c r="P12" s="3295"/>
      <c r="Q12" s="1526">
        <f t="shared" si="6"/>
        <v>111</v>
      </c>
      <c r="R12" s="707" t="s">
        <v>17</v>
      </c>
      <c r="S12" s="708">
        <f t="shared" si="0"/>
        <v>100</v>
      </c>
      <c r="T12" s="707" t="s">
        <v>17</v>
      </c>
      <c r="U12" s="708">
        <f t="shared" si="1"/>
        <v>100</v>
      </c>
      <c r="V12" s="707" t="s">
        <v>17</v>
      </c>
      <c r="W12" s="708">
        <f t="shared" si="2"/>
        <v>100</v>
      </c>
      <c r="X12" s="709"/>
      <c r="Y12" s="3251"/>
      <c r="Z12" s="55">
        <f t="shared" si="7"/>
        <v>111</v>
      </c>
      <c r="AA12" s="710">
        <f>D12/F12</f>
        <v>1</v>
      </c>
      <c r="AB12" s="710">
        <f>D12/H12</f>
        <v>1</v>
      </c>
      <c r="AC12" s="710">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49"/>
      <c r="M13" s="2943"/>
      <c r="N13" s="2943"/>
      <c r="O13" s="2943"/>
      <c r="P13" s="3295"/>
      <c r="Q13" s="1526">
        <f t="shared" si="6"/>
        <v>111</v>
      </c>
      <c r="R13" s="707" t="s">
        <v>17</v>
      </c>
      <c r="S13" s="708">
        <f t="shared" si="0"/>
        <v>100</v>
      </c>
      <c r="T13" s="707" t="s">
        <v>17</v>
      </c>
      <c r="U13" s="708">
        <f t="shared" si="1"/>
        <v>100</v>
      </c>
      <c r="V13" s="707" t="s">
        <v>17</v>
      </c>
      <c r="W13" s="708">
        <f t="shared" si="2"/>
        <v>100</v>
      </c>
      <c r="X13" s="709"/>
      <c r="Y13" s="3251"/>
      <c r="Z13" s="55">
        <f t="shared" si="7"/>
        <v>111</v>
      </c>
      <c r="AA13" s="710">
        <f t="shared" si="3"/>
        <v>1</v>
      </c>
      <c r="AB13" s="710">
        <f t="shared" si="4"/>
        <v>1</v>
      </c>
      <c r="AC13" s="710">
        <f t="shared" si="5"/>
        <v>1</v>
      </c>
    </row>
    <row r="14" spans="1:29" ht="85.5">
      <c r="A14" s="359" t="s">
        <v>2379</v>
      </c>
      <c r="B14" s="583" t="s">
        <v>2529</v>
      </c>
      <c r="C14" s="2155"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49"/>
      <c r="M14" s="2943"/>
      <c r="N14" s="2943"/>
      <c r="O14" s="2943"/>
      <c r="P14" s="3310" t="s">
        <v>2380</v>
      </c>
      <c r="Q14" s="1535" t="str">
        <f t="shared" si="6"/>
        <v>交通便捷度</v>
      </c>
      <c r="R14" s="711" t="s">
        <v>17</v>
      </c>
      <c r="S14" s="712">
        <f t="shared" si="0"/>
        <v>100</v>
      </c>
      <c r="T14" s="711" t="s">
        <v>17</v>
      </c>
      <c r="U14" s="712">
        <f t="shared" si="1"/>
        <v>100</v>
      </c>
      <c r="V14" s="711" t="s">
        <v>17</v>
      </c>
      <c r="W14" s="712">
        <f t="shared" si="2"/>
        <v>100</v>
      </c>
      <c r="X14" s="1538"/>
      <c r="Y14" s="3310" t="s">
        <v>2380</v>
      </c>
      <c r="Z14" s="1539" t="str">
        <f t="shared" si="7"/>
        <v>交通便捷度</v>
      </c>
      <c r="AA14" s="1536">
        <f t="shared" si="3"/>
        <v>1</v>
      </c>
      <c r="AB14" s="1536">
        <f t="shared" si="4"/>
        <v>1</v>
      </c>
      <c r="AC14" s="1536">
        <f t="shared" si="5"/>
        <v>1</v>
      </c>
    </row>
    <row r="15" spans="1:29" ht="15">
      <c r="A15" s="362"/>
      <c r="B15" s="601"/>
      <c r="C15" s="404"/>
      <c r="D15" s="405"/>
      <c r="E15" s="404"/>
      <c r="F15" s="406"/>
      <c r="G15" s="404"/>
      <c r="H15" s="407"/>
      <c r="I15" s="404"/>
      <c r="J15" s="405"/>
      <c r="K15" s="570"/>
      <c r="L15" s="2949"/>
      <c r="M15" s="2943"/>
      <c r="N15" s="2943"/>
      <c r="O15" s="2943"/>
      <c r="P15" s="3311"/>
      <c r="Q15" s="1535"/>
      <c r="R15" s="711"/>
      <c r="S15" s="712"/>
      <c r="T15" s="711"/>
      <c r="U15" s="712"/>
      <c r="V15" s="711"/>
      <c r="W15" s="712"/>
      <c r="X15" s="1538"/>
      <c r="Y15" s="3311"/>
      <c r="Z15" s="1539"/>
      <c r="AA15" s="1536">
        <v>1</v>
      </c>
      <c r="AB15" s="1536">
        <v>1</v>
      </c>
      <c r="AC15" s="1536">
        <v>1</v>
      </c>
    </row>
    <row r="16" spans="1:29" ht="42.75">
      <c r="A16" s="362"/>
      <c r="B16" s="585" t="s">
        <v>2508</v>
      </c>
      <c r="C16" s="2084"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49"/>
      <c r="M16" s="2943"/>
      <c r="N16" s="2943"/>
      <c r="O16" s="2943"/>
      <c r="P16" s="3311"/>
      <c r="Q16" s="1535" t="str">
        <f>B16</f>
        <v>公共配套设施</v>
      </c>
      <c r="R16" s="711" t="s">
        <v>17</v>
      </c>
      <c r="S16" s="712">
        <f>F16</f>
        <v>100</v>
      </c>
      <c r="T16" s="711" t="s">
        <v>17</v>
      </c>
      <c r="U16" s="712">
        <f>H16</f>
        <v>100</v>
      </c>
      <c r="V16" s="711" t="s">
        <v>17</v>
      </c>
      <c r="W16" s="712">
        <f>J16</f>
        <v>100</v>
      </c>
      <c r="X16" s="1538"/>
      <c r="Y16" s="3311"/>
      <c r="Z16" s="1539" t="str">
        <f>Q16</f>
        <v>公共配套设施</v>
      </c>
      <c r="AA16" s="1536">
        <f t="shared" si="3"/>
        <v>1</v>
      </c>
      <c r="AB16" s="1536">
        <f t="shared" si="4"/>
        <v>1</v>
      </c>
      <c r="AC16" s="1536">
        <f t="shared" si="5"/>
        <v>1</v>
      </c>
    </row>
    <row r="17" spans="1:29" ht="15">
      <c r="A17" s="362"/>
      <c r="B17" s="586"/>
      <c r="C17" s="2085"/>
      <c r="D17" s="405"/>
      <c r="E17" s="404"/>
      <c r="F17" s="406"/>
      <c r="G17" s="404"/>
      <c r="H17" s="405"/>
      <c r="I17" s="404"/>
      <c r="J17" s="405"/>
      <c r="K17" s="570"/>
      <c r="L17" s="2949"/>
      <c r="M17" s="2943"/>
      <c r="N17" s="2943"/>
      <c r="O17" s="2943"/>
      <c r="P17" s="3311"/>
      <c r="Q17" s="1535"/>
      <c r="R17" s="711"/>
      <c r="S17" s="712"/>
      <c r="T17" s="711"/>
      <c r="U17" s="712"/>
      <c r="V17" s="711"/>
      <c r="W17" s="712"/>
      <c r="X17" s="1538"/>
      <c r="Y17" s="3311"/>
      <c r="Z17" s="1539"/>
      <c r="AA17" s="1536">
        <v>1</v>
      </c>
      <c r="AB17" s="1536">
        <v>1</v>
      </c>
      <c r="AC17" s="1536">
        <v>1</v>
      </c>
    </row>
    <row r="18" spans="1:29" ht="28.5">
      <c r="A18" s="362"/>
      <c r="B18" s="587" t="s">
        <v>2509</v>
      </c>
      <c r="C18" s="2084"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49"/>
      <c r="M18" s="2943"/>
      <c r="N18" s="2943"/>
      <c r="O18" s="2943"/>
      <c r="P18" s="3311"/>
      <c r="Q18" s="1535" t="str">
        <f>B18</f>
        <v>基础设施水平</v>
      </c>
      <c r="R18" s="711" t="s">
        <v>17</v>
      </c>
      <c r="S18" s="712">
        <f>F18</f>
        <v>100</v>
      </c>
      <c r="T18" s="711" t="s">
        <v>17</v>
      </c>
      <c r="U18" s="712">
        <f>H18</f>
        <v>100</v>
      </c>
      <c r="V18" s="711" t="s">
        <v>17</v>
      </c>
      <c r="W18" s="712">
        <f>J18</f>
        <v>100</v>
      </c>
      <c r="X18" s="1538"/>
      <c r="Y18" s="3311"/>
      <c r="Z18" s="1539" t="str">
        <f>Q18</f>
        <v>基础设施水平</v>
      </c>
      <c r="AA18" s="1536">
        <f t="shared" ref="AA18" si="8">D18/F18</f>
        <v>1</v>
      </c>
      <c r="AB18" s="1536">
        <f t="shared" ref="AB18" si="9">D18/H18</f>
        <v>1</v>
      </c>
      <c r="AC18" s="1536">
        <f t="shared" ref="AC18" si="10">D18/J18</f>
        <v>1</v>
      </c>
    </row>
    <row r="19" spans="1:29" ht="15">
      <c r="A19" s="362"/>
      <c r="B19" s="587"/>
      <c r="C19" s="2085"/>
      <c r="D19" s="407"/>
      <c r="E19" s="2085"/>
      <c r="F19" s="410"/>
      <c r="G19" s="2085"/>
      <c r="H19" s="405"/>
      <c r="I19" s="404"/>
      <c r="J19" s="405"/>
      <c r="K19" s="1289"/>
      <c r="L19" s="2949"/>
      <c r="M19" s="2943"/>
      <c r="N19" s="2943"/>
      <c r="O19" s="2943"/>
      <c r="P19" s="3311"/>
      <c r="Q19" s="1535"/>
      <c r="R19" s="711"/>
      <c r="S19" s="712"/>
      <c r="T19" s="711"/>
      <c r="U19" s="712"/>
      <c r="V19" s="711"/>
      <c r="W19" s="712"/>
      <c r="X19" s="1538"/>
      <c r="Y19" s="3311"/>
      <c r="Z19" s="1539"/>
      <c r="AA19" s="1536">
        <v>1</v>
      </c>
      <c r="AB19" s="1536">
        <v>1</v>
      </c>
      <c r="AC19" s="1536">
        <v>1</v>
      </c>
    </row>
    <row r="20" spans="1:29" ht="57">
      <c r="A20" s="362"/>
      <c r="B20" s="585" t="s">
        <v>2530</v>
      </c>
      <c r="C20" s="2084"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49"/>
      <c r="M20" s="2943"/>
      <c r="N20" s="2943"/>
      <c r="O20" s="2943"/>
      <c r="P20" s="3311"/>
      <c r="Q20" s="1535" t="str">
        <f>B20</f>
        <v>自然及人文环境</v>
      </c>
      <c r="R20" s="711" t="s">
        <v>17</v>
      </c>
      <c r="S20" s="712">
        <f>F20</f>
        <v>100</v>
      </c>
      <c r="T20" s="711" t="s">
        <v>17</v>
      </c>
      <c r="U20" s="712">
        <f>H20</f>
        <v>100</v>
      </c>
      <c r="V20" s="711" t="s">
        <v>17</v>
      </c>
      <c r="W20" s="712">
        <f>J20</f>
        <v>100</v>
      </c>
      <c r="X20" s="1538"/>
      <c r="Y20" s="3311"/>
      <c r="Z20" s="1539" t="str">
        <f>Q20</f>
        <v>自然及人文环境</v>
      </c>
      <c r="AA20" s="1536">
        <f t="shared" si="3"/>
        <v>1</v>
      </c>
      <c r="AB20" s="1536">
        <f t="shared" si="4"/>
        <v>1</v>
      </c>
      <c r="AC20" s="1536">
        <f t="shared" si="5"/>
        <v>1</v>
      </c>
    </row>
    <row r="21" spans="1:29" ht="15">
      <c r="A21" s="362"/>
      <c r="B21" s="586"/>
      <c r="C21" s="404"/>
      <c r="D21" s="405"/>
      <c r="E21" s="404"/>
      <c r="F21" s="406"/>
      <c r="G21" s="404"/>
      <c r="H21" s="405"/>
      <c r="I21" s="404"/>
      <c r="J21" s="405"/>
      <c r="K21" s="570"/>
      <c r="L21" s="2949"/>
      <c r="M21" s="2943"/>
      <c r="N21" s="2943"/>
      <c r="O21" s="2943"/>
      <c r="P21" s="3311"/>
      <c r="Q21" s="1535"/>
      <c r="R21" s="711"/>
      <c r="S21" s="712"/>
      <c r="T21" s="711"/>
      <c r="U21" s="712"/>
      <c r="V21" s="711"/>
      <c r="W21" s="712"/>
      <c r="X21" s="1538"/>
      <c r="Y21" s="3311"/>
      <c r="Z21" s="1539"/>
      <c r="AA21" s="1536">
        <v>1</v>
      </c>
      <c r="AB21" s="1536">
        <v>1</v>
      </c>
      <c r="AC21" s="1536">
        <v>1</v>
      </c>
    </row>
    <row r="22" spans="1:29" ht="15">
      <c r="A22" s="362"/>
      <c r="B22" s="585" t="s">
        <v>2531</v>
      </c>
      <c r="C22" s="571"/>
      <c r="D22" s="407">
        <v>100</v>
      </c>
      <c r="E22" s="571"/>
      <c r="F22" s="418">
        <f>SUMIF(71:71,E22,72:72)-SUMIF(71:71,C22,72:72)+100</f>
        <v>100</v>
      </c>
      <c r="G22" s="571"/>
      <c r="H22" s="392">
        <f>SUMIF(71:71,G22,72:72)-SUMIF(71:71,C22,72:72)+100</f>
        <v>100</v>
      </c>
      <c r="I22" s="571"/>
      <c r="J22" s="392">
        <f>SUMIF(71:71,I22,72:72)-SUMIF(71:71,C22,72:72)+100</f>
        <v>100</v>
      </c>
      <c r="K22" s="567"/>
      <c r="L22" s="2949"/>
      <c r="M22" s="2943"/>
      <c r="N22" s="2943"/>
      <c r="O22" s="2943"/>
      <c r="P22" s="3311"/>
      <c r="Q22" s="1535" t="str">
        <f>B22</f>
        <v>楼层</v>
      </c>
      <c r="R22" s="711" t="s">
        <v>17</v>
      </c>
      <c r="S22" s="712">
        <f>F22</f>
        <v>100</v>
      </c>
      <c r="T22" s="711" t="s">
        <v>17</v>
      </c>
      <c r="U22" s="712">
        <f>H22</f>
        <v>100</v>
      </c>
      <c r="V22" s="711" t="s">
        <v>17</v>
      </c>
      <c r="W22" s="712">
        <f>J22</f>
        <v>100</v>
      </c>
      <c r="X22" s="1538"/>
      <c r="Y22" s="3311"/>
      <c r="Z22" s="1539" t="str">
        <f>Q22</f>
        <v>楼层</v>
      </c>
      <c r="AA22" s="1536">
        <f t="shared" si="3"/>
        <v>1</v>
      </c>
      <c r="AB22" s="1536">
        <f t="shared" si="4"/>
        <v>1</v>
      </c>
      <c r="AC22" s="1536">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49"/>
      <c r="M23" s="2943"/>
      <c r="N23" s="2943"/>
      <c r="O23" s="2943"/>
      <c r="P23" s="3311"/>
      <c r="Q23" s="1535">
        <f>B23</f>
        <v>111</v>
      </c>
      <c r="R23" s="711" t="s">
        <v>17</v>
      </c>
      <c r="S23" s="712">
        <f>F23</f>
        <v>100</v>
      </c>
      <c r="T23" s="711" t="s">
        <v>17</v>
      </c>
      <c r="U23" s="712">
        <f>H23</f>
        <v>100</v>
      </c>
      <c r="V23" s="711" t="s">
        <v>17</v>
      </c>
      <c r="W23" s="712">
        <f>J23</f>
        <v>100</v>
      </c>
      <c r="X23" s="1538"/>
      <c r="Y23" s="3311"/>
      <c r="Z23" s="1539">
        <f>Q23</f>
        <v>111</v>
      </c>
      <c r="AA23" s="1536">
        <f t="shared" si="3"/>
        <v>1</v>
      </c>
      <c r="AB23" s="1536">
        <f t="shared" si="4"/>
        <v>1</v>
      </c>
      <c r="AC23" s="1536">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49"/>
      <c r="M24" s="2943"/>
      <c r="N24" s="2943"/>
      <c r="O24" s="2943"/>
      <c r="P24" s="3311"/>
      <c r="Q24" s="1535">
        <f t="shared" ref="Q24:Q36" si="11">B24</f>
        <v>111</v>
      </c>
      <c r="R24" s="711" t="s">
        <v>17</v>
      </c>
      <c r="S24" s="712">
        <f>F24</f>
        <v>100</v>
      </c>
      <c r="T24" s="711" t="s">
        <v>17</v>
      </c>
      <c r="U24" s="712">
        <f>H24</f>
        <v>100</v>
      </c>
      <c r="V24" s="711" t="s">
        <v>17</v>
      </c>
      <c r="W24" s="712">
        <f>J24</f>
        <v>100</v>
      </c>
      <c r="X24" s="1538"/>
      <c r="Y24" s="3311"/>
      <c r="Z24" s="1539">
        <f>Q24</f>
        <v>111</v>
      </c>
      <c r="AA24" s="1536">
        <f t="shared" si="3"/>
        <v>1</v>
      </c>
      <c r="AB24" s="1536">
        <f t="shared" si="4"/>
        <v>1</v>
      </c>
      <c r="AC24" s="1536">
        <f t="shared" si="5"/>
        <v>1</v>
      </c>
    </row>
    <row r="25" spans="1:29" s="113"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44"/>
      <c r="M25" s="2945"/>
      <c r="N25" s="2945"/>
      <c r="O25" s="2945"/>
      <c r="P25" s="3311"/>
      <c r="Q25" s="1526">
        <f t="shared" si="11"/>
        <v>111</v>
      </c>
      <c r="R25" s="707" t="s">
        <v>17</v>
      </c>
      <c r="S25" s="708">
        <f>F25</f>
        <v>100</v>
      </c>
      <c r="T25" s="707" t="s">
        <v>17</v>
      </c>
      <c r="U25" s="708">
        <f>H25</f>
        <v>100</v>
      </c>
      <c r="V25" s="707" t="s">
        <v>17</v>
      </c>
      <c r="W25" s="708">
        <f>J25</f>
        <v>100</v>
      </c>
      <c r="X25" s="709"/>
      <c r="Y25" s="3311"/>
      <c r="Z25" s="55">
        <f>Q25</f>
        <v>111</v>
      </c>
      <c r="AA25" s="1536">
        <f>D25/F25</f>
        <v>1</v>
      </c>
      <c r="AB25" s="1536">
        <f>D25/H25</f>
        <v>1</v>
      </c>
      <c r="AC25" s="1536">
        <f>D25/J25</f>
        <v>1</v>
      </c>
    </row>
    <row r="26" spans="1:29" ht="28.5">
      <c r="A26" s="606" t="s">
        <v>2383</v>
      </c>
      <c r="B26" s="66" t="s">
        <v>2532</v>
      </c>
      <c r="C26" s="2156">
        <f>B1</f>
        <v>0</v>
      </c>
      <c r="D26" s="405">
        <v>100</v>
      </c>
      <c r="E26" s="404"/>
      <c r="F26" s="406">
        <f>SUMIF(79:79,E26,80:80)-SUMIF(79:79,C26,80:80)+100</f>
        <v>100</v>
      </c>
      <c r="G26" s="404"/>
      <c r="H26" s="405">
        <f>SUMIF(79:79,G26,80:80)-SUMIF(79:79,C26,80:80)+100</f>
        <v>100</v>
      </c>
      <c r="I26" s="404"/>
      <c r="J26" s="405">
        <f>SUMIF(79:79,I26,80:80)-SUMIF(79:79,C26,80:80)+100</f>
        <v>100</v>
      </c>
      <c r="K26" s="567"/>
      <c r="L26" s="2949"/>
      <c r="M26" s="2943"/>
      <c r="N26" s="2943"/>
      <c r="O26" s="2943"/>
      <c r="P26" s="3312" t="s">
        <v>2385</v>
      </c>
      <c r="Q26" s="1535" t="str">
        <f t="shared" si="11"/>
        <v>配套类型</v>
      </c>
      <c r="R26" s="711" t="s">
        <v>17</v>
      </c>
      <c r="S26" s="712">
        <f t="shared" ref="S26:S36" si="12">F26</f>
        <v>100</v>
      </c>
      <c r="T26" s="711" t="s">
        <v>17</v>
      </c>
      <c r="U26" s="712">
        <f t="shared" ref="U26:U36" si="13">H26</f>
        <v>100</v>
      </c>
      <c r="V26" s="711" t="s">
        <v>17</v>
      </c>
      <c r="W26" s="712">
        <f t="shared" ref="W26:W36" si="14">J26</f>
        <v>100</v>
      </c>
      <c r="X26" s="1538"/>
      <c r="Y26" s="3313" t="s">
        <v>2385</v>
      </c>
      <c r="Z26" s="1539" t="str">
        <f t="shared" ref="Z26:Z36" si="15">Q26</f>
        <v>配套类型</v>
      </c>
      <c r="AA26" s="1536">
        <f t="shared" si="3"/>
        <v>1</v>
      </c>
      <c r="AB26" s="1536">
        <f t="shared" si="4"/>
        <v>1</v>
      </c>
      <c r="AC26" s="1536">
        <f t="shared" si="5"/>
        <v>1</v>
      </c>
    </row>
    <row r="27" spans="1:29" s="428" customFormat="1" ht="15">
      <c r="A27" s="607"/>
      <c r="B27" s="608" t="s">
        <v>2533</v>
      </c>
      <c r="C27" s="609"/>
      <c r="D27" s="130">
        <v>100</v>
      </c>
      <c r="E27" s="609"/>
      <c r="F27" s="418">
        <f>SUMIF(81:81,E27,82:82)-SUMIF(81:81,C27,82:82)+100</f>
        <v>100</v>
      </c>
      <c r="G27" s="609"/>
      <c r="H27" s="392">
        <f>SUMIF(81:81,G27,82:82)-SUMIF(81:81,C27,82:82)+100</f>
        <v>100</v>
      </c>
      <c r="I27" s="609"/>
      <c r="J27" s="392">
        <f>SUMIF(81:81,I27,82:82)-SUMIF(81:81,C27,82:82)+100</f>
        <v>100</v>
      </c>
      <c r="K27" s="568"/>
      <c r="L27" s="2948"/>
      <c r="M27" s="2950"/>
      <c r="N27" s="2950"/>
      <c r="O27" s="2950"/>
      <c r="P27" s="3313"/>
      <c r="Q27" s="713" t="str">
        <f t="shared" si="11"/>
        <v>项目停车位配比</v>
      </c>
      <c r="R27" s="714" t="s">
        <v>17</v>
      </c>
      <c r="S27" s="715">
        <f t="shared" si="12"/>
        <v>100</v>
      </c>
      <c r="T27" s="714" t="s">
        <v>17</v>
      </c>
      <c r="U27" s="715">
        <f t="shared" si="13"/>
        <v>100</v>
      </c>
      <c r="V27" s="714" t="s">
        <v>17</v>
      </c>
      <c r="W27" s="715">
        <f t="shared" si="14"/>
        <v>100</v>
      </c>
      <c r="X27" s="716"/>
      <c r="Y27" s="3313"/>
      <c r="Z27" s="717" t="str">
        <f t="shared" si="15"/>
        <v>项目停车位配比</v>
      </c>
      <c r="AA27" s="1536">
        <f t="shared" si="3"/>
        <v>1</v>
      </c>
      <c r="AB27" s="1536">
        <f t="shared" si="4"/>
        <v>1</v>
      </c>
      <c r="AC27" s="1536">
        <f t="shared" si="5"/>
        <v>1</v>
      </c>
    </row>
    <row r="28" spans="1:29" ht="15">
      <c r="A28" s="610"/>
      <c r="B28" s="608" t="s">
        <v>2534</v>
      </c>
      <c r="C28" s="417"/>
      <c r="D28" s="392">
        <v>100</v>
      </c>
      <c r="E28" s="417"/>
      <c r="F28" s="418">
        <f>SUMIF(83:83,E28,84:84)-SUMIF(83:83,C28,84:84)+100</f>
        <v>100</v>
      </c>
      <c r="G28" s="417"/>
      <c r="H28" s="392">
        <f>SUMIF(83:83,G28,84:84)-SUMIF(83:83,C28,84:84)+100</f>
        <v>100</v>
      </c>
      <c r="I28" s="417"/>
      <c r="J28" s="392">
        <f>SUMIF(83:83,I28,84:84)-SUMIF(83:83,C28,84:84)+100</f>
        <v>100</v>
      </c>
      <c r="K28" s="567"/>
      <c r="L28" s="2949"/>
      <c r="M28" s="2943"/>
      <c r="N28" s="2943"/>
      <c r="O28" s="2943"/>
      <c r="P28" s="3313"/>
      <c r="Q28" s="1535" t="str">
        <f t="shared" si="11"/>
        <v>公共部分装修</v>
      </c>
      <c r="R28" s="711" t="s">
        <v>17</v>
      </c>
      <c r="S28" s="712">
        <f t="shared" si="12"/>
        <v>100</v>
      </c>
      <c r="T28" s="711" t="s">
        <v>17</v>
      </c>
      <c r="U28" s="712">
        <f t="shared" si="13"/>
        <v>100</v>
      </c>
      <c r="V28" s="711" t="s">
        <v>17</v>
      </c>
      <c r="W28" s="712">
        <f t="shared" si="14"/>
        <v>100</v>
      </c>
      <c r="X28" s="1538"/>
      <c r="Y28" s="3313"/>
      <c r="Z28" s="1539" t="str">
        <f t="shared" si="15"/>
        <v>公共部分装修</v>
      </c>
      <c r="AA28" s="1536">
        <f t="shared" si="3"/>
        <v>1</v>
      </c>
      <c r="AB28" s="1536">
        <f t="shared" si="4"/>
        <v>1</v>
      </c>
      <c r="AC28" s="1536">
        <f t="shared" si="5"/>
        <v>1</v>
      </c>
    </row>
    <row r="29" spans="1:29" ht="15">
      <c r="A29" s="610"/>
      <c r="B29" s="608" t="s">
        <v>2535</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49"/>
      <c r="M29" s="2943"/>
      <c r="N29" s="2943"/>
      <c r="O29" s="2943"/>
      <c r="P29" s="3313"/>
      <c r="Q29" s="1535" t="str">
        <f t="shared" si="11"/>
        <v>成新率</v>
      </c>
      <c r="R29" s="711" t="s">
        <v>17</v>
      </c>
      <c r="S29" s="712" t="e">
        <f t="shared" si="12"/>
        <v>#N/A</v>
      </c>
      <c r="T29" s="711" t="s">
        <v>17</v>
      </c>
      <c r="U29" s="712" t="e">
        <f t="shared" si="13"/>
        <v>#N/A</v>
      </c>
      <c r="V29" s="711" t="s">
        <v>17</v>
      </c>
      <c r="W29" s="712" t="e">
        <f t="shared" si="14"/>
        <v>#N/A</v>
      </c>
      <c r="X29" s="1538"/>
      <c r="Y29" s="3313"/>
      <c r="Z29" s="1539" t="str">
        <f t="shared" si="15"/>
        <v>成新率</v>
      </c>
      <c r="AA29" s="1536" t="e">
        <f t="shared" si="3"/>
        <v>#N/A</v>
      </c>
      <c r="AB29" s="1536" t="e">
        <f t="shared" si="4"/>
        <v>#N/A</v>
      </c>
      <c r="AC29" s="1536" t="e">
        <f t="shared" si="5"/>
        <v>#N/A</v>
      </c>
    </row>
    <row r="30" spans="1:29" ht="15">
      <c r="A30" s="610"/>
      <c r="B30" s="608" t="s">
        <v>2536</v>
      </c>
      <c r="C30" s="611"/>
      <c r="D30" s="392">
        <v>100</v>
      </c>
      <c r="E30" s="611"/>
      <c r="F30" s="418">
        <f>SUMIF(88:88,E30,89:89)-SUMIF(88:88,C30,89:89)+100</f>
        <v>100</v>
      </c>
      <c r="G30" s="611"/>
      <c r="H30" s="392">
        <f>SUMIF(88:88,E30,89:89)-SUMIF(88:88,C30,89:89)+100</f>
        <v>100</v>
      </c>
      <c r="I30" s="611"/>
      <c r="J30" s="392">
        <f>SUMIF(88:88,E30,89:89)-SUMIF(88:88,C30,89:89)+100</f>
        <v>100</v>
      </c>
      <c r="K30" s="567"/>
      <c r="L30" s="2949"/>
      <c r="M30" s="2943"/>
      <c r="N30" s="2943"/>
      <c r="O30" s="2943"/>
      <c r="P30" s="3313"/>
      <c r="Q30" s="1535" t="str">
        <f t="shared" si="11"/>
        <v>物业等级</v>
      </c>
      <c r="R30" s="711" t="s">
        <v>17</v>
      </c>
      <c r="S30" s="712">
        <f t="shared" si="12"/>
        <v>100</v>
      </c>
      <c r="T30" s="711" t="s">
        <v>17</v>
      </c>
      <c r="U30" s="712">
        <f t="shared" si="13"/>
        <v>100</v>
      </c>
      <c r="V30" s="711" t="s">
        <v>17</v>
      </c>
      <c r="W30" s="712">
        <f t="shared" si="14"/>
        <v>100</v>
      </c>
      <c r="X30" s="1538"/>
      <c r="Y30" s="3313"/>
      <c r="Z30" s="1539" t="str">
        <f t="shared" si="15"/>
        <v>物业等级</v>
      </c>
      <c r="AA30" s="1536">
        <f t="shared" si="3"/>
        <v>1</v>
      </c>
      <c r="AB30" s="1536">
        <f t="shared" si="4"/>
        <v>1</v>
      </c>
      <c r="AC30" s="1536">
        <f t="shared" si="5"/>
        <v>1</v>
      </c>
    </row>
    <row r="31" spans="1:29" s="113" customFormat="1" ht="15">
      <c r="A31" s="612"/>
      <c r="B31" s="608" t="s">
        <v>2537</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44"/>
      <c r="M31" s="2945"/>
      <c r="N31" s="2945"/>
      <c r="O31" s="2945"/>
      <c r="P31" s="3313"/>
      <c r="Q31" s="1526" t="str">
        <f t="shared" si="11"/>
        <v>停车位面积</v>
      </c>
      <c r="R31" s="707" t="s">
        <v>17</v>
      </c>
      <c r="S31" s="708" t="e">
        <f t="shared" si="12"/>
        <v>#N/A</v>
      </c>
      <c r="T31" s="707" t="s">
        <v>17</v>
      </c>
      <c r="U31" s="708" t="e">
        <f t="shared" si="13"/>
        <v>#N/A</v>
      </c>
      <c r="V31" s="707" t="s">
        <v>17</v>
      </c>
      <c r="W31" s="708" t="e">
        <f t="shared" si="14"/>
        <v>#N/A</v>
      </c>
      <c r="X31" s="709"/>
      <c r="Y31" s="3313"/>
      <c r="Z31" s="55" t="str">
        <f t="shared" si="15"/>
        <v>停车位面积</v>
      </c>
      <c r="AA31" s="710" t="e">
        <f t="shared" si="3"/>
        <v>#N/A</v>
      </c>
      <c r="AB31" s="710" t="e">
        <f t="shared" si="4"/>
        <v>#N/A</v>
      </c>
      <c r="AC31" s="710" t="e">
        <f t="shared" si="5"/>
        <v>#N/A</v>
      </c>
    </row>
    <row r="32" spans="1:29" ht="15">
      <c r="A32" s="610"/>
      <c r="B32" s="608" t="s">
        <v>2538</v>
      </c>
      <c r="C32" s="417"/>
      <c r="D32" s="392">
        <v>100</v>
      </c>
      <c r="E32" s="417"/>
      <c r="F32" s="418">
        <f>SUMIF(93:93,E32,94:94)-SUMIF(93:93,C32,94:94)+100</f>
        <v>100</v>
      </c>
      <c r="G32" s="417"/>
      <c r="H32" s="392">
        <f>SUMIF(93:93,G32,94:94)-SUMIF(93:93,C32,94:94)+100</f>
        <v>100</v>
      </c>
      <c r="I32" s="417"/>
      <c r="J32" s="392">
        <f>SUMIF(93:93,I32,94:94)-SUMIF(93:93,C32,94:94)+100</f>
        <v>100</v>
      </c>
      <c r="K32" s="567"/>
      <c r="L32" s="2949"/>
      <c r="M32" s="2943"/>
      <c r="N32" s="2943"/>
      <c r="O32" s="2943"/>
      <c r="P32" s="3313" t="s">
        <v>2385</v>
      </c>
      <c r="Q32" s="1535" t="str">
        <f t="shared" si="11"/>
        <v>车位类型</v>
      </c>
      <c r="R32" s="711" t="s">
        <v>17</v>
      </c>
      <c r="S32" s="712">
        <f t="shared" si="12"/>
        <v>100</v>
      </c>
      <c r="T32" s="711" t="s">
        <v>17</v>
      </c>
      <c r="U32" s="712">
        <f t="shared" si="13"/>
        <v>100</v>
      </c>
      <c r="V32" s="711" t="s">
        <v>17</v>
      </c>
      <c r="W32" s="712">
        <f t="shared" si="14"/>
        <v>100</v>
      </c>
      <c r="X32" s="1538"/>
      <c r="Y32" s="3313" t="s">
        <v>2385</v>
      </c>
      <c r="Z32" s="1539" t="str">
        <f t="shared" si="15"/>
        <v>车位类型</v>
      </c>
      <c r="AA32" s="1536">
        <f t="shared" si="3"/>
        <v>1</v>
      </c>
      <c r="AB32" s="1536">
        <f t="shared" si="4"/>
        <v>1</v>
      </c>
      <c r="AC32" s="1536">
        <f t="shared" si="5"/>
        <v>1</v>
      </c>
    </row>
    <row r="33" spans="1:29" ht="15">
      <c r="A33" s="610"/>
      <c r="B33" s="608" t="s">
        <v>2539</v>
      </c>
      <c r="C33" s="417"/>
      <c r="D33" s="392">
        <v>100</v>
      </c>
      <c r="E33" s="417"/>
      <c r="F33" s="418">
        <f>SUMIF(95:95,E33,96:96)-SUMIF(95:95,C33,96:96)+100</f>
        <v>100</v>
      </c>
      <c r="G33" s="417"/>
      <c r="H33" s="392">
        <f>SUMIF(95:95,G33,96:96)-SUMIF(95:95,C33,96:96)+100</f>
        <v>100</v>
      </c>
      <c r="I33" s="417"/>
      <c r="J33" s="392">
        <f>SUMIF(95:95,I33,96:96)-SUMIF(95:95,C33,96:96)+100</f>
        <v>100</v>
      </c>
      <c r="K33" s="567"/>
      <c r="L33" s="2949"/>
      <c r="M33" s="2943"/>
      <c r="N33" s="2943"/>
      <c r="O33" s="2943"/>
      <c r="P33" s="3313"/>
      <c r="Q33" s="1535" t="str">
        <f t="shared" si="11"/>
        <v>是否直接入户</v>
      </c>
      <c r="R33" s="711" t="s">
        <v>17</v>
      </c>
      <c r="S33" s="712">
        <f t="shared" si="12"/>
        <v>100</v>
      </c>
      <c r="T33" s="711" t="s">
        <v>17</v>
      </c>
      <c r="U33" s="712">
        <f t="shared" si="13"/>
        <v>100</v>
      </c>
      <c r="V33" s="711" t="s">
        <v>17</v>
      </c>
      <c r="W33" s="712">
        <f t="shared" si="14"/>
        <v>100</v>
      </c>
      <c r="X33" s="1538"/>
      <c r="Y33" s="3313"/>
      <c r="Z33" s="1539" t="str">
        <f t="shared" si="15"/>
        <v>是否直接入户</v>
      </c>
      <c r="AA33" s="1536">
        <f t="shared" si="3"/>
        <v>1</v>
      </c>
      <c r="AB33" s="1536">
        <f t="shared" si="4"/>
        <v>1</v>
      </c>
      <c r="AC33" s="1536">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49"/>
      <c r="M34" s="2943"/>
      <c r="N34" s="2943"/>
      <c r="O34" s="2943"/>
      <c r="P34" s="3313"/>
      <c r="Q34" s="1535">
        <f t="shared" si="11"/>
        <v>111</v>
      </c>
      <c r="R34" s="711" t="s">
        <v>17</v>
      </c>
      <c r="S34" s="712">
        <f t="shared" si="12"/>
        <v>100</v>
      </c>
      <c r="T34" s="711" t="s">
        <v>17</v>
      </c>
      <c r="U34" s="712">
        <f t="shared" si="13"/>
        <v>100</v>
      </c>
      <c r="V34" s="711" t="s">
        <v>17</v>
      </c>
      <c r="W34" s="712">
        <f t="shared" si="14"/>
        <v>100</v>
      </c>
      <c r="X34" s="1538"/>
      <c r="Y34" s="3313"/>
      <c r="Z34" s="1539">
        <f t="shared" si="15"/>
        <v>111</v>
      </c>
      <c r="AA34" s="1536">
        <f t="shared" si="3"/>
        <v>1</v>
      </c>
      <c r="AB34" s="1536">
        <f t="shared" si="4"/>
        <v>1</v>
      </c>
      <c r="AC34" s="1536">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48"/>
      <c r="M35" s="2950"/>
      <c r="N35" s="2950"/>
      <c r="O35" s="2950"/>
      <c r="P35" s="3313"/>
      <c r="Q35" s="713">
        <f t="shared" si="11"/>
        <v>111</v>
      </c>
      <c r="R35" s="714" t="s">
        <v>17</v>
      </c>
      <c r="S35" s="715">
        <f t="shared" si="12"/>
        <v>100</v>
      </c>
      <c r="T35" s="714" t="s">
        <v>17</v>
      </c>
      <c r="U35" s="715">
        <f t="shared" si="13"/>
        <v>100</v>
      </c>
      <c r="V35" s="714" t="s">
        <v>17</v>
      </c>
      <c r="W35" s="715">
        <f t="shared" si="14"/>
        <v>100</v>
      </c>
      <c r="X35" s="716"/>
      <c r="Y35" s="3313"/>
      <c r="Z35" s="717">
        <f t="shared" si="15"/>
        <v>111</v>
      </c>
      <c r="AA35" s="1536">
        <f t="shared" si="3"/>
        <v>1</v>
      </c>
      <c r="AB35" s="1536">
        <f t="shared" si="4"/>
        <v>1</v>
      </c>
      <c r="AC35" s="1536">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49"/>
      <c r="M36" s="2943"/>
      <c r="N36" s="2943"/>
      <c r="O36" s="2943"/>
      <c r="P36" s="3313"/>
      <c r="Q36" s="1535">
        <f t="shared" si="11"/>
        <v>111</v>
      </c>
      <c r="R36" s="711" t="s">
        <v>17</v>
      </c>
      <c r="S36" s="712">
        <f t="shared" si="12"/>
        <v>100</v>
      </c>
      <c r="T36" s="711" t="s">
        <v>17</v>
      </c>
      <c r="U36" s="712">
        <f t="shared" si="13"/>
        <v>100</v>
      </c>
      <c r="V36" s="711" t="s">
        <v>17</v>
      </c>
      <c r="W36" s="712">
        <f t="shared" si="14"/>
        <v>100</v>
      </c>
      <c r="X36" s="1538"/>
      <c r="Y36" s="3313"/>
      <c r="Z36" s="1539">
        <f t="shared" si="15"/>
        <v>111</v>
      </c>
      <c r="AA36" s="1536">
        <f t="shared" si="3"/>
        <v>1</v>
      </c>
      <c r="AB36" s="1536">
        <f t="shared" si="4"/>
        <v>1</v>
      </c>
      <c r="AC36" s="1536">
        <f t="shared" si="5"/>
        <v>1</v>
      </c>
    </row>
    <row r="37" spans="1:29" ht="15">
      <c r="A37" s="436" t="s">
        <v>2540</v>
      </c>
      <c r="B37" s="2157" t="s">
        <v>2541</v>
      </c>
      <c r="C37" s="1313" t="s">
        <v>1</v>
      </c>
      <c r="D37" s="1314"/>
      <c r="E37" s="1315"/>
      <c r="F37" s="1316"/>
      <c r="G37" s="1317"/>
      <c r="H37" s="1318"/>
      <c r="I37" s="1315"/>
      <c r="J37" s="1318"/>
      <c r="K37" s="574"/>
      <c r="L37" s="2951"/>
      <c r="M37" s="2952"/>
      <c r="N37" s="2943"/>
      <c r="O37" s="2952"/>
      <c r="P37" s="3295" t="str">
        <f>A37</f>
        <v>成交单价</v>
      </c>
      <c r="Q37" s="3295"/>
      <c r="R37" s="3376">
        <f>E37</f>
        <v>0</v>
      </c>
      <c r="S37" s="3376"/>
      <c r="T37" s="3376">
        <f>G37</f>
        <v>0</v>
      </c>
      <c r="U37" s="3376"/>
      <c r="V37" s="3376">
        <f>I37</f>
        <v>0</v>
      </c>
      <c r="W37" s="3376"/>
      <c r="X37" s="696"/>
      <c r="Y37" s="718"/>
      <c r="Z37" s="696"/>
      <c r="AA37" s="696"/>
      <c r="AB37" s="696"/>
      <c r="AC37" s="696"/>
    </row>
    <row r="38" spans="1:29" ht="15.75" thickBot="1">
      <c r="A38" s="443" t="s">
        <v>2542</v>
      </c>
      <c r="B38" s="444" t="str">
        <f>B37</f>
        <v>元/车位</v>
      </c>
      <c r="C38" s="1319" t="e">
        <f>R39</f>
        <v>#DIV/0!</v>
      </c>
      <c r="D38" s="2536" t="s">
        <v>2879</v>
      </c>
      <c r="E38" s="1320" t="e">
        <f>R38</f>
        <v>#DIV/0!</v>
      </c>
      <c r="F38" s="2537"/>
      <c r="G38" s="1319" t="e">
        <f>T38</f>
        <v>#DIV/0!</v>
      </c>
      <c r="H38" s="2537"/>
      <c r="I38" s="1320" t="e">
        <f>V38</f>
        <v>#DIV/0!</v>
      </c>
      <c r="J38" s="2537"/>
      <c r="K38" s="2539">
        <f>F38+H38+J38</f>
        <v>0</v>
      </c>
      <c r="L38" s="2951"/>
      <c r="M38" s="2952"/>
      <c r="N38" s="2952"/>
      <c r="O38" s="2952"/>
      <c r="P38" s="3295" t="str">
        <f>A38</f>
        <v>比较价值（元/平方米）</v>
      </c>
      <c r="Q38" s="329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696"/>
      <c r="Y38" s="696"/>
      <c r="Z38" s="696"/>
      <c r="AA38" s="696"/>
      <c r="AB38" s="696"/>
      <c r="AC38" s="696"/>
    </row>
    <row r="39" spans="1:29" ht="15.75" thickBot="1">
      <c r="A39" s="447" t="s">
        <v>2543</v>
      </c>
      <c r="B39" s="448"/>
      <c r="C39" s="1322" t="e">
        <f>R39</f>
        <v>#DIV/0!</v>
      </c>
      <c r="D39" s="1322"/>
      <c r="E39" s="1322"/>
      <c r="F39" s="1322"/>
      <c r="G39" s="1322"/>
      <c r="H39" s="1322"/>
      <c r="I39" s="1322"/>
      <c r="J39" s="1322"/>
      <c r="K39" s="575"/>
      <c r="L39" s="2951"/>
      <c r="M39" s="2952"/>
      <c r="N39" s="2952"/>
      <c r="O39" s="2952"/>
      <c r="P39" s="3315" t="str">
        <f>A39</f>
        <v>估价对象XX用房的比较价值（楼面单价，元/平方米）</v>
      </c>
      <c r="Q39" s="3316"/>
      <c r="R39" s="3398" t="e">
        <f>IF(F1="售价",ROUND(IF(D38="简单平均",AVERAGE(R38:W38),R38*F38+T38*H38+V38*J38),0),ROUND(IF(D38="简单平均",AVERAGE(R38:V38),R38*F38+T38*H38+V38*J38),1))</f>
        <v>#DIV/0!</v>
      </c>
      <c r="S39" s="3398"/>
      <c r="T39" s="3398"/>
      <c r="U39" s="3398"/>
      <c r="V39" s="3398"/>
      <c r="W39" s="3398"/>
      <c r="X39" s="696"/>
      <c r="Y39" s="696"/>
      <c r="Z39" s="696"/>
      <c r="AA39" s="696"/>
      <c r="AB39" s="696"/>
      <c r="AC39" s="696"/>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2" t="s">
        <v>2544</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2" t="s">
        <v>2545</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7" customFormat="1" ht="13.5" customHeight="1">
      <c r="A44" s="2955"/>
      <c r="B44" s="2955"/>
      <c r="C44" s="452" t="s">
        <v>2546</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7"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5" t="s">
        <v>2547</v>
      </c>
      <c r="B47" s="1055"/>
      <c r="C47" s="1068"/>
      <c r="D47" s="1068"/>
      <c r="E47" s="1068"/>
      <c r="F47" s="1326"/>
      <c r="G47" s="1326"/>
      <c r="H47" s="1068"/>
      <c r="I47" s="1068"/>
      <c r="J47" s="1068"/>
      <c r="K47" s="1069"/>
      <c r="L47" s="1070"/>
      <c r="M47" s="1068"/>
      <c r="N47" s="2996"/>
      <c r="O47" s="2996"/>
      <c r="P47" s="2985"/>
      <c r="Q47" s="2966"/>
      <c r="R47" s="2952"/>
      <c r="S47" s="2952"/>
      <c r="T47" s="2952"/>
      <c r="U47" s="2952"/>
      <c r="V47" s="2952"/>
      <c r="W47" s="2952"/>
      <c r="X47" s="2952"/>
      <c r="Y47" s="2952"/>
      <c r="Z47" s="2952"/>
      <c r="AA47" s="2952"/>
      <c r="AB47" s="2952"/>
      <c r="AC47" s="2952"/>
    </row>
    <row r="48" spans="1:29" s="463" customFormat="1" ht="15">
      <c r="A48" s="460" t="s">
        <v>2548</v>
      </c>
      <c r="B48" s="461"/>
      <c r="C48" s="1343" t="str">
        <f>YEAR(C7)&amp;"-"&amp;MONTH(C7)</f>
        <v>2020-11</v>
      </c>
      <c r="D48" s="1344">
        <f>EDATE(C48,-1)</f>
        <v>44105</v>
      </c>
      <c r="E48" s="1344">
        <f t="shared" ref="E48:O48" si="16">EDATE(D48,-1)</f>
        <v>44075</v>
      </c>
      <c r="F48" s="1344">
        <f t="shared" si="16"/>
        <v>44044</v>
      </c>
      <c r="G48" s="1344">
        <f t="shared" si="16"/>
        <v>44013</v>
      </c>
      <c r="H48" s="1344">
        <f t="shared" si="16"/>
        <v>43983</v>
      </c>
      <c r="I48" s="1344">
        <f t="shared" si="16"/>
        <v>43952</v>
      </c>
      <c r="J48" s="1344">
        <f t="shared" si="16"/>
        <v>43922</v>
      </c>
      <c r="K48" s="1344">
        <f t="shared" si="16"/>
        <v>43891</v>
      </c>
      <c r="L48" s="1344">
        <f t="shared" si="16"/>
        <v>43862</v>
      </c>
      <c r="M48" s="1344">
        <f t="shared" si="16"/>
        <v>43831</v>
      </c>
      <c r="N48" s="1344">
        <f t="shared" si="16"/>
        <v>43800</v>
      </c>
      <c r="O48" s="1344">
        <f t="shared" si="16"/>
        <v>43770</v>
      </c>
      <c r="P48" s="2986"/>
      <c r="Q48" s="2968"/>
      <c r="R48" s="2968"/>
      <c r="S48" s="2968"/>
      <c r="T48" s="2968"/>
      <c r="U48" s="2968"/>
      <c r="V48" s="2968"/>
      <c r="W48" s="2968"/>
      <c r="X48" s="2968"/>
      <c r="Y48" s="2968"/>
      <c r="Z48" s="2968"/>
      <c r="AA48" s="2968"/>
      <c r="AB48" s="2968"/>
      <c r="AC48" s="2968"/>
    </row>
    <row r="49" spans="1:29" s="113" customFormat="1" ht="15">
      <c r="A49" s="464"/>
      <c r="B49" s="465"/>
      <c r="C49" s="1336">
        <v>100</v>
      </c>
      <c r="D49" s="467"/>
      <c r="E49" s="467"/>
      <c r="F49" s="467"/>
      <c r="G49" s="467"/>
      <c r="H49" s="467"/>
      <c r="I49" s="467"/>
      <c r="J49" s="467"/>
      <c r="K49" s="467"/>
      <c r="L49" s="467"/>
      <c r="M49" s="468"/>
      <c r="N49" s="467"/>
      <c r="O49" s="468"/>
      <c r="P49" s="2987"/>
      <c r="Q49" s="2886"/>
      <c r="R49" s="2886"/>
      <c r="S49" s="2886"/>
      <c r="T49" s="2886"/>
      <c r="U49" s="2886"/>
      <c r="V49" s="2886"/>
      <c r="W49" s="2886"/>
      <c r="X49" s="2886"/>
      <c r="Y49" s="2886"/>
      <c r="Z49" s="2886"/>
      <c r="AA49" s="2886"/>
      <c r="AB49" s="2886"/>
      <c r="AC49" s="2886"/>
    </row>
    <row r="50" spans="1:29" s="113" customFormat="1" ht="15.75" thickBot="1">
      <c r="A50" s="470" t="s">
        <v>2405</v>
      </c>
      <c r="B50" s="471"/>
      <c r="C50" s="472"/>
      <c r="D50" s="473"/>
      <c r="E50" s="473"/>
      <c r="F50" s="473"/>
      <c r="G50" s="473"/>
      <c r="H50" s="473"/>
      <c r="I50" s="473"/>
      <c r="J50" s="473"/>
      <c r="K50" s="473"/>
      <c r="L50" s="473"/>
      <c r="M50" s="474"/>
      <c r="N50" s="473"/>
      <c r="O50" s="474"/>
      <c r="P50" s="2987"/>
      <c r="Q50" s="2966"/>
      <c r="R50" s="2886"/>
      <c r="S50" s="2886"/>
      <c r="T50" s="2886"/>
      <c r="U50" s="2886"/>
      <c r="V50" s="2886"/>
      <c r="W50" s="2886"/>
      <c r="X50" s="2886"/>
      <c r="Y50" s="2886"/>
      <c r="Z50" s="2886"/>
      <c r="AA50" s="2886"/>
      <c r="AB50" s="2886"/>
      <c r="AC50" s="2886"/>
    </row>
    <row r="51" spans="1:29" s="113" customFormat="1" ht="15">
      <c r="A51" s="476" t="s">
        <v>2370</v>
      </c>
      <c r="B51" s="465"/>
      <c r="C51" s="477" t="s">
        <v>2472</v>
      </c>
      <c r="D51" s="478"/>
      <c r="E51" s="478"/>
      <c r="F51" s="478"/>
      <c r="G51" s="478"/>
      <c r="H51" s="478"/>
      <c r="I51" s="478"/>
      <c r="J51" s="478"/>
      <c r="K51" s="478"/>
      <c r="L51" s="479"/>
      <c r="M51" s="480"/>
      <c r="N51" s="2979"/>
      <c r="O51" s="2979"/>
      <c r="P51" s="2988"/>
      <c r="Q51" s="2966"/>
      <c r="R51" s="2886"/>
      <c r="S51" s="2886"/>
      <c r="T51" s="2886"/>
      <c r="U51" s="2886"/>
      <c r="V51" s="2886"/>
      <c r="W51" s="2886"/>
      <c r="X51" s="2886"/>
      <c r="Y51" s="2886"/>
      <c r="Z51" s="2886"/>
      <c r="AA51" s="2886"/>
      <c r="AB51" s="2886"/>
      <c r="AC51" s="2886"/>
    </row>
    <row r="52" spans="1:29" s="113" customFormat="1" ht="15.75" thickBot="1">
      <c r="A52" s="476"/>
      <c r="B52" s="465"/>
      <c r="C52" s="593">
        <v>100</v>
      </c>
      <c r="D52" s="467"/>
      <c r="E52" s="467"/>
      <c r="F52" s="467"/>
      <c r="G52" s="467"/>
      <c r="H52" s="467"/>
      <c r="I52" s="467"/>
      <c r="J52" s="467"/>
      <c r="K52" s="467"/>
      <c r="L52" s="467"/>
      <c r="M52" s="469"/>
      <c r="N52" s="2979"/>
      <c r="O52" s="2979"/>
      <c r="P52" s="2987"/>
      <c r="Q52" s="2966"/>
      <c r="R52" s="2886"/>
      <c r="S52" s="2886"/>
      <c r="T52" s="2886"/>
      <c r="U52" s="2886"/>
      <c r="V52" s="2886"/>
      <c r="W52" s="2886"/>
      <c r="X52" s="2886"/>
      <c r="Y52" s="2886"/>
      <c r="Z52" s="2886"/>
      <c r="AA52" s="2886"/>
      <c r="AB52" s="2886"/>
      <c r="AC52" s="2886"/>
    </row>
    <row r="53" spans="1:29">
      <c r="A53" s="482" t="s">
        <v>2408</v>
      </c>
      <c r="B53" s="483" t="s">
        <v>2374</v>
      </c>
      <c r="C53" s="484">
        <f>C9</f>
        <v>0</v>
      </c>
      <c r="D53" s="485"/>
      <c r="E53" s="485"/>
      <c r="F53" s="485"/>
      <c r="G53" s="485"/>
      <c r="H53" s="485"/>
      <c r="I53" s="485"/>
      <c r="J53" s="485"/>
      <c r="K53" s="486"/>
      <c r="L53" s="487"/>
      <c r="M53" s="488"/>
      <c r="N53" s="2980"/>
      <c r="O53" s="2980"/>
      <c r="P53" s="2989"/>
      <c r="Q53" s="2966"/>
      <c r="R53" s="2952"/>
      <c r="S53" s="2952"/>
      <c r="T53" s="2952"/>
      <c r="U53" s="2952"/>
      <c r="V53" s="2952"/>
      <c r="W53" s="2952"/>
      <c r="X53" s="2952"/>
      <c r="Y53" s="2952"/>
      <c r="Z53" s="2952"/>
      <c r="AA53" s="2952"/>
      <c r="AB53" s="2952"/>
      <c r="AC53" s="2952"/>
    </row>
    <row r="54" spans="1:29" ht="15.75" thickBot="1">
      <c r="A54" s="489"/>
      <c r="B54" s="490"/>
      <c r="C54" s="491">
        <v>100</v>
      </c>
      <c r="D54" s="491"/>
      <c r="E54" s="491"/>
      <c r="F54" s="491"/>
      <c r="G54" s="491"/>
      <c r="H54" s="491"/>
      <c r="I54" s="491"/>
      <c r="J54" s="491"/>
      <c r="K54" s="491"/>
      <c r="L54" s="491"/>
      <c r="M54" s="492"/>
      <c r="N54" s="2981"/>
      <c r="O54" s="2981"/>
      <c r="P54" s="2989"/>
      <c r="Q54" s="2966"/>
      <c r="R54" s="2952"/>
      <c r="S54" s="2952"/>
      <c r="T54" s="2952"/>
      <c r="U54" s="2952"/>
      <c r="V54" s="2952"/>
      <c r="W54" s="2952"/>
      <c r="X54" s="2952"/>
      <c r="Y54" s="2952"/>
      <c r="Z54" s="2952"/>
      <c r="AA54" s="2952"/>
      <c r="AB54" s="2952"/>
      <c r="AC54" s="2952"/>
    </row>
    <row r="55" spans="1:29" ht="27.75" thickTop="1">
      <c r="A55" s="489"/>
      <c r="B55" s="493" t="s">
        <v>2377</v>
      </c>
      <c r="C55" s="494" t="s">
        <v>2409</v>
      </c>
      <c r="D55" s="494" t="s">
        <v>2410</v>
      </c>
      <c r="E55" s="494" t="s">
        <v>2411</v>
      </c>
      <c r="F55" s="494" t="s">
        <v>2412</v>
      </c>
      <c r="G55" s="494" t="s">
        <v>2413</v>
      </c>
      <c r="H55" s="494" t="s">
        <v>2414</v>
      </c>
      <c r="I55" s="494" t="s">
        <v>2415</v>
      </c>
      <c r="J55" s="494"/>
      <c r="K55" s="495"/>
      <c r="L55" s="496"/>
      <c r="M55" s="497"/>
      <c r="N55" s="2980"/>
      <c r="O55" s="2980"/>
      <c r="P55" s="2989"/>
      <c r="Q55" s="2966"/>
      <c r="R55" s="2952"/>
      <c r="S55" s="2952"/>
      <c r="T55" s="2952"/>
      <c r="U55" s="2952"/>
      <c r="V55" s="2952"/>
      <c r="W55" s="2952"/>
      <c r="X55" s="2952"/>
      <c r="Y55" s="2952"/>
      <c r="Z55" s="2952"/>
      <c r="AA55" s="2952"/>
      <c r="AB55" s="2952"/>
      <c r="AC55" s="2952"/>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81"/>
      <c r="O56" s="2981"/>
      <c r="P56" s="2989"/>
      <c r="Q56" s="2966"/>
      <c r="R56" s="2952"/>
      <c r="S56" s="2952"/>
      <c r="T56" s="2952"/>
      <c r="U56" s="2952"/>
      <c r="V56" s="2952"/>
      <c r="W56" s="2952"/>
      <c r="X56" s="2952"/>
      <c r="Y56" s="2952"/>
      <c r="Z56" s="2952"/>
      <c r="AA56" s="2952"/>
      <c r="AB56" s="2952"/>
      <c r="AC56" s="2952"/>
    </row>
    <row r="57" spans="1:29" ht="15.75" thickTop="1">
      <c r="A57" s="489"/>
      <c r="B57" s="614">
        <f>B11</f>
        <v>111</v>
      </c>
      <c r="C57" s="504"/>
      <c r="D57" s="504"/>
      <c r="E57" s="504"/>
      <c r="F57" s="504"/>
      <c r="G57" s="504"/>
      <c r="H57" s="504"/>
      <c r="I57" s="504"/>
      <c r="J57" s="504"/>
      <c r="K57" s="505"/>
      <c r="L57" s="506"/>
      <c r="M57" s="507"/>
      <c r="N57" s="2980"/>
      <c r="O57" s="2980"/>
      <c r="P57" s="2989"/>
      <c r="Q57" s="2966"/>
      <c r="R57" s="2952"/>
      <c r="S57" s="2952"/>
      <c r="T57" s="2952"/>
      <c r="U57" s="2952"/>
      <c r="V57" s="2952"/>
      <c r="W57" s="2952"/>
      <c r="X57" s="2952"/>
      <c r="Y57" s="2952"/>
      <c r="Z57" s="2952"/>
      <c r="AA57" s="2952"/>
      <c r="AB57" s="2952"/>
      <c r="AC57" s="2952"/>
    </row>
    <row r="58" spans="1:29" ht="15.75" thickBot="1">
      <c r="A58" s="489"/>
      <c r="B58" s="490"/>
      <c r="C58" s="515"/>
      <c r="D58" s="491"/>
      <c r="E58" s="491"/>
      <c r="F58" s="491"/>
      <c r="G58" s="491"/>
      <c r="H58" s="491"/>
      <c r="I58" s="491"/>
      <c r="J58" s="491"/>
      <c r="K58" s="491"/>
      <c r="L58" s="491"/>
      <c r="M58" s="492"/>
      <c r="N58" s="2981"/>
      <c r="O58" s="2981"/>
      <c r="P58" s="2989"/>
      <c r="Q58" s="2966"/>
      <c r="R58" s="2952"/>
      <c r="S58" s="2952"/>
      <c r="T58" s="2952"/>
      <c r="U58" s="2952"/>
      <c r="V58" s="2952"/>
      <c r="W58" s="2952"/>
      <c r="X58" s="2952"/>
      <c r="Y58" s="2952"/>
      <c r="Z58" s="2952"/>
      <c r="AA58" s="2952"/>
      <c r="AB58" s="2952"/>
      <c r="AC58" s="2952"/>
    </row>
    <row r="59" spans="1:29" s="428" customFormat="1" ht="15.75" thickTop="1">
      <c r="A59" s="508"/>
      <c r="B59" s="493">
        <f>B12</f>
        <v>111</v>
      </c>
      <c r="C59" s="504"/>
      <c r="D59" s="504"/>
      <c r="E59" s="504"/>
      <c r="F59" s="504"/>
      <c r="G59" s="509"/>
      <c r="H59" s="510"/>
      <c r="I59" s="510"/>
      <c r="J59" s="510"/>
      <c r="K59" s="510"/>
      <c r="L59" s="511"/>
      <c r="M59" s="512"/>
      <c r="N59" s="2982"/>
      <c r="O59" s="2982"/>
      <c r="P59" s="2990"/>
      <c r="Q59" s="2973"/>
      <c r="R59" s="2974"/>
      <c r="S59" s="2974"/>
      <c r="T59" s="2974"/>
      <c r="U59" s="2974"/>
      <c r="V59" s="2974"/>
      <c r="W59" s="2974"/>
      <c r="X59" s="2974"/>
      <c r="Y59" s="2974"/>
      <c r="Z59" s="2974"/>
      <c r="AA59" s="2974"/>
      <c r="AB59" s="2974"/>
      <c r="AC59" s="2974"/>
    </row>
    <row r="60" spans="1:29" s="428" customFormat="1" ht="15.75" thickBot="1">
      <c r="A60" s="508"/>
      <c r="B60" s="498"/>
      <c r="C60" s="515"/>
      <c r="D60" s="491"/>
      <c r="E60" s="491"/>
      <c r="F60" s="491"/>
      <c r="G60" s="491"/>
      <c r="H60" s="491"/>
      <c r="I60" s="491"/>
      <c r="J60" s="491"/>
      <c r="K60" s="491"/>
      <c r="L60" s="491"/>
      <c r="M60" s="492"/>
      <c r="N60" s="2981"/>
      <c r="O60" s="2981"/>
      <c r="P60" s="2990"/>
      <c r="Q60" s="2973"/>
      <c r="R60" s="2974"/>
      <c r="S60" s="2974"/>
      <c r="T60" s="2974"/>
      <c r="U60" s="2974"/>
      <c r="V60" s="2974"/>
      <c r="W60" s="2974"/>
      <c r="X60" s="2974"/>
      <c r="Y60" s="2974"/>
      <c r="Z60" s="2974"/>
      <c r="AA60" s="2974"/>
      <c r="AB60" s="2974"/>
      <c r="AC60" s="2974"/>
    </row>
    <row r="61" spans="1:29" s="428" customFormat="1" ht="15.75" thickTop="1">
      <c r="A61" s="508"/>
      <c r="B61" s="493">
        <f>B13</f>
        <v>111</v>
      </c>
      <c r="C61" s="509"/>
      <c r="D61" s="509"/>
      <c r="E61" s="509"/>
      <c r="F61" s="509"/>
      <c r="G61" s="509"/>
      <c r="H61" s="510"/>
      <c r="I61" s="510"/>
      <c r="J61" s="510"/>
      <c r="K61" s="510"/>
      <c r="L61" s="511"/>
      <c r="M61" s="512"/>
      <c r="N61" s="2982"/>
      <c r="O61" s="2982"/>
      <c r="P61" s="2991"/>
      <c r="Q61" s="2976"/>
      <c r="R61" s="2974"/>
      <c r="S61" s="2974"/>
      <c r="T61" s="2974"/>
      <c r="U61" s="2974"/>
      <c r="V61" s="2974"/>
      <c r="W61" s="2974"/>
      <c r="X61" s="2974"/>
      <c r="Y61" s="2974"/>
      <c r="Z61" s="2974"/>
      <c r="AA61" s="2974"/>
      <c r="AB61" s="2974"/>
      <c r="AC61" s="2974"/>
    </row>
    <row r="62" spans="1:29" s="428" customFormat="1" ht="15.75" thickBot="1">
      <c r="A62" s="508"/>
      <c r="B62" s="498"/>
      <c r="C62" s="515"/>
      <c r="D62" s="515"/>
      <c r="E62" s="515"/>
      <c r="F62" s="515"/>
      <c r="G62" s="515"/>
      <c r="H62" s="517"/>
      <c r="I62" s="517"/>
      <c r="J62" s="517"/>
      <c r="K62" s="517"/>
      <c r="L62" s="517"/>
      <c r="M62" s="518"/>
      <c r="N62" s="2982"/>
      <c r="O62" s="2982"/>
      <c r="P62" s="2990"/>
      <c r="Q62" s="2973"/>
      <c r="R62" s="2974"/>
      <c r="S62" s="2974"/>
      <c r="T62" s="2974"/>
      <c r="U62" s="2974"/>
      <c r="V62" s="2974"/>
      <c r="W62" s="2974"/>
      <c r="X62" s="2974"/>
      <c r="Y62" s="2974"/>
      <c r="Z62" s="2974"/>
      <c r="AA62" s="2974"/>
      <c r="AB62" s="2974"/>
      <c r="AC62" s="2974"/>
    </row>
    <row r="63" spans="1:29" ht="15" thickTop="1">
      <c r="A63" s="482" t="s">
        <v>2379</v>
      </c>
      <c r="B63" s="483" t="s">
        <v>2422</v>
      </c>
      <c r="C63" s="528" t="s">
        <v>2417</v>
      </c>
      <c r="D63" s="528" t="s">
        <v>2418</v>
      </c>
      <c r="E63" s="528" t="s">
        <v>2419</v>
      </c>
      <c r="F63" s="528" t="s">
        <v>2420</v>
      </c>
      <c r="G63" s="528" t="s">
        <v>2421</v>
      </c>
      <c r="H63" s="484"/>
      <c r="I63" s="484"/>
      <c r="J63" s="484"/>
      <c r="K63" s="529"/>
      <c r="L63" s="530"/>
      <c r="M63" s="531"/>
      <c r="N63" s="2980"/>
      <c r="O63" s="2980"/>
      <c r="P63" s="2993"/>
      <c r="Q63" s="2966"/>
      <c r="R63" s="2952"/>
      <c r="S63" s="2952"/>
      <c r="T63" s="2952"/>
      <c r="U63" s="2952"/>
      <c r="V63" s="2952"/>
      <c r="W63" s="2952"/>
      <c r="X63" s="2952"/>
      <c r="Y63" s="2952"/>
      <c r="Z63" s="2952"/>
      <c r="AA63" s="2952"/>
      <c r="AB63" s="2952"/>
      <c r="AC63" s="2952"/>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81"/>
      <c r="O64" s="2981"/>
      <c r="P64" s="2989"/>
      <c r="Q64" s="2966"/>
      <c r="R64" s="2952"/>
      <c r="S64" s="2952"/>
      <c r="T64" s="2952"/>
      <c r="U64" s="2952"/>
      <c r="V64" s="2952"/>
      <c r="W64" s="2952"/>
      <c r="X64" s="2952"/>
      <c r="Y64" s="2952"/>
      <c r="Z64" s="2952"/>
      <c r="AA64" s="2952"/>
      <c r="AB64" s="2952"/>
      <c r="AC64" s="2952"/>
    </row>
    <row r="65" spans="1:29" ht="15.75" thickTop="1">
      <c r="A65" s="489"/>
      <c r="B65" s="493" t="s">
        <v>2423</v>
      </c>
      <c r="C65" s="533" t="s">
        <v>2417</v>
      </c>
      <c r="D65" s="533" t="s">
        <v>2418</v>
      </c>
      <c r="E65" s="533" t="s">
        <v>2419</v>
      </c>
      <c r="F65" s="533" t="s">
        <v>2420</v>
      </c>
      <c r="G65" s="533" t="s">
        <v>2421</v>
      </c>
      <c r="H65" s="494"/>
      <c r="I65" s="494"/>
      <c r="J65" s="494"/>
      <c r="K65" s="495"/>
      <c r="L65" s="496"/>
      <c r="M65" s="497"/>
      <c r="N65" s="2980"/>
      <c r="O65" s="2980"/>
      <c r="P65" s="2989"/>
      <c r="Q65" s="2966"/>
      <c r="R65" s="2952"/>
      <c r="S65" s="2952"/>
      <c r="T65" s="2952"/>
      <c r="U65" s="2952"/>
      <c r="V65" s="2952"/>
      <c r="W65" s="2952"/>
      <c r="X65" s="2952"/>
      <c r="Y65" s="2952"/>
      <c r="Z65" s="2952"/>
      <c r="AA65" s="2952"/>
      <c r="AB65" s="2952"/>
      <c r="AC65" s="2952"/>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81"/>
      <c r="O66" s="2981"/>
      <c r="P66" s="2989"/>
      <c r="Q66" s="2966"/>
      <c r="R66" s="2952"/>
      <c r="S66" s="2952"/>
      <c r="T66" s="2952"/>
      <c r="U66" s="2952"/>
      <c r="V66" s="2952"/>
      <c r="W66" s="2952"/>
      <c r="X66" s="2952"/>
      <c r="Y66" s="2952"/>
      <c r="Z66" s="2952"/>
      <c r="AA66" s="2952"/>
      <c r="AB66" s="2952"/>
      <c r="AC66" s="2952"/>
    </row>
    <row r="67" spans="1:29" ht="15.75" thickTop="1">
      <c r="A67" s="489"/>
      <c r="B67" s="501" t="s">
        <v>2509</v>
      </c>
      <c r="C67" s="614" t="s">
        <v>2495</v>
      </c>
      <c r="D67" s="614" t="s">
        <v>2496</v>
      </c>
      <c r="E67" s="614" t="s">
        <v>2497</v>
      </c>
      <c r="F67" s="614" t="s">
        <v>2498</v>
      </c>
      <c r="G67" s="614" t="s">
        <v>2499</v>
      </c>
      <c r="H67" s="494"/>
      <c r="I67" s="494"/>
      <c r="J67" s="494"/>
      <c r="K67" s="494"/>
      <c r="L67" s="494"/>
      <c r="M67" s="1288"/>
      <c r="N67" s="2981"/>
      <c r="O67" s="2981"/>
      <c r="P67" s="2989"/>
      <c r="Q67" s="2966"/>
      <c r="R67" s="2952"/>
      <c r="S67" s="2952"/>
      <c r="T67" s="2952"/>
      <c r="U67" s="2952"/>
      <c r="V67" s="2952"/>
      <c r="W67" s="2952"/>
      <c r="X67" s="2952"/>
      <c r="Y67" s="2952"/>
      <c r="Z67" s="2952"/>
      <c r="AA67" s="2952"/>
      <c r="AB67" s="2952"/>
      <c r="AC67" s="2952"/>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81"/>
      <c r="O68" s="2981"/>
      <c r="P68" s="2989"/>
      <c r="Q68" s="2966"/>
      <c r="R68" s="2952"/>
      <c r="S68" s="2952"/>
      <c r="T68" s="2952"/>
      <c r="U68" s="2952"/>
      <c r="V68" s="2952"/>
      <c r="W68" s="2952"/>
      <c r="X68" s="2952"/>
      <c r="Y68" s="2952"/>
      <c r="Z68" s="2952"/>
      <c r="AA68" s="2952"/>
      <c r="AB68" s="2952"/>
      <c r="AC68" s="2952"/>
    </row>
    <row r="69" spans="1:29" ht="15.75" thickTop="1">
      <c r="A69" s="489"/>
      <c r="B69" s="493" t="s">
        <v>2429</v>
      </c>
      <c r="C69" s="533" t="s">
        <v>2417</v>
      </c>
      <c r="D69" s="533" t="s">
        <v>2418</v>
      </c>
      <c r="E69" s="533" t="s">
        <v>2419</v>
      </c>
      <c r="F69" s="533" t="s">
        <v>2420</v>
      </c>
      <c r="G69" s="533" t="s">
        <v>2421</v>
      </c>
      <c r="H69" s="494"/>
      <c r="I69" s="494"/>
      <c r="J69" s="494"/>
      <c r="K69" s="495"/>
      <c r="L69" s="496"/>
      <c r="M69" s="497"/>
      <c r="N69" s="2980"/>
      <c r="O69" s="2980"/>
      <c r="P69" s="2989"/>
      <c r="Q69" s="2966"/>
      <c r="R69" s="2952"/>
      <c r="S69" s="2952"/>
      <c r="T69" s="2952"/>
      <c r="U69" s="2952"/>
      <c r="V69" s="2952"/>
      <c r="W69" s="2952"/>
      <c r="X69" s="2952"/>
      <c r="Y69" s="2952"/>
      <c r="Z69" s="2952"/>
      <c r="AA69" s="2952"/>
      <c r="AB69" s="2952"/>
      <c r="AC69" s="2952"/>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81"/>
      <c r="O70" s="2981"/>
      <c r="P70" s="2989"/>
      <c r="Q70" s="2966"/>
      <c r="R70" s="2952"/>
      <c r="S70" s="2952"/>
      <c r="T70" s="2952"/>
      <c r="U70" s="2952"/>
      <c r="V70" s="2952"/>
      <c r="W70" s="2952"/>
      <c r="X70" s="2952"/>
      <c r="Y70" s="2952"/>
      <c r="Z70" s="2952"/>
      <c r="AA70" s="2952"/>
      <c r="AB70" s="2952"/>
      <c r="AC70" s="2952"/>
    </row>
    <row r="71" spans="1:29" ht="15.75" thickTop="1">
      <c r="A71" s="489"/>
      <c r="B71" s="493" t="s">
        <v>2549</v>
      </c>
      <c r="C71" s="509"/>
      <c r="D71" s="509"/>
      <c r="E71" s="509"/>
      <c r="F71" s="509"/>
      <c r="G71" s="509"/>
      <c r="H71" s="538"/>
      <c r="I71" s="538"/>
      <c r="J71" s="538"/>
      <c r="K71" s="539"/>
      <c r="L71" s="540"/>
      <c r="M71" s="541"/>
      <c r="N71" s="2980"/>
      <c r="O71" s="2980"/>
      <c r="P71" s="2989"/>
      <c r="Q71" s="2966"/>
      <c r="R71" s="2952"/>
      <c r="S71" s="2952"/>
      <c r="T71" s="2952"/>
      <c r="U71" s="2952"/>
      <c r="V71" s="2952"/>
      <c r="W71" s="2952"/>
      <c r="X71" s="2952"/>
      <c r="Y71" s="2952"/>
      <c r="Z71" s="2952"/>
      <c r="AA71" s="2952"/>
      <c r="AB71" s="2952"/>
      <c r="AC71" s="2952"/>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81"/>
      <c r="O72" s="2981"/>
      <c r="P72" s="2989"/>
      <c r="Q72" s="2966"/>
      <c r="R72" s="2952"/>
      <c r="S72" s="2952"/>
      <c r="T72" s="2952"/>
      <c r="U72" s="2952"/>
      <c r="V72" s="2952"/>
      <c r="W72" s="2952"/>
      <c r="X72" s="2952"/>
      <c r="Y72" s="2952"/>
      <c r="Z72" s="2952"/>
      <c r="AA72" s="2952"/>
      <c r="AB72" s="2952"/>
      <c r="AC72" s="2952"/>
    </row>
    <row r="73" spans="1:29" s="113" customFormat="1" ht="15.75" thickTop="1">
      <c r="A73" s="534"/>
      <c r="B73" s="493">
        <f>B23</f>
        <v>111</v>
      </c>
      <c r="C73" s="504"/>
      <c r="D73" s="504"/>
      <c r="E73" s="504"/>
      <c r="F73" s="504"/>
      <c r="G73" s="509"/>
      <c r="H73" s="509"/>
      <c r="I73" s="509"/>
      <c r="J73" s="509"/>
      <c r="K73" s="509"/>
      <c r="L73" s="535"/>
      <c r="M73" s="536"/>
      <c r="N73" s="2979"/>
      <c r="O73" s="2979"/>
      <c r="P73" s="2989"/>
      <c r="Q73" s="2966"/>
      <c r="R73" s="2886"/>
      <c r="S73" s="2886"/>
      <c r="T73" s="2886"/>
      <c r="U73" s="2886"/>
      <c r="V73" s="2886"/>
      <c r="W73" s="2886"/>
      <c r="X73" s="2886"/>
      <c r="Y73" s="2886"/>
      <c r="Z73" s="2886"/>
      <c r="AA73" s="2886"/>
      <c r="AB73" s="2886"/>
      <c r="AC73" s="2886"/>
    </row>
    <row r="74" spans="1:29" s="113" customFormat="1" ht="15.75" thickBot="1">
      <c r="A74" s="534"/>
      <c r="B74" s="498"/>
      <c r="C74" s="515"/>
      <c r="D74" s="491"/>
      <c r="E74" s="491"/>
      <c r="F74" s="491"/>
      <c r="G74" s="491"/>
      <c r="H74" s="491"/>
      <c r="I74" s="491"/>
      <c r="J74" s="491"/>
      <c r="K74" s="491"/>
      <c r="L74" s="491"/>
      <c r="M74" s="492"/>
      <c r="N74" s="2981"/>
      <c r="O74" s="2981"/>
      <c r="P74" s="2989"/>
      <c r="Q74" s="2966"/>
      <c r="R74" s="2886"/>
      <c r="S74" s="2886"/>
      <c r="T74" s="2886"/>
      <c r="U74" s="2886"/>
      <c r="V74" s="2886"/>
      <c r="W74" s="2886"/>
      <c r="X74" s="2886"/>
      <c r="Y74" s="2886"/>
      <c r="Z74" s="2886"/>
      <c r="AA74" s="2886"/>
      <c r="AB74" s="2886"/>
      <c r="AC74" s="2886"/>
    </row>
    <row r="75" spans="1:29" s="113" customFormat="1" ht="15.75" thickTop="1">
      <c r="A75" s="534"/>
      <c r="B75" s="493">
        <f>B24</f>
        <v>111</v>
      </c>
      <c r="C75" s="504"/>
      <c r="D75" s="504"/>
      <c r="E75" s="504"/>
      <c r="F75" s="504"/>
      <c r="G75" s="509"/>
      <c r="H75" s="509"/>
      <c r="I75" s="509"/>
      <c r="J75" s="509"/>
      <c r="K75" s="509"/>
      <c r="L75" s="509"/>
      <c r="M75" s="536"/>
      <c r="N75" s="2979"/>
      <c r="O75" s="2979"/>
      <c r="P75" s="2989"/>
      <c r="Q75" s="2966"/>
      <c r="R75" s="2886"/>
      <c r="S75" s="2886"/>
      <c r="T75" s="2886"/>
      <c r="U75" s="2886"/>
      <c r="V75" s="2886"/>
      <c r="W75" s="2886"/>
      <c r="X75" s="2886"/>
      <c r="Y75" s="2886"/>
      <c r="Z75" s="2886"/>
      <c r="AA75" s="2886"/>
      <c r="AB75" s="2886"/>
      <c r="AC75" s="2886"/>
    </row>
    <row r="76" spans="1:29" s="113" customFormat="1" ht="15.75" thickBot="1">
      <c r="A76" s="534"/>
      <c r="B76" s="498"/>
      <c r="C76" s="515"/>
      <c r="D76" s="491"/>
      <c r="E76" s="491"/>
      <c r="F76" s="491"/>
      <c r="G76" s="491"/>
      <c r="H76" s="491"/>
      <c r="I76" s="491"/>
      <c r="J76" s="491"/>
      <c r="K76" s="491"/>
      <c r="L76" s="491"/>
      <c r="M76" s="492"/>
      <c r="N76" s="2981"/>
      <c r="O76" s="2981"/>
      <c r="P76" s="2989"/>
      <c r="Q76" s="2966"/>
      <c r="R76" s="2886"/>
      <c r="S76" s="2886"/>
      <c r="T76" s="2886"/>
      <c r="U76" s="2886"/>
      <c r="V76" s="2886"/>
      <c r="W76" s="2886"/>
      <c r="X76" s="2886"/>
      <c r="Y76" s="2886"/>
      <c r="Z76" s="2886"/>
      <c r="AA76" s="2886"/>
      <c r="AB76" s="2886"/>
      <c r="AC76" s="2886"/>
    </row>
    <row r="77" spans="1:29" s="428" customFormat="1" ht="15.75" thickTop="1">
      <c r="A77" s="508"/>
      <c r="B77" s="493">
        <f>B25</f>
        <v>111</v>
      </c>
      <c r="C77" s="509"/>
      <c r="D77" s="509"/>
      <c r="E77" s="509"/>
      <c r="F77" s="509"/>
      <c r="G77" s="509"/>
      <c r="H77" s="510"/>
      <c r="I77" s="510"/>
      <c r="J77" s="510"/>
      <c r="K77" s="510"/>
      <c r="L77" s="511"/>
      <c r="M77" s="512"/>
      <c r="N77" s="2982"/>
      <c r="O77" s="2982"/>
      <c r="P77" s="2990"/>
      <c r="Q77" s="2973"/>
      <c r="R77" s="2974"/>
      <c r="S77" s="2974"/>
      <c r="T77" s="2974"/>
      <c r="U77" s="2974"/>
      <c r="V77" s="2974"/>
      <c r="W77" s="2974"/>
      <c r="X77" s="2974"/>
      <c r="Y77" s="2974"/>
      <c r="Z77" s="2974"/>
      <c r="AA77" s="2974"/>
      <c r="AB77" s="2974"/>
      <c r="AC77" s="2974"/>
    </row>
    <row r="78" spans="1:29" s="428" customFormat="1" ht="15.75" thickBot="1">
      <c r="A78" s="508"/>
      <c r="B78" s="498"/>
      <c r="C78" s="515"/>
      <c r="D78" s="515"/>
      <c r="E78" s="515"/>
      <c r="F78" s="515"/>
      <c r="G78" s="491"/>
      <c r="H78" s="491"/>
      <c r="I78" s="491"/>
      <c r="J78" s="491"/>
      <c r="K78" s="491"/>
      <c r="L78" s="491"/>
      <c r="M78" s="492"/>
      <c r="N78" s="2982"/>
      <c r="O78" s="2982"/>
      <c r="P78" s="2990"/>
      <c r="Q78" s="2973"/>
      <c r="R78" s="2974"/>
      <c r="S78" s="2974"/>
      <c r="T78" s="2974"/>
      <c r="U78" s="2974"/>
      <c r="V78" s="2974"/>
      <c r="W78" s="2974"/>
      <c r="X78" s="2974"/>
      <c r="Y78" s="2974"/>
      <c r="Z78" s="2974"/>
      <c r="AA78" s="2974"/>
      <c r="AB78" s="2974"/>
      <c r="AC78" s="2974"/>
    </row>
    <row r="79" spans="1:29" ht="27.75" thickTop="1">
      <c r="A79" s="482" t="s">
        <v>2383</v>
      </c>
      <c r="B79" s="483" t="s">
        <v>2550</v>
      </c>
      <c r="C79" s="484">
        <f>C26</f>
        <v>0</v>
      </c>
      <c r="D79" s="485"/>
      <c r="E79" s="485"/>
      <c r="F79" s="485"/>
      <c r="G79" s="485"/>
      <c r="H79" s="485"/>
      <c r="I79" s="485"/>
      <c r="J79" s="485"/>
      <c r="K79" s="486"/>
      <c r="L79" s="487"/>
      <c r="M79" s="488"/>
      <c r="N79" s="2980"/>
      <c r="O79" s="2980"/>
      <c r="P79" s="2989"/>
      <c r="Q79" s="2966"/>
      <c r="R79" s="2952"/>
      <c r="S79" s="2952"/>
      <c r="T79" s="2952"/>
      <c r="U79" s="2952"/>
      <c r="V79" s="2952"/>
      <c r="W79" s="2952"/>
      <c r="X79" s="2952"/>
      <c r="Y79" s="2952"/>
      <c r="Z79" s="2952"/>
      <c r="AA79" s="2952"/>
      <c r="AB79" s="2952"/>
      <c r="AC79" s="2952"/>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89"/>
      <c r="B81" s="493" t="s">
        <v>2551</v>
      </c>
      <c r="C81" s="615"/>
      <c r="D81" s="615"/>
      <c r="E81" s="615"/>
      <c r="F81" s="615"/>
      <c r="G81" s="615"/>
      <c r="H81" s="615"/>
      <c r="I81" s="615"/>
      <c r="J81" s="615"/>
      <c r="K81" s="616"/>
      <c r="L81" s="617"/>
      <c r="M81" s="618"/>
      <c r="N81" s="2979"/>
      <c r="O81" s="2979"/>
      <c r="P81" s="2989"/>
      <c r="Q81" s="2966"/>
      <c r="R81" s="2952"/>
      <c r="S81" s="2952"/>
      <c r="T81" s="2952"/>
      <c r="U81" s="2952"/>
      <c r="V81" s="2952"/>
      <c r="W81" s="2952"/>
      <c r="X81" s="2952"/>
      <c r="Y81" s="2952"/>
      <c r="Z81" s="2952"/>
      <c r="AA81" s="2952"/>
      <c r="AB81" s="2952"/>
      <c r="AC81" s="2952"/>
    </row>
    <row r="82" spans="1:29" s="428" customFormat="1" ht="15.75" thickBot="1">
      <c r="A82" s="508"/>
      <c r="B82" s="498"/>
      <c r="C82" s="515"/>
      <c r="D82" s="491"/>
      <c r="E82" s="491"/>
      <c r="F82" s="491"/>
      <c r="G82" s="491"/>
      <c r="H82" s="491"/>
      <c r="I82" s="491"/>
      <c r="J82" s="491"/>
      <c r="K82" s="491"/>
      <c r="L82" s="491"/>
      <c r="M82" s="492"/>
      <c r="N82" s="2981"/>
      <c r="O82" s="2981"/>
      <c r="P82" s="2990"/>
      <c r="Q82" s="2973"/>
      <c r="R82" s="2974"/>
      <c r="S82" s="2974"/>
      <c r="T82" s="2974"/>
      <c r="U82" s="2974"/>
      <c r="V82" s="2974"/>
      <c r="W82" s="2974"/>
      <c r="X82" s="2974"/>
      <c r="Y82" s="2974"/>
      <c r="Z82" s="2974"/>
      <c r="AA82" s="2974"/>
      <c r="AB82" s="2974"/>
      <c r="AC82" s="2974"/>
    </row>
    <row r="83" spans="1:29" ht="15" thickTop="1">
      <c r="A83" s="554"/>
      <c r="B83" s="493" t="s">
        <v>2436</v>
      </c>
      <c r="C83" s="509"/>
      <c r="D83" s="509"/>
      <c r="E83" s="538"/>
      <c r="F83" s="538"/>
      <c r="G83" s="538"/>
      <c r="H83" s="538"/>
      <c r="I83" s="538"/>
      <c r="J83" s="538"/>
      <c r="K83" s="539"/>
      <c r="L83" s="540"/>
      <c r="M83" s="541"/>
      <c r="N83" s="2980"/>
      <c r="O83" s="2980"/>
      <c r="P83" s="2989"/>
      <c r="Q83" s="2966"/>
      <c r="R83" s="2952"/>
      <c r="S83" s="2952"/>
      <c r="T83" s="2952"/>
      <c r="U83" s="2952"/>
      <c r="V83" s="2952"/>
      <c r="W83" s="2952"/>
      <c r="X83" s="2952"/>
      <c r="Y83" s="2952"/>
      <c r="Z83" s="2952"/>
      <c r="AA83" s="2952"/>
      <c r="AB83" s="2952"/>
      <c r="AC83" s="2952"/>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4"/>
      <c r="B85" s="493" t="s">
        <v>2552</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80"/>
      <c r="O85" s="2980"/>
      <c r="P85" s="2989"/>
      <c r="Q85" s="2966"/>
      <c r="R85" s="2952"/>
      <c r="S85" s="2952"/>
      <c r="T85" s="2952"/>
      <c r="U85" s="2952"/>
      <c r="V85" s="2952"/>
      <c r="W85" s="2952"/>
      <c r="X85" s="2952"/>
      <c r="Y85" s="2952"/>
      <c r="Z85" s="2952"/>
      <c r="AA85" s="2952"/>
      <c r="AB85" s="2952"/>
      <c r="AC85" s="2952"/>
    </row>
    <row r="86" spans="1:29">
      <c r="A86" s="554"/>
      <c r="B86" s="501"/>
      <c r="C86" s="558">
        <v>0.5</v>
      </c>
      <c r="D86" s="558">
        <v>0.6</v>
      </c>
      <c r="E86" s="558">
        <v>0.7</v>
      </c>
      <c r="F86" s="558">
        <v>0.8</v>
      </c>
      <c r="G86" s="558">
        <v>0.9</v>
      </c>
      <c r="H86" s="558">
        <v>1.0001</v>
      </c>
      <c r="I86" s="577"/>
      <c r="J86" s="577"/>
      <c r="K86" s="578"/>
      <c r="L86" s="579"/>
      <c r="M86" s="580"/>
      <c r="N86" s="2980"/>
      <c r="O86" s="2980"/>
      <c r="P86" s="2989"/>
      <c r="Q86" s="2966"/>
      <c r="R86" s="2952"/>
      <c r="S86" s="2952"/>
      <c r="T86" s="2952"/>
      <c r="U86" s="2952"/>
      <c r="V86" s="2952"/>
      <c r="W86" s="2952"/>
      <c r="X86" s="2952"/>
      <c r="Y86" s="2952"/>
      <c r="Z86" s="2952"/>
      <c r="AA86" s="2952"/>
      <c r="AB86" s="2952"/>
      <c r="AC86" s="2952"/>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4"/>
      <c r="B88" s="501" t="s">
        <v>2553</v>
      </c>
      <c r="C88" s="485"/>
      <c r="D88" s="485"/>
      <c r="E88" s="485"/>
      <c r="F88" s="485"/>
      <c r="G88" s="485"/>
      <c r="H88" s="485"/>
      <c r="I88" s="485"/>
      <c r="J88" s="485"/>
      <c r="K88" s="486"/>
      <c r="L88" s="487"/>
      <c r="M88" s="488"/>
      <c r="N88" s="2980"/>
      <c r="O88" s="2980"/>
      <c r="P88" s="2989"/>
      <c r="Q88" s="2966"/>
      <c r="R88" s="2952"/>
      <c r="S88" s="2952"/>
      <c r="T88" s="2952"/>
      <c r="U88" s="2952"/>
      <c r="V88" s="2952"/>
      <c r="W88" s="2952"/>
      <c r="X88" s="2952"/>
      <c r="Y88" s="2952"/>
      <c r="Z88" s="2952"/>
      <c r="AA88" s="2952"/>
      <c r="AB88" s="2952"/>
      <c r="AC88" s="2952"/>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81"/>
      <c r="O89" s="2981"/>
      <c r="P89" s="2989"/>
      <c r="Q89" s="2966"/>
      <c r="R89" s="2952"/>
      <c r="S89" s="2952"/>
      <c r="T89" s="2952"/>
      <c r="U89" s="2952"/>
      <c r="V89" s="2952"/>
      <c r="W89" s="2952"/>
      <c r="X89" s="2952"/>
      <c r="Y89" s="2952"/>
      <c r="Z89" s="2952"/>
      <c r="AA89" s="2952"/>
      <c r="AB89" s="2952"/>
      <c r="AC89" s="2952"/>
    </row>
    <row r="90" spans="1:29" s="428" customFormat="1" ht="15" thickTop="1">
      <c r="A90" s="548"/>
      <c r="B90" s="493" t="s">
        <v>2554</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82"/>
      <c r="O90" s="2982"/>
      <c r="P90" s="2990"/>
      <c r="Q90" s="2973"/>
      <c r="R90" s="2974"/>
      <c r="S90" s="2974"/>
      <c r="T90" s="2974"/>
      <c r="U90" s="2974"/>
      <c r="V90" s="2974"/>
      <c r="W90" s="2974"/>
      <c r="X90" s="2974"/>
      <c r="Y90" s="2974"/>
      <c r="Z90" s="2974"/>
      <c r="AA90" s="2974"/>
      <c r="AB90" s="2974"/>
      <c r="AC90" s="2974"/>
    </row>
    <row r="91" spans="1:29" s="428" customFormat="1">
      <c r="A91" s="548"/>
      <c r="B91" s="501"/>
      <c r="C91" s="550"/>
      <c r="D91" s="550"/>
      <c r="E91" s="550"/>
      <c r="F91" s="550"/>
      <c r="G91" s="550"/>
      <c r="H91" s="550"/>
      <c r="I91" s="550"/>
      <c r="J91" s="551"/>
      <c r="K91" s="551"/>
      <c r="L91" s="552"/>
      <c r="M91" s="553"/>
      <c r="N91" s="2982"/>
      <c r="O91" s="2982"/>
      <c r="P91" s="2990"/>
      <c r="Q91" s="2973"/>
      <c r="R91" s="2974"/>
      <c r="S91" s="2974"/>
      <c r="T91" s="2974"/>
      <c r="U91" s="2974"/>
      <c r="V91" s="2974"/>
      <c r="W91" s="2974"/>
      <c r="X91" s="2974"/>
      <c r="Y91" s="2974"/>
      <c r="Z91" s="2974"/>
      <c r="AA91" s="2974"/>
      <c r="AB91" s="2974"/>
      <c r="AC91" s="2974"/>
    </row>
    <row r="92" spans="1:29" s="428" customFormat="1" ht="15.75" thickBot="1">
      <c r="A92" s="508"/>
      <c r="B92" s="498"/>
      <c r="C92" s="515"/>
      <c r="D92" s="491"/>
      <c r="E92" s="491"/>
      <c r="F92" s="491"/>
      <c r="G92" s="491"/>
      <c r="H92" s="491"/>
      <c r="I92" s="491"/>
      <c r="J92" s="491"/>
      <c r="K92" s="491"/>
      <c r="L92" s="491"/>
      <c r="M92" s="492"/>
      <c r="N92" s="2982"/>
      <c r="O92" s="2982"/>
      <c r="P92" s="2990"/>
      <c r="Q92" s="2973"/>
      <c r="R92" s="2974"/>
      <c r="S92" s="2974"/>
      <c r="T92" s="2974"/>
      <c r="U92" s="2974"/>
      <c r="V92" s="2974"/>
      <c r="W92" s="2974"/>
      <c r="X92" s="2974"/>
      <c r="Y92" s="2974"/>
      <c r="Z92" s="2974"/>
      <c r="AA92" s="2974"/>
      <c r="AB92" s="2974"/>
      <c r="AC92" s="2974"/>
    </row>
    <row r="93" spans="1:29" ht="15" thickTop="1">
      <c r="A93" s="554"/>
      <c r="B93" s="493" t="s">
        <v>2555</v>
      </c>
      <c r="C93" s="509"/>
      <c r="D93" s="509"/>
      <c r="E93" s="538"/>
      <c r="F93" s="538"/>
      <c r="G93" s="538"/>
      <c r="H93" s="538"/>
      <c r="I93" s="538"/>
      <c r="J93" s="538"/>
      <c r="K93" s="539"/>
      <c r="L93" s="540"/>
      <c r="M93" s="541"/>
      <c r="N93" s="2980"/>
      <c r="O93" s="2980"/>
      <c r="P93" s="2989"/>
      <c r="Q93" s="2966"/>
      <c r="R93" s="2952"/>
      <c r="S93" s="2952"/>
      <c r="T93" s="2952"/>
      <c r="U93" s="2952"/>
      <c r="V93" s="2952"/>
      <c r="W93" s="2952"/>
      <c r="X93" s="2952"/>
      <c r="Y93" s="2952"/>
      <c r="Z93" s="2952"/>
      <c r="AA93" s="2952"/>
      <c r="AB93" s="2952"/>
      <c r="AC93" s="2952"/>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4"/>
      <c r="B95" s="493" t="s">
        <v>2556</v>
      </c>
      <c r="C95" s="485"/>
      <c r="D95" s="485"/>
      <c r="E95" s="485"/>
      <c r="F95" s="485"/>
      <c r="G95" s="485"/>
      <c r="H95" s="485"/>
      <c r="I95" s="485"/>
      <c r="J95" s="485"/>
      <c r="K95" s="486"/>
      <c r="L95" s="487"/>
      <c r="M95" s="488"/>
      <c r="N95" s="2980"/>
      <c r="O95" s="2980"/>
      <c r="P95" s="2989"/>
      <c r="Q95" s="2966"/>
      <c r="R95" s="2952"/>
      <c r="S95" s="2952"/>
      <c r="T95" s="2952"/>
      <c r="U95" s="2952"/>
      <c r="V95" s="2952"/>
      <c r="W95" s="2952"/>
      <c r="X95" s="2952"/>
      <c r="Y95" s="2952"/>
      <c r="Z95" s="2952"/>
      <c r="AA95" s="2952"/>
      <c r="AB95" s="2952"/>
      <c r="AC95" s="2952"/>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81"/>
      <c r="O96" s="2981"/>
      <c r="P96" s="2989"/>
      <c r="Q96" s="2966"/>
      <c r="R96" s="2952"/>
      <c r="S96" s="2952"/>
      <c r="T96" s="2952"/>
      <c r="U96" s="2952"/>
      <c r="V96" s="2952"/>
      <c r="W96" s="2952"/>
      <c r="X96" s="2952"/>
      <c r="Y96" s="2952"/>
      <c r="Z96" s="2952"/>
      <c r="AA96" s="2952"/>
      <c r="AB96" s="2952"/>
      <c r="AC96" s="2952"/>
    </row>
    <row r="97" spans="1:29" ht="15" thickTop="1">
      <c r="A97" s="554"/>
      <c r="B97" s="590">
        <f>B34</f>
        <v>111</v>
      </c>
      <c r="C97" s="504"/>
      <c r="D97" s="504"/>
      <c r="E97" s="504"/>
      <c r="F97" s="504"/>
      <c r="G97" s="509"/>
      <c r="H97" s="510"/>
      <c r="I97" s="510"/>
      <c r="J97" s="510"/>
      <c r="K97" s="510"/>
      <c r="L97" s="511"/>
      <c r="M97" s="512"/>
      <c r="N97" s="2981"/>
      <c r="O97" s="2981"/>
      <c r="P97" s="2994"/>
      <c r="Q97" s="2995"/>
      <c r="R97" s="2952"/>
      <c r="S97" s="2952"/>
      <c r="T97" s="2952"/>
      <c r="U97" s="2952"/>
      <c r="V97" s="2952"/>
      <c r="W97" s="2952"/>
      <c r="X97" s="2952"/>
      <c r="Y97" s="2952"/>
      <c r="Z97" s="2952"/>
      <c r="AA97" s="2952"/>
      <c r="AB97" s="2952"/>
      <c r="AC97" s="2952"/>
    </row>
    <row r="98" spans="1:29" ht="15.75" thickBot="1">
      <c r="A98" s="489"/>
      <c r="B98" s="498"/>
      <c r="C98" s="515"/>
      <c r="D98" s="491"/>
      <c r="E98" s="491"/>
      <c r="F98" s="491"/>
      <c r="G98" s="515"/>
      <c r="H98" s="517"/>
      <c r="I98" s="517"/>
      <c r="J98" s="517"/>
      <c r="K98" s="517"/>
      <c r="L98" s="517"/>
      <c r="M98" s="518"/>
      <c r="N98" s="2981"/>
      <c r="O98" s="2981"/>
      <c r="P98" s="2989"/>
      <c r="Q98" s="2966"/>
      <c r="R98" s="2952"/>
      <c r="S98" s="2952"/>
      <c r="T98" s="2952"/>
      <c r="U98" s="2952"/>
      <c r="V98" s="2952"/>
      <c r="W98" s="2952"/>
      <c r="X98" s="2952"/>
      <c r="Y98" s="2952"/>
      <c r="Z98" s="2952"/>
      <c r="AA98" s="2952"/>
      <c r="AB98" s="2952"/>
      <c r="AC98" s="2952"/>
    </row>
    <row r="99" spans="1:29" s="428" customFormat="1" ht="15" thickTop="1">
      <c r="A99" s="548"/>
      <c r="B99" s="493">
        <f>B35</f>
        <v>111</v>
      </c>
      <c r="C99" s="504"/>
      <c r="D99" s="504"/>
      <c r="E99" s="504"/>
      <c r="F99" s="504"/>
      <c r="G99" s="509"/>
      <c r="H99" s="510"/>
      <c r="I99" s="510"/>
      <c r="J99" s="510"/>
      <c r="K99" s="510"/>
      <c r="L99" s="511"/>
      <c r="M99" s="512"/>
      <c r="N99" s="2982"/>
      <c r="O99" s="2982"/>
      <c r="P99" s="2990"/>
      <c r="Q99" s="2973"/>
      <c r="R99" s="2974"/>
      <c r="S99" s="2974"/>
      <c r="T99" s="2974"/>
      <c r="U99" s="2974"/>
      <c r="V99" s="2974"/>
      <c r="W99" s="2974"/>
      <c r="X99" s="2974"/>
      <c r="Y99" s="2974"/>
      <c r="Z99" s="2974"/>
      <c r="AA99" s="2974"/>
      <c r="AB99" s="2974"/>
      <c r="AC99" s="2974"/>
    </row>
    <row r="100" spans="1:29" s="428" customFormat="1" ht="15.75" thickBot="1">
      <c r="A100" s="508"/>
      <c r="B100" s="490"/>
      <c r="C100" s="515"/>
      <c r="D100" s="491"/>
      <c r="E100" s="491"/>
      <c r="F100" s="491"/>
      <c r="G100" s="515"/>
      <c r="H100" s="517"/>
      <c r="I100" s="517"/>
      <c r="J100" s="517"/>
      <c r="K100" s="517"/>
      <c r="L100" s="517"/>
      <c r="M100" s="518"/>
      <c r="N100" s="2982"/>
      <c r="O100" s="2982"/>
      <c r="P100" s="2990"/>
      <c r="Q100" s="2973"/>
      <c r="R100" s="2974"/>
      <c r="S100" s="2974"/>
      <c r="T100" s="2974"/>
      <c r="U100" s="2974"/>
      <c r="V100" s="2974"/>
      <c r="W100" s="2974"/>
      <c r="X100" s="2974"/>
      <c r="Y100" s="2974"/>
      <c r="Z100" s="2974"/>
      <c r="AA100" s="2974"/>
      <c r="AB100" s="2974"/>
      <c r="AC100" s="2974"/>
    </row>
    <row r="101" spans="1:29" ht="15" thickTop="1">
      <c r="A101" s="554"/>
      <c r="B101" s="493">
        <f>B36</f>
        <v>111</v>
      </c>
      <c r="C101" s="509"/>
      <c r="D101" s="509"/>
      <c r="E101" s="509"/>
      <c r="F101" s="509"/>
      <c r="G101" s="509"/>
      <c r="H101" s="510"/>
      <c r="I101" s="510"/>
      <c r="J101" s="510"/>
      <c r="K101" s="510"/>
      <c r="L101" s="511"/>
      <c r="M101" s="512"/>
      <c r="N101" s="2980"/>
      <c r="O101" s="2980"/>
      <c r="P101" s="2989"/>
      <c r="Q101" s="2966"/>
      <c r="R101" s="2952"/>
      <c r="S101" s="2952"/>
      <c r="T101" s="2952"/>
      <c r="U101" s="2952"/>
      <c r="V101" s="2952"/>
      <c r="W101" s="2952"/>
      <c r="X101" s="2952"/>
      <c r="Y101" s="2952"/>
      <c r="Z101" s="2952"/>
      <c r="AA101" s="2952"/>
      <c r="AB101" s="2952"/>
      <c r="AC101" s="2952"/>
    </row>
    <row r="102" spans="1:29" ht="15.75" thickBot="1">
      <c r="A102" s="489"/>
      <c r="B102" s="498"/>
      <c r="C102" s="515"/>
      <c r="D102" s="515"/>
      <c r="E102" s="515"/>
      <c r="F102" s="515"/>
      <c r="G102" s="515"/>
      <c r="H102" s="517"/>
      <c r="I102" s="517"/>
      <c r="J102" s="517"/>
      <c r="K102" s="517"/>
      <c r="L102" s="517"/>
      <c r="M102" s="518"/>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2527</v>
      </c>
      <c r="B1" s="1388"/>
      <c r="C1" s="1389" t="s">
        <v>2350</v>
      </c>
      <c r="D1" s="1390"/>
      <c r="E1" s="1399"/>
      <c r="F1" s="2063"/>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6" customFormat="1" ht="28.5" customHeight="1" thickTop="1">
      <c r="A2" s="1386" t="s">
        <v>2150</v>
      </c>
      <c r="B2" s="1323" t="e">
        <f ca="1">IF(C2="——",ROUND(C37*D3/10000,0),ROUND(C37*D3/10000,0)-D2)</f>
        <v>#DIV/0!</v>
      </c>
      <c r="C2" s="2065"/>
      <c r="D2" s="1035" t="e">
        <f ca="1">SUMIF(INDIRECT("'"&amp;F2&amp;"'"&amp;"!A:A"),"承租人权益价值",INDIRECT("'"&amp;F2&amp;"'"&amp;"!c:c"))</f>
        <v>#REF!</v>
      </c>
      <c r="E2" s="2066" t="s">
        <v>2151</v>
      </c>
      <c r="F2" s="2067"/>
      <c r="G2" s="1036"/>
      <c r="H2" s="1036"/>
      <c r="I2" s="1036"/>
      <c r="J2" s="1036"/>
      <c r="K2" s="1038"/>
      <c r="L2" s="2961"/>
      <c r="M2" s="2962"/>
      <c r="N2" s="2962"/>
      <c r="O2" s="2962"/>
      <c r="P2" s="705"/>
      <c r="Q2" s="705"/>
      <c r="R2" s="705"/>
      <c r="S2" s="705"/>
      <c r="T2" s="705"/>
      <c r="U2" s="705"/>
      <c r="V2" s="705"/>
      <c r="W2" s="705"/>
      <c r="X2" s="705"/>
      <c r="Y2" s="705"/>
      <c r="Z2" s="705"/>
      <c r="AA2" s="705"/>
      <c r="AB2" s="705"/>
      <c r="AC2" s="706"/>
    </row>
    <row r="3" spans="1:29" s="356" customFormat="1" ht="28.5" customHeight="1" thickBot="1">
      <c r="A3" s="207" t="s">
        <v>2152</v>
      </c>
      <c r="B3" s="564" t="e">
        <f ca="1">IF(C2="——",C37,ROUND(B2*10000/D3,0))</f>
        <v>#DIV/0!</v>
      </c>
      <c r="C3" s="358" t="s">
        <v>2464</v>
      </c>
      <c r="D3" s="357">
        <f>SUMIF('数据-汇总表'!$C19:$C33,D1,'数据-汇总表'!$E19:$E33)</f>
        <v>0</v>
      </c>
      <c r="E3" s="1036"/>
      <c r="F3" s="1037"/>
      <c r="G3" s="1036"/>
      <c r="H3" s="1036"/>
      <c r="I3" s="1036"/>
      <c r="J3" s="1036"/>
      <c r="K3" s="1038"/>
      <c r="L3" s="2961"/>
      <c r="M3" s="2962"/>
      <c r="N3" s="2962"/>
      <c r="O3" s="2962"/>
      <c r="P3" s="705"/>
      <c r="Q3" s="705"/>
      <c r="R3" s="705"/>
      <c r="S3" s="705"/>
      <c r="T3" s="705"/>
      <c r="U3" s="705"/>
      <c r="V3" s="705"/>
      <c r="W3" s="705"/>
      <c r="X3" s="705"/>
      <c r="Y3" s="705"/>
      <c r="Z3" s="705"/>
      <c r="AA3" s="705"/>
      <c r="AB3" s="722"/>
      <c r="AC3" s="719"/>
    </row>
    <row r="4" spans="1:29" ht="15">
      <c r="A4" s="359" t="s">
        <v>2465</v>
      </c>
      <c r="B4" s="360"/>
      <c r="C4" s="3296" t="s">
        <v>2466</v>
      </c>
      <c r="D4" s="3297"/>
      <c r="E4" s="3298" t="s">
        <v>2467</v>
      </c>
      <c r="F4" s="3299"/>
      <c r="G4" s="3296" t="s">
        <v>2468</v>
      </c>
      <c r="H4" s="3297"/>
      <c r="I4" s="3296" t="s">
        <v>2469</v>
      </c>
      <c r="J4" s="3297"/>
      <c r="K4" s="565" t="s">
        <v>2470</v>
      </c>
      <c r="L4" s="2942"/>
      <c r="M4" s="2943"/>
      <c r="N4" s="2943"/>
      <c r="O4" s="2943"/>
      <c r="P4" s="3300" t="s">
        <v>2471</v>
      </c>
      <c r="Q4" s="3301"/>
      <c r="R4" s="3283" t="s">
        <v>2467</v>
      </c>
      <c r="S4" s="3284"/>
      <c r="T4" s="3283" t="s">
        <v>2468</v>
      </c>
      <c r="U4" s="3284"/>
      <c r="V4" s="3308" t="s">
        <v>2469</v>
      </c>
      <c r="W4" s="3308"/>
      <c r="X4" s="1538"/>
      <c r="Y4" s="3283" t="s">
        <v>2471</v>
      </c>
      <c r="Z4" s="3284"/>
      <c r="AA4" s="3278" t="s">
        <v>2467</v>
      </c>
      <c r="AB4" s="3279" t="s">
        <v>2468</v>
      </c>
      <c r="AC4" s="3278" t="s">
        <v>2469</v>
      </c>
    </row>
    <row r="5" spans="1:29" ht="15">
      <c r="A5" s="362"/>
      <c r="B5" s="363"/>
      <c r="C5" s="3289" t="s">
        <v>2362</v>
      </c>
      <c r="D5" s="3290"/>
      <c r="E5" s="3287" t="s">
        <v>2363</v>
      </c>
      <c r="F5" s="3288"/>
      <c r="G5" s="3289" t="s">
        <v>2364</v>
      </c>
      <c r="H5" s="3290"/>
      <c r="I5" s="3289" t="s">
        <v>2365</v>
      </c>
      <c r="J5" s="3290"/>
      <c r="K5" s="565"/>
      <c r="L5" s="2942"/>
      <c r="M5" s="2943"/>
      <c r="N5" s="2943"/>
      <c r="O5" s="2943"/>
      <c r="P5" s="3302"/>
      <c r="Q5" s="3303"/>
      <c r="R5" s="3285"/>
      <c r="S5" s="3286"/>
      <c r="T5" s="3285"/>
      <c r="U5" s="3286"/>
      <c r="V5" s="3308"/>
      <c r="W5" s="3308"/>
      <c r="X5" s="1538"/>
      <c r="Y5" s="3285"/>
      <c r="Z5" s="3286"/>
      <c r="AA5" s="3279"/>
      <c r="AB5" s="3279"/>
      <c r="AC5" s="3279"/>
    </row>
    <row r="6" spans="1:29" ht="15.75" thickBot="1">
      <c r="A6" s="364"/>
      <c r="B6" s="365"/>
      <c r="C6" s="3291" t="s">
        <v>2366</v>
      </c>
      <c r="D6" s="3292"/>
      <c r="E6" s="3293" t="s">
        <v>2366</v>
      </c>
      <c r="F6" s="3294"/>
      <c r="G6" s="3291" t="s">
        <v>2366</v>
      </c>
      <c r="H6" s="3292"/>
      <c r="I6" s="3291" t="s">
        <v>2366</v>
      </c>
      <c r="J6" s="3292"/>
      <c r="K6" s="565" t="s">
        <v>2367</v>
      </c>
      <c r="L6" s="2942"/>
      <c r="M6" s="2943"/>
      <c r="N6" s="2943"/>
      <c r="O6" s="2943"/>
      <c r="P6" s="3304"/>
      <c r="Q6" s="3305"/>
      <c r="R6" s="3285"/>
      <c r="S6" s="3286"/>
      <c r="T6" s="3306"/>
      <c r="U6" s="3307"/>
      <c r="V6" s="3308"/>
      <c r="W6" s="3308"/>
      <c r="X6" s="1538"/>
      <c r="Y6" s="3306"/>
      <c r="Z6" s="3307"/>
      <c r="AA6" s="3280"/>
      <c r="AB6" s="3280"/>
      <c r="AC6" s="3280"/>
    </row>
    <row r="7" spans="1:29" s="113" customFormat="1" ht="15.75" thickBot="1">
      <c r="A7" s="366" t="s">
        <v>2368</v>
      </c>
      <c r="B7" s="367"/>
      <c r="C7" s="368">
        <f>'数据-取费表'!B2</f>
        <v>44141</v>
      </c>
      <c r="D7" s="369">
        <v>100</v>
      </c>
      <c r="E7" s="370"/>
      <c r="F7" s="371">
        <f>SUMIF(46:46,YEAR(E7)&amp;"-"&amp;MONTH(E7),47:47)</f>
        <v>0</v>
      </c>
      <c r="G7" s="2158"/>
      <c r="H7" s="369">
        <f>SUMIF(46:46,YEAR(G7)&amp;"-"&amp;MONTH(G7),47:47)</f>
        <v>0</v>
      </c>
      <c r="I7" s="370"/>
      <c r="J7" s="369">
        <f>SUMIF(46:46,YEAR(I7)&amp;"-"&amp;MONTH(I7),47:47)</f>
        <v>0</v>
      </c>
      <c r="K7" s="566"/>
      <c r="L7" s="2944"/>
      <c r="M7" s="2945"/>
      <c r="N7" s="2945"/>
      <c r="O7" s="2945"/>
      <c r="P7" s="3281" t="s">
        <v>2369</v>
      </c>
      <c r="Q7" s="3309"/>
      <c r="R7" s="707" t="s">
        <v>17</v>
      </c>
      <c r="S7" s="708">
        <f t="shared" ref="S7:S14" si="0">F7</f>
        <v>0</v>
      </c>
      <c r="T7" s="707" t="s">
        <v>17</v>
      </c>
      <c r="U7" s="708">
        <f t="shared" ref="U7:U14" si="1">H7</f>
        <v>0</v>
      </c>
      <c r="V7" s="707" t="s">
        <v>17</v>
      </c>
      <c r="W7" s="708">
        <f t="shared" ref="W7:W14" si="2">J7</f>
        <v>0</v>
      </c>
      <c r="X7" s="709"/>
      <c r="Y7" s="3281" t="s">
        <v>2369</v>
      </c>
      <c r="Z7" s="3282"/>
      <c r="AA7" s="710" t="e">
        <f>D7/F7</f>
        <v>#DIV/0!</v>
      </c>
      <c r="AB7" s="710" t="e">
        <f>D7/H7</f>
        <v>#DIV/0!</v>
      </c>
      <c r="AC7" s="710" t="e">
        <f>D7/J7</f>
        <v>#DIV/0!</v>
      </c>
    </row>
    <row r="8" spans="1:29" s="113" customFormat="1" ht="15.75" thickBot="1">
      <c r="A8" s="366" t="s">
        <v>2370</v>
      </c>
      <c r="B8" s="367"/>
      <c r="C8" s="372" t="s">
        <v>2472</v>
      </c>
      <c r="D8" s="369">
        <v>100</v>
      </c>
      <c r="E8" s="372"/>
      <c r="F8" s="371">
        <f>SUMIF(49:49,E8,50:50)-SUMIF(49:49,C8,50:50)+100</f>
        <v>0</v>
      </c>
      <c r="G8" s="372"/>
      <c r="H8" s="369">
        <f>SUMIF(49:49,G8,50:50)-SUMIF(49:49,C8,50:50)+100</f>
        <v>0</v>
      </c>
      <c r="I8" s="372"/>
      <c r="J8" s="369">
        <f>SUMIF(49:49,I8,50:50)-SUMIF(49:49,C8,50:50)+100</f>
        <v>0</v>
      </c>
      <c r="K8" s="566"/>
      <c r="L8" s="2944"/>
      <c r="M8" s="2945"/>
      <c r="N8" s="2945"/>
      <c r="O8" s="2945"/>
      <c r="P8" s="3281" t="s">
        <v>2372</v>
      </c>
      <c r="Q8" s="3282"/>
      <c r="R8" s="707" t="s">
        <v>17</v>
      </c>
      <c r="S8" s="708">
        <f t="shared" si="0"/>
        <v>0</v>
      </c>
      <c r="T8" s="707" t="s">
        <v>17</v>
      </c>
      <c r="U8" s="708">
        <f t="shared" si="1"/>
        <v>0</v>
      </c>
      <c r="V8" s="707" t="s">
        <v>17</v>
      </c>
      <c r="W8" s="708">
        <f t="shared" si="2"/>
        <v>0</v>
      </c>
      <c r="X8" s="709"/>
      <c r="Y8" s="3281" t="s">
        <v>2372</v>
      </c>
      <c r="Z8" s="3282"/>
      <c r="AA8" s="710" t="e">
        <f t="shared" ref="AA8:AA34" si="3">D8/F8</f>
        <v>#DIV/0!</v>
      </c>
      <c r="AB8" s="710" t="e">
        <f t="shared" ref="AB8:AB34" si="4">D8/H8</f>
        <v>#DIV/0!</v>
      </c>
      <c r="AC8" s="710" t="e">
        <f t="shared" ref="AC8:AC34" si="5">D8/J8</f>
        <v>#DIV/0!</v>
      </c>
    </row>
    <row r="9" spans="1:29" s="113" customFormat="1">
      <c r="A9" s="373" t="s">
        <v>2373</v>
      </c>
      <c r="B9" s="67" t="s">
        <v>2374</v>
      </c>
      <c r="C9" s="374"/>
      <c r="D9" s="129">
        <v>100</v>
      </c>
      <c r="E9" s="377"/>
      <c r="F9" s="376">
        <f>SUMIF(51:51,E9,52:52)-SUMIF(51:51,C9,52:52)+100</f>
        <v>100</v>
      </c>
      <c r="G9" s="377"/>
      <c r="H9" s="129">
        <f>SUMIF(51:51,G9,52:52)-SUMIF(51:51,C9,52:52)+100</f>
        <v>100</v>
      </c>
      <c r="I9" s="377"/>
      <c r="J9" s="129">
        <f>SUMIF(51:51,I9,52:52)-SUMIF(51:51,C9,52:52)+100</f>
        <v>100</v>
      </c>
      <c r="K9" s="566"/>
      <c r="L9" s="2944"/>
      <c r="M9" s="2945"/>
      <c r="N9" s="2945"/>
      <c r="O9" s="2999"/>
      <c r="P9" s="3295" t="s">
        <v>2375</v>
      </c>
      <c r="Q9" s="1526" t="str">
        <f t="shared" ref="Q9:Q14" si="6">B9</f>
        <v>用途</v>
      </c>
      <c r="R9" s="707" t="s">
        <v>17</v>
      </c>
      <c r="S9" s="708">
        <f t="shared" si="0"/>
        <v>100</v>
      </c>
      <c r="T9" s="707" t="s">
        <v>17</v>
      </c>
      <c r="U9" s="708">
        <f t="shared" si="1"/>
        <v>100</v>
      </c>
      <c r="V9" s="707" t="s">
        <v>17</v>
      </c>
      <c r="W9" s="708">
        <f t="shared" si="2"/>
        <v>100</v>
      </c>
      <c r="X9" s="709"/>
      <c r="Y9" s="3251" t="s">
        <v>2376</v>
      </c>
      <c r="Z9" s="55" t="str">
        <f t="shared" ref="Z9:Z14" si="7">Q9</f>
        <v>用途</v>
      </c>
      <c r="AA9" s="710">
        <f t="shared" si="3"/>
        <v>1</v>
      </c>
      <c r="AB9" s="710">
        <f t="shared" si="4"/>
        <v>1</v>
      </c>
      <c r="AC9" s="710">
        <f t="shared" si="5"/>
        <v>1</v>
      </c>
    </row>
    <row r="10" spans="1:29" s="384" customFormat="1" ht="27">
      <c r="A10" s="378"/>
      <c r="B10" s="379" t="s">
        <v>2377</v>
      </c>
      <c r="C10" s="380"/>
      <c r="D10" s="130">
        <v>100</v>
      </c>
      <c r="E10" s="380"/>
      <c r="F10" s="382">
        <f>SUMIF(53:53,E10,54:54)-SUMIF(53:53,C10,54:54)+100</f>
        <v>100</v>
      </c>
      <c r="G10" s="380"/>
      <c r="H10" s="130">
        <f>SUMIF(53:53,G10,54:54)-SUMIF(53:53,C10,54:54)+100</f>
        <v>100</v>
      </c>
      <c r="I10" s="380"/>
      <c r="J10" s="130">
        <f>SUMIF(53:53,I10,54:54)-SUMIF(53:53,C10,54:54)+100</f>
        <v>100</v>
      </c>
      <c r="K10" s="567"/>
      <c r="L10" s="2946"/>
      <c r="M10" s="2947"/>
      <c r="N10" s="2947"/>
      <c r="O10" s="3000"/>
      <c r="P10" s="3295"/>
      <c r="Q10" s="1526" t="str">
        <f t="shared" si="6"/>
        <v>土地使用年限（年）</v>
      </c>
      <c r="R10" s="707" t="s">
        <v>17</v>
      </c>
      <c r="S10" s="708">
        <f t="shared" si="0"/>
        <v>100</v>
      </c>
      <c r="T10" s="707" t="s">
        <v>17</v>
      </c>
      <c r="U10" s="708">
        <f t="shared" si="1"/>
        <v>100</v>
      </c>
      <c r="V10" s="707" t="s">
        <v>17</v>
      </c>
      <c r="W10" s="708">
        <f t="shared" si="2"/>
        <v>100</v>
      </c>
      <c r="X10" s="709"/>
      <c r="Y10" s="3251"/>
      <c r="Z10" s="55" t="str">
        <f t="shared" si="7"/>
        <v>土地使用年限（年）</v>
      </c>
      <c r="AA10" s="710">
        <f t="shared" si="3"/>
        <v>1</v>
      </c>
      <c r="AB10" s="710">
        <f t="shared" si="4"/>
        <v>1</v>
      </c>
      <c r="AC10" s="710">
        <f t="shared" si="5"/>
        <v>1</v>
      </c>
    </row>
    <row r="11" spans="1:29" ht="15">
      <c r="A11" s="385"/>
      <c r="B11" s="2077">
        <v>111</v>
      </c>
      <c r="C11" s="389"/>
      <c r="D11" s="130">
        <v>100</v>
      </c>
      <c r="E11" s="426"/>
      <c r="F11" s="382">
        <f>SUMIF(55:55,E11,56:56)-SUMIF(55:55,C11,56:56)+100</f>
        <v>100</v>
      </c>
      <c r="G11" s="426"/>
      <c r="H11" s="130">
        <f>SUMIF(55:55,G11,56:56)-SUMIF(55:55,C11,56:56)+100</f>
        <v>100</v>
      </c>
      <c r="I11" s="426"/>
      <c r="J11" s="130">
        <f>SUMIF(55:55,I11,56:56)-SUMIF(55:55,C11,56:56)+100</f>
        <v>100</v>
      </c>
      <c r="K11" s="568"/>
      <c r="L11" s="2948"/>
      <c r="M11" s="2943"/>
      <c r="N11" s="2943"/>
      <c r="O11" s="3001"/>
      <c r="P11" s="3295"/>
      <c r="Q11" s="1526">
        <f t="shared" si="6"/>
        <v>111</v>
      </c>
      <c r="R11" s="707" t="s">
        <v>17</v>
      </c>
      <c r="S11" s="708">
        <f t="shared" si="0"/>
        <v>100</v>
      </c>
      <c r="T11" s="707" t="s">
        <v>17</v>
      </c>
      <c r="U11" s="708">
        <f t="shared" si="1"/>
        <v>100</v>
      </c>
      <c r="V11" s="707" t="s">
        <v>17</v>
      </c>
      <c r="W11" s="708">
        <f t="shared" si="2"/>
        <v>100</v>
      </c>
      <c r="X11" s="709"/>
      <c r="Y11" s="3251"/>
      <c r="Z11" s="55">
        <f t="shared" si="7"/>
        <v>111</v>
      </c>
      <c r="AA11" s="710">
        <f t="shared" si="3"/>
        <v>1</v>
      </c>
      <c r="AB11" s="710">
        <f t="shared" si="4"/>
        <v>1</v>
      </c>
      <c r="AC11" s="710">
        <f t="shared" si="5"/>
        <v>1</v>
      </c>
    </row>
    <row r="12" spans="1:29" s="113" customFormat="1" ht="15">
      <c r="A12" s="388"/>
      <c r="B12" s="2077">
        <v>111</v>
      </c>
      <c r="C12" s="389"/>
      <c r="D12" s="390">
        <v>100</v>
      </c>
      <c r="E12" s="426"/>
      <c r="F12" s="382">
        <f>SUMIF(57:57,E12,58:58)-SUMIF(57:57,C12,58:58)+100</f>
        <v>100</v>
      </c>
      <c r="G12" s="426"/>
      <c r="H12" s="130">
        <f>SUMIF(57:57,G12,58:58)-SUMIF(57:57,C12,58:58)+100</f>
        <v>100</v>
      </c>
      <c r="I12" s="426"/>
      <c r="J12" s="130">
        <f>SUMIF(57:57,I12,58:58)-SUMIF(57:57,C12,58:58)+100</f>
        <v>100</v>
      </c>
      <c r="K12" s="568"/>
      <c r="L12" s="2944"/>
      <c r="M12" s="2945"/>
      <c r="N12" s="2945"/>
      <c r="O12" s="2999"/>
      <c r="P12" s="3295"/>
      <c r="Q12" s="1526">
        <f t="shared" si="6"/>
        <v>111</v>
      </c>
      <c r="R12" s="707" t="s">
        <v>17</v>
      </c>
      <c r="S12" s="708">
        <f t="shared" si="0"/>
        <v>100</v>
      </c>
      <c r="T12" s="707" t="s">
        <v>17</v>
      </c>
      <c r="U12" s="708">
        <f t="shared" si="1"/>
        <v>100</v>
      </c>
      <c r="V12" s="707" t="s">
        <v>17</v>
      </c>
      <c r="W12" s="708">
        <f t="shared" si="2"/>
        <v>100</v>
      </c>
      <c r="X12" s="709"/>
      <c r="Y12" s="3251"/>
      <c r="Z12" s="55">
        <f t="shared" si="7"/>
        <v>111</v>
      </c>
      <c r="AA12" s="710">
        <f>D12/F12</f>
        <v>1</v>
      </c>
      <c r="AB12" s="710">
        <f>D12/H12</f>
        <v>1</v>
      </c>
      <c r="AC12" s="710">
        <f>D12/J12</f>
        <v>1</v>
      </c>
    </row>
    <row r="13" spans="1:29" ht="15.75" thickBot="1">
      <c r="A13" s="385"/>
      <c r="B13" s="2077">
        <v>111</v>
      </c>
      <c r="C13" s="391"/>
      <c r="D13" s="392">
        <v>100</v>
      </c>
      <c r="E13" s="426"/>
      <c r="F13" s="382">
        <f>SUMIF(59:59,E13,60:60)-SUMIF(59:59,C13,60:60)+100</f>
        <v>100</v>
      </c>
      <c r="G13" s="2159"/>
      <c r="H13" s="395">
        <f>SUMIF(59:59,G13,60:60)-SUMIF(59:59,C13,60:60)+100</f>
        <v>100</v>
      </c>
      <c r="I13" s="426"/>
      <c r="J13" s="392">
        <f>SUMIF(59:59,I13,60:60)-SUMIF(59:59,C13,60:60)+100</f>
        <v>100</v>
      </c>
      <c r="K13" s="568"/>
      <c r="L13" s="2949"/>
      <c r="M13" s="2943"/>
      <c r="N13" s="2943"/>
      <c r="O13" s="3001"/>
      <c r="P13" s="3295"/>
      <c r="Q13" s="1526">
        <f t="shared" si="6"/>
        <v>111</v>
      </c>
      <c r="R13" s="707" t="s">
        <v>17</v>
      </c>
      <c r="S13" s="708">
        <f t="shared" si="0"/>
        <v>100</v>
      </c>
      <c r="T13" s="707" t="s">
        <v>17</v>
      </c>
      <c r="U13" s="708">
        <f t="shared" si="1"/>
        <v>100</v>
      </c>
      <c r="V13" s="707" t="s">
        <v>17</v>
      </c>
      <c r="W13" s="708">
        <f t="shared" si="2"/>
        <v>100</v>
      </c>
      <c r="X13" s="709"/>
      <c r="Y13" s="3251"/>
      <c r="Z13" s="55">
        <f t="shared" si="7"/>
        <v>111</v>
      </c>
      <c r="AA13" s="710">
        <f t="shared" si="3"/>
        <v>1</v>
      </c>
      <c r="AB13" s="710">
        <f t="shared" si="4"/>
        <v>1</v>
      </c>
      <c r="AC13" s="710">
        <f t="shared" si="5"/>
        <v>1</v>
      </c>
    </row>
    <row r="14" spans="1:29" ht="85.5">
      <c r="A14" s="397" t="s">
        <v>2379</v>
      </c>
      <c r="B14" s="65" t="s">
        <v>2529</v>
      </c>
      <c r="C14" s="2155"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49"/>
      <c r="M14" s="2943"/>
      <c r="N14" s="2943"/>
      <c r="O14" s="3001"/>
      <c r="P14" s="3310" t="s">
        <v>2380</v>
      </c>
      <c r="Q14" s="1535" t="str">
        <f t="shared" si="6"/>
        <v>交通便捷度</v>
      </c>
      <c r="R14" s="711" t="s">
        <v>17</v>
      </c>
      <c r="S14" s="712">
        <f t="shared" si="0"/>
        <v>100</v>
      </c>
      <c r="T14" s="711" t="s">
        <v>17</v>
      </c>
      <c r="U14" s="712">
        <f t="shared" si="1"/>
        <v>100</v>
      </c>
      <c r="V14" s="711" t="s">
        <v>17</v>
      </c>
      <c r="W14" s="712">
        <f t="shared" si="2"/>
        <v>100</v>
      </c>
      <c r="X14" s="1538"/>
      <c r="Y14" s="3310" t="s">
        <v>2380</v>
      </c>
      <c r="Z14" s="1539" t="str">
        <f t="shared" si="7"/>
        <v>交通便捷度</v>
      </c>
      <c r="AA14" s="1536">
        <f t="shared" si="3"/>
        <v>1</v>
      </c>
      <c r="AB14" s="1536">
        <f t="shared" si="4"/>
        <v>1</v>
      </c>
      <c r="AC14" s="1536">
        <f t="shared" si="5"/>
        <v>1</v>
      </c>
    </row>
    <row r="15" spans="1:29" ht="15">
      <c r="A15" s="385"/>
      <c r="B15" s="403"/>
      <c r="C15" s="404"/>
      <c r="D15" s="405"/>
      <c r="E15" s="404"/>
      <c r="F15" s="406"/>
      <c r="G15" s="404"/>
      <c r="H15" s="407"/>
      <c r="I15" s="404"/>
      <c r="J15" s="405"/>
      <c r="K15" s="570"/>
      <c r="L15" s="2949"/>
      <c r="M15" s="2943"/>
      <c r="N15" s="2943"/>
      <c r="O15" s="3001"/>
      <c r="P15" s="3311"/>
      <c r="Q15" s="1535"/>
      <c r="R15" s="711"/>
      <c r="S15" s="712"/>
      <c r="T15" s="711"/>
      <c r="U15" s="712"/>
      <c r="V15" s="711"/>
      <c r="W15" s="712"/>
      <c r="X15" s="1538"/>
      <c r="Y15" s="3311"/>
      <c r="Z15" s="1539"/>
      <c r="AA15" s="1536">
        <v>1</v>
      </c>
      <c r="AB15" s="1536">
        <v>1</v>
      </c>
      <c r="AC15" s="1536">
        <v>1</v>
      </c>
    </row>
    <row r="16" spans="1:29" ht="42.75">
      <c r="A16" s="385"/>
      <c r="B16" s="408" t="s">
        <v>2508</v>
      </c>
      <c r="C16" s="2084"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49"/>
      <c r="M16" s="2943"/>
      <c r="N16" s="2943"/>
      <c r="O16" s="3001"/>
      <c r="P16" s="3311"/>
      <c r="Q16" s="1535" t="str">
        <f>B16</f>
        <v>公共配套设施</v>
      </c>
      <c r="R16" s="711" t="s">
        <v>17</v>
      </c>
      <c r="S16" s="712">
        <f>F16</f>
        <v>100</v>
      </c>
      <c r="T16" s="711" t="s">
        <v>17</v>
      </c>
      <c r="U16" s="712">
        <f>H16</f>
        <v>100</v>
      </c>
      <c r="V16" s="711" t="s">
        <v>17</v>
      </c>
      <c r="W16" s="712">
        <f>J16</f>
        <v>100</v>
      </c>
      <c r="X16" s="1538"/>
      <c r="Y16" s="3311"/>
      <c r="Z16" s="1539" t="str">
        <f>Q16</f>
        <v>公共配套设施</v>
      </c>
      <c r="AA16" s="1536">
        <f t="shared" si="3"/>
        <v>1</v>
      </c>
      <c r="AB16" s="1536">
        <f t="shared" si="4"/>
        <v>1</v>
      </c>
      <c r="AC16" s="1536">
        <f t="shared" si="5"/>
        <v>1</v>
      </c>
    </row>
    <row r="17" spans="1:29" ht="15">
      <c r="A17" s="385"/>
      <c r="B17" s="413"/>
      <c r="C17" s="2085"/>
      <c r="D17" s="405"/>
      <c r="E17" s="404"/>
      <c r="F17" s="406"/>
      <c r="G17" s="404"/>
      <c r="H17" s="405"/>
      <c r="I17" s="404"/>
      <c r="J17" s="405"/>
      <c r="K17" s="570"/>
      <c r="L17" s="2949"/>
      <c r="M17" s="2943"/>
      <c r="N17" s="2943"/>
      <c r="O17" s="3001"/>
      <c r="P17" s="3311"/>
      <c r="Q17" s="1535"/>
      <c r="R17" s="711"/>
      <c r="S17" s="712"/>
      <c r="T17" s="711"/>
      <c r="U17" s="712"/>
      <c r="V17" s="711"/>
      <c r="W17" s="712"/>
      <c r="X17" s="1538"/>
      <c r="Y17" s="3311"/>
      <c r="Z17" s="1539"/>
      <c r="AA17" s="1536">
        <v>1</v>
      </c>
      <c r="AB17" s="1536">
        <v>1</v>
      </c>
      <c r="AC17" s="1536">
        <v>1</v>
      </c>
    </row>
    <row r="18" spans="1:29" ht="28.5">
      <c r="A18" s="385"/>
      <c r="B18" s="1290" t="s">
        <v>2509</v>
      </c>
      <c r="C18" s="2084"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49"/>
      <c r="M18" s="2943"/>
      <c r="N18" s="2943"/>
      <c r="O18" s="3001"/>
      <c r="P18" s="3311"/>
      <c r="Q18" s="1535" t="str">
        <f>B18</f>
        <v>基础设施水平</v>
      </c>
      <c r="R18" s="711" t="s">
        <v>17</v>
      </c>
      <c r="S18" s="712">
        <f>F18</f>
        <v>100</v>
      </c>
      <c r="T18" s="711" t="s">
        <v>17</v>
      </c>
      <c r="U18" s="712">
        <f>H18</f>
        <v>100</v>
      </c>
      <c r="V18" s="711" t="s">
        <v>17</v>
      </c>
      <c r="W18" s="712">
        <f>J18</f>
        <v>100</v>
      </c>
      <c r="X18" s="1538"/>
      <c r="Y18" s="3311"/>
      <c r="Z18" s="1539" t="str">
        <f>Q18</f>
        <v>基础设施水平</v>
      </c>
      <c r="AA18" s="1536">
        <f t="shared" ref="AA18" si="8">D18/F18</f>
        <v>1</v>
      </c>
      <c r="AB18" s="1536">
        <f t="shared" ref="AB18" si="9">D18/H18</f>
        <v>1</v>
      </c>
      <c r="AC18" s="1536">
        <f t="shared" ref="AC18" si="10">D18/J18</f>
        <v>1</v>
      </c>
    </row>
    <row r="19" spans="1:29" ht="15">
      <c r="A19" s="385"/>
      <c r="B19" s="1290"/>
      <c r="C19" s="2085"/>
      <c r="D19" s="407"/>
      <c r="E19" s="2085"/>
      <c r="F19" s="410"/>
      <c r="G19" s="2085"/>
      <c r="H19" s="405"/>
      <c r="I19" s="404"/>
      <c r="J19" s="405"/>
      <c r="K19" s="1289"/>
      <c r="L19" s="2949"/>
      <c r="M19" s="2943"/>
      <c r="N19" s="2943"/>
      <c r="O19" s="3001"/>
      <c r="P19" s="3311"/>
      <c r="Q19" s="1535"/>
      <c r="R19" s="711"/>
      <c r="S19" s="712"/>
      <c r="T19" s="711"/>
      <c r="U19" s="712"/>
      <c r="V19" s="711"/>
      <c r="W19" s="712"/>
      <c r="X19" s="1538"/>
      <c r="Y19" s="3311"/>
      <c r="Z19" s="1539"/>
      <c r="AA19" s="1536">
        <v>1</v>
      </c>
      <c r="AB19" s="1536">
        <v>1</v>
      </c>
      <c r="AC19" s="1536">
        <v>1</v>
      </c>
    </row>
    <row r="20" spans="1:29" ht="57">
      <c r="A20" s="385"/>
      <c r="B20" s="408" t="s">
        <v>2530</v>
      </c>
      <c r="C20" s="2084"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49"/>
      <c r="M20" s="2943"/>
      <c r="N20" s="2943"/>
      <c r="O20" s="3001"/>
      <c r="P20" s="3311"/>
      <c r="Q20" s="1535" t="str">
        <f>B20</f>
        <v>自然及人文环境</v>
      </c>
      <c r="R20" s="711" t="s">
        <v>17</v>
      </c>
      <c r="S20" s="712">
        <f>F20</f>
        <v>100</v>
      </c>
      <c r="T20" s="711" t="s">
        <v>17</v>
      </c>
      <c r="U20" s="712">
        <f>H20</f>
        <v>100</v>
      </c>
      <c r="V20" s="711" t="s">
        <v>17</v>
      </c>
      <c r="W20" s="712">
        <f>J20</f>
        <v>100</v>
      </c>
      <c r="X20" s="1538"/>
      <c r="Y20" s="3311"/>
      <c r="Z20" s="1539" t="str">
        <f>Q20</f>
        <v>自然及人文环境</v>
      </c>
      <c r="AA20" s="1536">
        <f t="shared" si="3"/>
        <v>1</v>
      </c>
      <c r="AB20" s="1536">
        <f t="shared" si="4"/>
        <v>1</v>
      </c>
      <c r="AC20" s="1536">
        <f t="shared" si="5"/>
        <v>1</v>
      </c>
    </row>
    <row r="21" spans="1:29" ht="15">
      <c r="A21" s="385"/>
      <c r="B21" s="413"/>
      <c r="C21" s="404"/>
      <c r="D21" s="405"/>
      <c r="E21" s="404"/>
      <c r="F21" s="406"/>
      <c r="G21" s="404"/>
      <c r="H21" s="405"/>
      <c r="I21" s="404"/>
      <c r="J21" s="405"/>
      <c r="K21" s="570"/>
      <c r="L21" s="2949"/>
      <c r="M21" s="2943"/>
      <c r="N21" s="2943"/>
      <c r="O21" s="3001"/>
      <c r="P21" s="3311"/>
      <c r="Q21" s="1535"/>
      <c r="R21" s="711"/>
      <c r="S21" s="712"/>
      <c r="T21" s="711"/>
      <c r="U21" s="712"/>
      <c r="V21" s="711"/>
      <c r="W21" s="712"/>
      <c r="X21" s="1538"/>
      <c r="Y21" s="3311"/>
      <c r="Z21" s="1539"/>
      <c r="AA21" s="1536">
        <v>1</v>
      </c>
      <c r="AB21" s="1536">
        <v>1</v>
      </c>
      <c r="AC21" s="1536">
        <v>1</v>
      </c>
    </row>
    <row r="22" spans="1:29" ht="15">
      <c r="A22" s="385"/>
      <c r="B22" s="408" t="s">
        <v>2531</v>
      </c>
      <c r="C22" s="571"/>
      <c r="D22" s="407">
        <v>100</v>
      </c>
      <c r="E22" s="571"/>
      <c r="F22" s="418">
        <f>SUMIF(69:69,E22,70:70)-SUMIF(69:69,C22,70:70)+100</f>
        <v>100</v>
      </c>
      <c r="G22" s="571"/>
      <c r="H22" s="392">
        <f>SUMIF(69:69,G22,70:70)-SUMIF(69:69,C22,70:70)+100</f>
        <v>100</v>
      </c>
      <c r="I22" s="571"/>
      <c r="J22" s="392">
        <f>SUMIF(69:69,I22,70:70)-SUMIF(69:69,C22,70:70)+100</f>
        <v>100</v>
      </c>
      <c r="K22" s="567"/>
      <c r="L22" s="2949"/>
      <c r="M22" s="2943"/>
      <c r="N22" s="2943"/>
      <c r="O22" s="3001"/>
      <c r="P22" s="3311"/>
      <c r="Q22" s="1535" t="str">
        <f>B22</f>
        <v>楼层</v>
      </c>
      <c r="R22" s="711" t="s">
        <v>17</v>
      </c>
      <c r="S22" s="712">
        <f>F22</f>
        <v>100</v>
      </c>
      <c r="T22" s="711" t="s">
        <v>17</v>
      </c>
      <c r="U22" s="712">
        <f>H22</f>
        <v>100</v>
      </c>
      <c r="V22" s="711" t="s">
        <v>17</v>
      </c>
      <c r="W22" s="712">
        <f>J22</f>
        <v>100</v>
      </c>
      <c r="X22" s="1538"/>
      <c r="Y22" s="3311"/>
      <c r="Z22" s="1539" t="str">
        <f>Q22</f>
        <v>楼层</v>
      </c>
      <c r="AA22" s="1536">
        <f t="shared" si="3"/>
        <v>1</v>
      </c>
      <c r="AB22" s="1536">
        <f t="shared" si="4"/>
        <v>1</v>
      </c>
      <c r="AC22" s="1536">
        <f t="shared" si="5"/>
        <v>1</v>
      </c>
    </row>
    <row r="23" spans="1:29" ht="15">
      <c r="A23" s="362"/>
      <c r="B23" s="2077">
        <v>111</v>
      </c>
      <c r="C23" s="389"/>
      <c r="D23" s="392">
        <v>100</v>
      </c>
      <c r="E23" s="391"/>
      <c r="F23" s="418">
        <f>SUMIF(71:71,E23,72:72)-SUMIF(71:71,C23,72:72)+100</f>
        <v>100</v>
      </c>
      <c r="G23" s="391"/>
      <c r="H23" s="392">
        <f>SUMIF(71:71,G23,72:72)-SUMIF(71:71,C23,72:72)+100</f>
        <v>100</v>
      </c>
      <c r="I23" s="391"/>
      <c r="J23" s="392">
        <f>SUMIF(71:71,I23,72:72)-SUMIF(71:71,C23,72:72)+100</f>
        <v>100</v>
      </c>
      <c r="K23" s="568"/>
      <c r="L23" s="2949"/>
      <c r="M23" s="2943"/>
      <c r="N23" s="2943"/>
      <c r="O23" s="3001"/>
      <c r="P23" s="3311"/>
      <c r="Q23" s="1535">
        <f>B23</f>
        <v>111</v>
      </c>
      <c r="R23" s="711" t="s">
        <v>17</v>
      </c>
      <c r="S23" s="712">
        <f>F23</f>
        <v>100</v>
      </c>
      <c r="T23" s="711" t="s">
        <v>17</v>
      </c>
      <c r="U23" s="712">
        <f>H23</f>
        <v>100</v>
      </c>
      <c r="V23" s="711" t="s">
        <v>17</v>
      </c>
      <c r="W23" s="712">
        <f>J23</f>
        <v>100</v>
      </c>
      <c r="X23" s="1538"/>
      <c r="Y23" s="3311"/>
      <c r="Z23" s="1539">
        <f>Q23</f>
        <v>111</v>
      </c>
      <c r="AA23" s="1536">
        <f t="shared" si="3"/>
        <v>1</v>
      </c>
      <c r="AB23" s="1536">
        <f t="shared" si="4"/>
        <v>1</v>
      </c>
      <c r="AC23" s="1536">
        <f t="shared" si="5"/>
        <v>1</v>
      </c>
    </row>
    <row r="24" spans="1:29" ht="15">
      <c r="A24" s="385"/>
      <c r="B24" s="2077">
        <v>111</v>
      </c>
      <c r="C24" s="389"/>
      <c r="D24" s="392">
        <v>100</v>
      </c>
      <c r="E24" s="391"/>
      <c r="F24" s="418">
        <f>SUMIF(73:73,E24,74:74)-SUMIF(73:73,C24,74:74)+100</f>
        <v>100</v>
      </c>
      <c r="G24" s="391"/>
      <c r="H24" s="392">
        <f>SUMIF(73:73,G24,74:74)-SUMIF(73:73,C24,74:74)+100</f>
        <v>100</v>
      </c>
      <c r="I24" s="391"/>
      <c r="J24" s="392">
        <f>SUMIF(73:73,I24,74:74)-SUMIF(73:73,C24,74:74)+100</f>
        <v>100</v>
      </c>
      <c r="K24" s="568"/>
      <c r="L24" s="2949"/>
      <c r="M24" s="2943"/>
      <c r="N24" s="2943"/>
      <c r="O24" s="3001"/>
      <c r="P24" s="3311"/>
      <c r="Q24" s="1535">
        <f t="shared" ref="Q24:Q34" si="11">B24</f>
        <v>111</v>
      </c>
      <c r="R24" s="711" t="s">
        <v>17</v>
      </c>
      <c r="S24" s="712">
        <f>F24</f>
        <v>100</v>
      </c>
      <c r="T24" s="711" t="s">
        <v>17</v>
      </c>
      <c r="U24" s="712">
        <f>H24</f>
        <v>100</v>
      </c>
      <c r="V24" s="711" t="s">
        <v>17</v>
      </c>
      <c r="W24" s="712">
        <f>J24</f>
        <v>100</v>
      </c>
      <c r="X24" s="1538"/>
      <c r="Y24" s="3311"/>
      <c r="Z24" s="1539">
        <f>Q24</f>
        <v>111</v>
      </c>
      <c r="AA24" s="1536">
        <f t="shared" si="3"/>
        <v>1</v>
      </c>
      <c r="AB24" s="1536">
        <f t="shared" si="4"/>
        <v>1</v>
      </c>
      <c r="AC24" s="1536">
        <f t="shared" si="5"/>
        <v>1</v>
      </c>
    </row>
    <row r="25" spans="1:29" s="113" customFormat="1" ht="15.75" thickBot="1">
      <c r="A25" s="388"/>
      <c r="B25" s="2077">
        <v>111</v>
      </c>
      <c r="C25" s="2160"/>
      <c r="D25" s="619">
        <v>100</v>
      </c>
      <c r="E25" s="2160"/>
      <c r="F25" s="620">
        <f>SUMIF(75:75,E25,76:76)-SUMIF(75:75,C25,76:76)+100</f>
        <v>100</v>
      </c>
      <c r="G25" s="2160"/>
      <c r="H25" s="619">
        <f>SUMIF(75:75,G25,76:76)-SUMIF(75:75,C25,76:76)+100</f>
        <v>100</v>
      </c>
      <c r="I25" s="2160"/>
      <c r="J25" s="619">
        <f>SUMIF(75:75,I25,76:76)-SUMIF(75:75,C25,76:76)+100</f>
        <v>100</v>
      </c>
      <c r="K25" s="568"/>
      <c r="L25" s="2944"/>
      <c r="M25" s="2945"/>
      <c r="N25" s="2945"/>
      <c r="O25" s="2999"/>
      <c r="P25" s="3311"/>
      <c r="Q25" s="1526">
        <f t="shared" si="11"/>
        <v>111</v>
      </c>
      <c r="R25" s="707" t="s">
        <v>17</v>
      </c>
      <c r="S25" s="708">
        <f>F25</f>
        <v>100</v>
      </c>
      <c r="T25" s="707" t="s">
        <v>17</v>
      </c>
      <c r="U25" s="708">
        <f>H25</f>
        <v>100</v>
      </c>
      <c r="V25" s="707" t="s">
        <v>17</v>
      </c>
      <c r="W25" s="708">
        <f>J25</f>
        <v>100</v>
      </c>
      <c r="X25" s="709"/>
      <c r="Y25" s="3311"/>
      <c r="Z25" s="55">
        <f>Q25</f>
        <v>111</v>
      </c>
      <c r="AA25" s="1536">
        <f>D25/F25</f>
        <v>1</v>
      </c>
      <c r="AB25" s="1536">
        <f>D25/H25</f>
        <v>1</v>
      </c>
      <c r="AC25" s="1536">
        <f>D25/J25</f>
        <v>1</v>
      </c>
    </row>
    <row r="26" spans="1:29" ht="28.5">
      <c r="A26" s="423" t="s">
        <v>2383</v>
      </c>
      <c r="B26" s="67" t="s">
        <v>2534</v>
      </c>
      <c r="C26" s="2151"/>
      <c r="D26" s="424">
        <v>100</v>
      </c>
      <c r="E26" s="2151"/>
      <c r="F26" s="621">
        <f>SUMIF(77:77,E26,78:78)-SUMIF(77:77,C26,78:78)+100</f>
        <v>100</v>
      </c>
      <c r="G26" s="2151"/>
      <c r="H26" s="424">
        <f>SUMIF(77:77,G26,78:78)-SUMIF(77:77,C26,78:78)+100</f>
        <v>100</v>
      </c>
      <c r="I26" s="2151"/>
      <c r="J26" s="424">
        <f>SUMIF(77:77,I26,78:78)-SUMIF(77:77,C26,78:78)+100</f>
        <v>100</v>
      </c>
      <c r="K26" s="567"/>
      <c r="L26" s="2949"/>
      <c r="M26" s="2943"/>
      <c r="N26" s="2943"/>
      <c r="O26" s="3001"/>
      <c r="P26" s="3312" t="s">
        <v>2385</v>
      </c>
      <c r="Q26" s="1535" t="str">
        <f t="shared" si="11"/>
        <v>公共部分装修</v>
      </c>
      <c r="R26" s="711" t="s">
        <v>17</v>
      </c>
      <c r="S26" s="712">
        <f t="shared" ref="S26:S34" si="12">F26</f>
        <v>100</v>
      </c>
      <c r="T26" s="711" t="s">
        <v>17</v>
      </c>
      <c r="U26" s="712">
        <f t="shared" ref="U26:U34" si="13">H26</f>
        <v>100</v>
      </c>
      <c r="V26" s="711" t="s">
        <v>17</v>
      </c>
      <c r="W26" s="712">
        <f t="shared" ref="W26:W34" si="14">J26</f>
        <v>100</v>
      </c>
      <c r="X26" s="1538"/>
      <c r="Y26" s="3313" t="s">
        <v>2385</v>
      </c>
      <c r="Z26" s="1539" t="str">
        <f t="shared" ref="Z26:Z34" si="15">Q26</f>
        <v>公共部分装修</v>
      </c>
      <c r="AA26" s="1536">
        <f t="shared" si="3"/>
        <v>1</v>
      </c>
      <c r="AB26" s="1536">
        <f t="shared" si="4"/>
        <v>1</v>
      </c>
      <c r="AC26" s="1536">
        <f t="shared" si="5"/>
        <v>1</v>
      </c>
    </row>
    <row r="27" spans="1:29" s="428" customFormat="1" ht="15">
      <c r="A27" s="425"/>
      <c r="B27" s="379" t="s">
        <v>2535</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48"/>
      <c r="M27" s="2950"/>
      <c r="N27" s="2950"/>
      <c r="O27" s="3002"/>
      <c r="P27" s="3313"/>
      <c r="Q27" s="713" t="str">
        <f t="shared" si="11"/>
        <v>成新率</v>
      </c>
      <c r="R27" s="714" t="s">
        <v>17</v>
      </c>
      <c r="S27" s="715" t="e">
        <f t="shared" si="12"/>
        <v>#N/A</v>
      </c>
      <c r="T27" s="714" t="s">
        <v>17</v>
      </c>
      <c r="U27" s="715" t="e">
        <f t="shared" si="13"/>
        <v>#N/A</v>
      </c>
      <c r="V27" s="714" t="s">
        <v>17</v>
      </c>
      <c r="W27" s="715" t="e">
        <f t="shared" si="14"/>
        <v>#N/A</v>
      </c>
      <c r="X27" s="716"/>
      <c r="Y27" s="3313"/>
      <c r="Z27" s="717" t="str">
        <f t="shared" si="15"/>
        <v>成新率</v>
      </c>
      <c r="AA27" s="1536" t="e">
        <f t="shared" si="3"/>
        <v>#N/A</v>
      </c>
      <c r="AB27" s="1536" t="e">
        <f t="shared" si="4"/>
        <v>#N/A</v>
      </c>
      <c r="AC27" s="1536" t="e">
        <f t="shared" si="5"/>
        <v>#N/A</v>
      </c>
    </row>
    <row r="28" spans="1:29" ht="15">
      <c r="A28" s="429"/>
      <c r="B28" s="379" t="s">
        <v>2536</v>
      </c>
      <c r="C28" s="417"/>
      <c r="D28" s="392">
        <v>100</v>
      </c>
      <c r="E28" s="417"/>
      <c r="F28" s="418">
        <f>SUMIF(82:82,E28,83:83)-SUMIF(82:82,C28,83:83)+100</f>
        <v>100</v>
      </c>
      <c r="G28" s="417"/>
      <c r="H28" s="392">
        <f>SUMIF(82:82,G28,83:83)-SUMIF(82:82,C28,83:83)+100</f>
        <v>100</v>
      </c>
      <c r="I28" s="417"/>
      <c r="J28" s="392">
        <f>SUMIF(82:82,I28,83:83)-SUMIF(82:82,C28,83:83)+100</f>
        <v>100</v>
      </c>
      <c r="K28" s="567"/>
      <c r="L28" s="2949"/>
      <c r="M28" s="2943"/>
      <c r="N28" s="2943"/>
      <c r="O28" s="3001"/>
      <c r="P28" s="3313"/>
      <c r="Q28" s="1535" t="str">
        <f t="shared" si="11"/>
        <v>物业等级</v>
      </c>
      <c r="R28" s="711" t="s">
        <v>17</v>
      </c>
      <c r="S28" s="712">
        <f t="shared" si="12"/>
        <v>100</v>
      </c>
      <c r="T28" s="711" t="s">
        <v>17</v>
      </c>
      <c r="U28" s="712">
        <f t="shared" si="13"/>
        <v>100</v>
      </c>
      <c r="V28" s="711" t="s">
        <v>17</v>
      </c>
      <c r="W28" s="712">
        <f t="shared" si="14"/>
        <v>100</v>
      </c>
      <c r="X28" s="1538"/>
      <c r="Y28" s="3313"/>
      <c r="Z28" s="1539" t="str">
        <f t="shared" si="15"/>
        <v>物业等级</v>
      </c>
      <c r="AA28" s="1536">
        <f t="shared" si="3"/>
        <v>1</v>
      </c>
      <c r="AB28" s="1536">
        <f t="shared" si="4"/>
        <v>1</v>
      </c>
      <c r="AC28" s="1536">
        <f t="shared" si="5"/>
        <v>1</v>
      </c>
    </row>
    <row r="29" spans="1:29" ht="15">
      <c r="A29" s="429"/>
      <c r="B29" s="379" t="s">
        <v>2557</v>
      </c>
      <c r="C29" s="611"/>
      <c r="D29" s="392">
        <v>100</v>
      </c>
      <c r="E29" s="611"/>
      <c r="F29" s="418">
        <f>SUMIF(84:84,E29,85:85)-SUMIF(84:84,C29,85:85)+100</f>
        <v>100</v>
      </c>
      <c r="G29" s="611"/>
      <c r="H29" s="392">
        <f>SUMIF(84:84,G29,85:85)-SUMIF(84:84,C29,85:85)+100</f>
        <v>100</v>
      </c>
      <c r="I29" s="611"/>
      <c r="J29" s="392">
        <f>SUMIF(84:84,I29,85:85)-SUMIF(84:84,C29,85:85)+100</f>
        <v>100</v>
      </c>
      <c r="K29" s="567"/>
      <c r="L29" s="2949"/>
      <c r="M29" s="2943"/>
      <c r="N29" s="2943"/>
      <c r="O29" s="3001"/>
      <c r="P29" s="3313"/>
      <c r="Q29" s="1535" t="str">
        <f t="shared" si="11"/>
        <v>有无电梯</v>
      </c>
      <c r="R29" s="711" t="s">
        <v>17</v>
      </c>
      <c r="S29" s="712">
        <f t="shared" si="12"/>
        <v>100</v>
      </c>
      <c r="T29" s="711" t="s">
        <v>17</v>
      </c>
      <c r="U29" s="712">
        <f t="shared" si="13"/>
        <v>100</v>
      </c>
      <c r="V29" s="711" t="s">
        <v>17</v>
      </c>
      <c r="W29" s="712">
        <f t="shared" si="14"/>
        <v>100</v>
      </c>
      <c r="X29" s="1538"/>
      <c r="Y29" s="3313"/>
      <c r="Z29" s="1539" t="str">
        <f t="shared" si="15"/>
        <v>有无电梯</v>
      </c>
      <c r="AA29" s="1536">
        <f t="shared" si="3"/>
        <v>1</v>
      </c>
      <c r="AB29" s="1536">
        <f t="shared" si="4"/>
        <v>1</v>
      </c>
      <c r="AC29" s="1536">
        <f t="shared" si="5"/>
        <v>1</v>
      </c>
    </row>
    <row r="30" spans="1:29" ht="15">
      <c r="A30" s="429"/>
      <c r="B30" s="379" t="s">
        <v>2558</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49"/>
      <c r="M30" s="2943"/>
      <c r="N30" s="2943"/>
      <c r="O30" s="3001"/>
      <c r="P30" s="3313"/>
      <c r="Q30" s="1535" t="str">
        <f t="shared" si="11"/>
        <v>建筑面积</v>
      </c>
      <c r="R30" s="711" t="s">
        <v>17</v>
      </c>
      <c r="S30" s="712" t="e">
        <f t="shared" si="12"/>
        <v>#N/A</v>
      </c>
      <c r="T30" s="711" t="s">
        <v>17</v>
      </c>
      <c r="U30" s="712" t="e">
        <f t="shared" si="13"/>
        <v>#N/A</v>
      </c>
      <c r="V30" s="711" t="s">
        <v>17</v>
      </c>
      <c r="W30" s="712" t="e">
        <f t="shared" si="14"/>
        <v>#N/A</v>
      </c>
      <c r="X30" s="1538"/>
      <c r="Y30" s="3313"/>
      <c r="Z30" s="1539" t="str">
        <f t="shared" si="15"/>
        <v>建筑面积</v>
      </c>
      <c r="AA30" s="1536" t="e">
        <f t="shared" si="3"/>
        <v>#N/A</v>
      </c>
      <c r="AB30" s="1536" t="e">
        <f t="shared" si="4"/>
        <v>#N/A</v>
      </c>
      <c r="AC30" s="1536" t="e">
        <f t="shared" si="5"/>
        <v>#N/A</v>
      </c>
    </row>
    <row r="31" spans="1:29" s="113" customFormat="1" ht="15">
      <c r="A31" s="430"/>
      <c r="B31" s="379" t="s">
        <v>2559</v>
      </c>
      <c r="C31" s="611"/>
      <c r="D31" s="130">
        <v>100</v>
      </c>
      <c r="E31" s="611"/>
      <c r="F31" s="418">
        <f>SUMIF(89:89,E31,90:90)-SUMIF(89:89,C31,90:90)+100</f>
        <v>100</v>
      </c>
      <c r="G31" s="611"/>
      <c r="H31" s="392">
        <f>SUMIF(89:89,G31,90:90)-SUMIF(89:89,C31,90:90)+100</f>
        <v>100</v>
      </c>
      <c r="I31" s="611"/>
      <c r="J31" s="392">
        <f>SUMIF(89:89,I31,90:90)-SUMIF(89:89,C31,90:90)+100</f>
        <v>100</v>
      </c>
      <c r="K31" s="567"/>
      <c r="L31" s="2944"/>
      <c r="M31" s="2945"/>
      <c r="N31" s="2945"/>
      <c r="O31" s="2999"/>
      <c r="P31" s="3313"/>
      <c r="Q31" s="1526" t="str">
        <f t="shared" si="11"/>
        <v>是否封闭</v>
      </c>
      <c r="R31" s="707" t="s">
        <v>17</v>
      </c>
      <c r="S31" s="708">
        <f t="shared" si="12"/>
        <v>100</v>
      </c>
      <c r="T31" s="707" t="s">
        <v>17</v>
      </c>
      <c r="U31" s="708">
        <f t="shared" si="13"/>
        <v>100</v>
      </c>
      <c r="V31" s="707" t="s">
        <v>17</v>
      </c>
      <c r="W31" s="708">
        <f t="shared" si="14"/>
        <v>100</v>
      </c>
      <c r="X31" s="709"/>
      <c r="Y31" s="3313"/>
      <c r="Z31" s="55" t="str">
        <f t="shared" si="15"/>
        <v>是否封闭</v>
      </c>
      <c r="AA31" s="710">
        <f t="shared" si="3"/>
        <v>1</v>
      </c>
      <c r="AB31" s="710">
        <f t="shared" si="4"/>
        <v>1</v>
      </c>
      <c r="AC31" s="710">
        <f t="shared" si="5"/>
        <v>1</v>
      </c>
    </row>
    <row r="32" spans="1:29" ht="15">
      <c r="A32" s="429"/>
      <c r="B32" s="2077">
        <v>111</v>
      </c>
      <c r="C32" s="389"/>
      <c r="D32" s="392">
        <v>100</v>
      </c>
      <c r="E32" s="426"/>
      <c r="F32" s="418">
        <f>SUMIF(91:91,E32,92:92)-SUMIF(91:91,C32,92:92)+100</f>
        <v>100</v>
      </c>
      <c r="G32" s="426"/>
      <c r="H32" s="392">
        <f>SUMIF(91:91,G32,92:92)-SUMIF(91:91,C32,92:92)+100</f>
        <v>100</v>
      </c>
      <c r="I32" s="426"/>
      <c r="J32" s="392">
        <f>SUMIF(91:91,I32,92:92)-SUMIF(91:91,C32,92:92)+100</f>
        <v>100</v>
      </c>
      <c r="K32" s="568"/>
      <c r="L32" s="2949"/>
      <c r="M32" s="2943"/>
      <c r="N32" s="2943"/>
      <c r="O32" s="3001"/>
      <c r="P32" s="3313" t="s">
        <v>2385</v>
      </c>
      <c r="Q32" s="1535">
        <f t="shared" si="11"/>
        <v>111</v>
      </c>
      <c r="R32" s="711" t="s">
        <v>17</v>
      </c>
      <c r="S32" s="712">
        <f t="shared" si="12"/>
        <v>100</v>
      </c>
      <c r="T32" s="711" t="s">
        <v>17</v>
      </c>
      <c r="U32" s="712">
        <f t="shared" si="13"/>
        <v>100</v>
      </c>
      <c r="V32" s="711" t="s">
        <v>17</v>
      </c>
      <c r="W32" s="712">
        <f t="shared" si="14"/>
        <v>100</v>
      </c>
      <c r="X32" s="1538"/>
      <c r="Y32" s="3313" t="s">
        <v>2385</v>
      </c>
      <c r="Z32" s="1539">
        <f t="shared" si="15"/>
        <v>111</v>
      </c>
      <c r="AA32" s="1536">
        <f t="shared" si="3"/>
        <v>1</v>
      </c>
      <c r="AB32" s="1536">
        <f t="shared" si="4"/>
        <v>1</v>
      </c>
      <c r="AC32" s="1536">
        <f t="shared" si="5"/>
        <v>1</v>
      </c>
    </row>
    <row r="33" spans="1:30" ht="15">
      <c r="A33" s="429"/>
      <c r="B33" s="2077">
        <v>111</v>
      </c>
      <c r="C33" s="389"/>
      <c r="D33" s="392">
        <v>100</v>
      </c>
      <c r="E33" s="426"/>
      <c r="F33" s="418">
        <f>SUMIF(93:93,E33,94:94)-SUMIF(93:93,C33,94:94)+100</f>
        <v>100</v>
      </c>
      <c r="G33" s="426"/>
      <c r="H33" s="392">
        <f>SUMIF(93:93,G33,94:94)-SUMIF(93:93,C33,94:94)+100</f>
        <v>100</v>
      </c>
      <c r="I33" s="426"/>
      <c r="J33" s="392">
        <f>SUMIF(93:93,I33,94:94)-SUMIF(93:93,C33,94:94)+100</f>
        <v>100</v>
      </c>
      <c r="K33" s="568"/>
      <c r="L33" s="2949"/>
      <c r="M33" s="2943"/>
      <c r="N33" s="2943"/>
      <c r="O33" s="3001"/>
      <c r="P33" s="3313"/>
      <c r="Q33" s="1535">
        <f t="shared" si="11"/>
        <v>111</v>
      </c>
      <c r="R33" s="711" t="s">
        <v>17</v>
      </c>
      <c r="S33" s="712">
        <f t="shared" si="12"/>
        <v>100</v>
      </c>
      <c r="T33" s="711" t="s">
        <v>17</v>
      </c>
      <c r="U33" s="712">
        <f t="shared" si="13"/>
        <v>100</v>
      </c>
      <c r="V33" s="711" t="s">
        <v>17</v>
      </c>
      <c r="W33" s="712">
        <f t="shared" si="14"/>
        <v>100</v>
      </c>
      <c r="X33" s="1538"/>
      <c r="Y33" s="3313"/>
      <c r="Z33" s="1539">
        <f t="shared" si="15"/>
        <v>111</v>
      </c>
      <c r="AA33" s="1536">
        <f t="shared" si="3"/>
        <v>1</v>
      </c>
      <c r="AB33" s="1536">
        <f t="shared" si="4"/>
        <v>1</v>
      </c>
      <c r="AC33" s="1536">
        <f t="shared" si="5"/>
        <v>1</v>
      </c>
    </row>
    <row r="34" spans="1:30" ht="15.75" thickBot="1">
      <c r="A34" s="435"/>
      <c r="B34" s="2079">
        <v>111</v>
      </c>
      <c r="C34" s="394"/>
      <c r="D34" s="395">
        <v>100</v>
      </c>
      <c r="E34" s="2159"/>
      <c r="F34" s="396">
        <f>SUMIF(95:95,E34,96:96)-SUMIF(95:95,C34,96:96)+100</f>
        <v>100</v>
      </c>
      <c r="G34" s="2159"/>
      <c r="H34" s="395">
        <f>SUMIF(95:95,G34,96:96)-SUMIF(95:95,C34,96:96)+100</f>
        <v>100</v>
      </c>
      <c r="I34" s="2159"/>
      <c r="J34" s="395">
        <f>SUMIF(95:95,I34,96:96)-SUMIF(95:95,C34,96:96)+100</f>
        <v>100</v>
      </c>
      <c r="K34" s="568"/>
      <c r="L34" s="2949"/>
      <c r="M34" s="2943"/>
      <c r="N34" s="2943"/>
      <c r="O34" s="3001"/>
      <c r="P34" s="3313"/>
      <c r="Q34" s="1535">
        <f t="shared" si="11"/>
        <v>111</v>
      </c>
      <c r="R34" s="711" t="s">
        <v>17</v>
      </c>
      <c r="S34" s="712">
        <f t="shared" si="12"/>
        <v>100</v>
      </c>
      <c r="T34" s="711" t="s">
        <v>17</v>
      </c>
      <c r="U34" s="712">
        <f t="shared" si="13"/>
        <v>100</v>
      </c>
      <c r="V34" s="711" t="s">
        <v>17</v>
      </c>
      <c r="W34" s="712">
        <f t="shared" si="14"/>
        <v>100</v>
      </c>
      <c r="X34" s="1538"/>
      <c r="Y34" s="3313"/>
      <c r="Z34" s="1539">
        <f t="shared" si="15"/>
        <v>111</v>
      </c>
      <c r="AA34" s="1536">
        <f t="shared" si="3"/>
        <v>1</v>
      </c>
      <c r="AB34" s="1536">
        <f t="shared" si="4"/>
        <v>1</v>
      </c>
      <c r="AC34" s="1536">
        <f t="shared" si="5"/>
        <v>1</v>
      </c>
    </row>
    <row r="35" spans="1:30" ht="15">
      <c r="A35" s="436" t="s">
        <v>2397</v>
      </c>
      <c r="B35" s="437"/>
      <c r="C35" s="1313" t="s">
        <v>1</v>
      </c>
      <c r="D35" s="1314"/>
      <c r="E35" s="1315"/>
      <c r="F35" s="1316"/>
      <c r="G35" s="1317"/>
      <c r="H35" s="1318"/>
      <c r="I35" s="1315"/>
      <c r="J35" s="1318"/>
      <c r="K35" s="720"/>
      <c r="L35" s="2951"/>
      <c r="M35" s="2952"/>
      <c r="N35" s="2943"/>
      <c r="O35" s="2952"/>
      <c r="P35" s="3295" t="str">
        <f>A35</f>
        <v>成交单价（元/平方米）</v>
      </c>
      <c r="Q35" s="3295"/>
      <c r="R35" s="3376">
        <f>E35</f>
        <v>0</v>
      </c>
      <c r="S35" s="3376"/>
      <c r="T35" s="3376">
        <f>G35</f>
        <v>0</v>
      </c>
      <c r="U35" s="3376"/>
      <c r="V35" s="3376">
        <f>I35</f>
        <v>0</v>
      </c>
      <c r="W35" s="3376"/>
      <c r="X35" s="696"/>
      <c r="Y35" s="718"/>
      <c r="Z35" s="696"/>
      <c r="AA35" s="696"/>
      <c r="AB35" s="696"/>
      <c r="AC35" s="696"/>
    </row>
    <row r="36" spans="1:30" ht="15.75" thickBot="1">
      <c r="A36" s="443" t="s">
        <v>2489</v>
      </c>
      <c r="B36" s="444"/>
      <c r="C36" s="1319" t="e">
        <f>R37</f>
        <v>#DIV/0!</v>
      </c>
      <c r="D36" s="2536" t="s">
        <v>2879</v>
      </c>
      <c r="E36" s="1320" t="e">
        <f>R36</f>
        <v>#DIV/0!</v>
      </c>
      <c r="F36" s="2537"/>
      <c r="G36" s="1319" t="e">
        <f>T36</f>
        <v>#DIV/0!</v>
      </c>
      <c r="H36" s="2537"/>
      <c r="I36" s="1320" t="e">
        <f>V36</f>
        <v>#DIV/0!</v>
      </c>
      <c r="J36" s="2537"/>
      <c r="K36" s="2539">
        <f>F36+H36+J36</f>
        <v>0</v>
      </c>
      <c r="L36" s="2951"/>
      <c r="M36" s="2952"/>
      <c r="N36" s="2943"/>
      <c r="O36" s="2952"/>
      <c r="P36" s="3295" t="str">
        <f>A36</f>
        <v>比较价值（元/平方米）</v>
      </c>
      <c r="Q36" s="329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696"/>
      <c r="Y36" s="696"/>
      <c r="Z36" s="696"/>
      <c r="AA36" s="696"/>
      <c r="AB36" s="696"/>
      <c r="AC36" s="696"/>
    </row>
    <row r="37" spans="1:30" ht="15.75" thickBot="1">
      <c r="A37" s="447" t="s">
        <v>2490</v>
      </c>
      <c r="B37" s="448"/>
      <c r="C37" s="1322" t="e">
        <f>R37</f>
        <v>#DIV/0!</v>
      </c>
      <c r="D37" s="1322"/>
      <c r="E37" s="1322"/>
      <c r="F37" s="1322"/>
      <c r="G37" s="1322"/>
      <c r="H37" s="1322"/>
      <c r="I37" s="1322"/>
      <c r="J37" s="1322"/>
      <c r="K37" s="721"/>
      <c r="L37" s="2951"/>
      <c r="M37" s="2952"/>
      <c r="N37" s="2952"/>
      <c r="O37" s="2952"/>
      <c r="P37" s="3315" t="str">
        <f>A37</f>
        <v>估价对象XX用房的比较价值（楼面单价，元/平方米）</v>
      </c>
      <c r="Q37" s="3316"/>
      <c r="R37" s="3398" t="e">
        <f>IF(F1="售价",ROUND(IF(D36="简单平均",AVERAGE(R36:W36),R36*F36+T36*H36+V36*J36),0),ROUND(IF(D36="简单平均",AVERAGE(R36:V36),R36*F36+T36*H36+V36*J36),1))</f>
        <v>#DIV/0!</v>
      </c>
      <c r="S37" s="3398"/>
      <c r="T37" s="3398"/>
      <c r="U37" s="3398"/>
      <c r="V37" s="3398"/>
      <c r="W37" s="3398"/>
      <c r="X37" s="696"/>
      <c r="Y37" s="696"/>
      <c r="Z37" s="696"/>
      <c r="AA37" s="696"/>
      <c r="AB37" s="696"/>
      <c r="AC37" s="696"/>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2" t="s">
        <v>2491</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2" t="s">
        <v>2492</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7" customFormat="1" ht="13.5" customHeight="1">
      <c r="A42" s="2955"/>
      <c r="B42" s="2955"/>
      <c r="C42" s="452" t="s">
        <v>2493</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7"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0" t="s">
        <v>2494</v>
      </c>
      <c r="B45" s="696"/>
      <c r="C45" s="701"/>
      <c r="D45" s="701"/>
      <c r="E45" s="701"/>
      <c r="F45" s="702"/>
      <c r="G45" s="702"/>
      <c r="H45" s="701"/>
      <c r="I45" s="701"/>
      <c r="J45" s="701"/>
      <c r="K45" s="703"/>
      <c r="L45" s="704"/>
      <c r="M45" s="701"/>
      <c r="N45" s="2996"/>
      <c r="O45" s="2996"/>
      <c r="P45" s="2996"/>
      <c r="Q45" s="2966"/>
      <c r="R45" s="2952"/>
      <c r="S45" s="2952"/>
      <c r="T45" s="2952"/>
      <c r="U45" s="2952"/>
      <c r="V45" s="2952"/>
      <c r="W45" s="2952"/>
      <c r="X45" s="2952"/>
      <c r="Y45" s="2952"/>
      <c r="Z45" s="2952"/>
      <c r="AA45" s="2952"/>
      <c r="AB45" s="2952"/>
      <c r="AC45" s="2952"/>
      <c r="AD45" s="2952"/>
    </row>
    <row r="46" spans="1:30" s="463" customFormat="1" ht="15">
      <c r="A46" s="460" t="s">
        <v>2368</v>
      </c>
      <c r="B46" s="461"/>
      <c r="C46" s="1343" t="str">
        <f>YEAR(C7)&amp;"-"&amp;MONTH(C7)</f>
        <v>2020-11</v>
      </c>
      <c r="D46" s="1344">
        <f>EDATE(C46,-1)</f>
        <v>44105</v>
      </c>
      <c r="E46" s="1344">
        <f t="shared" ref="E46:O46" si="16">EDATE(D46,-1)</f>
        <v>44075</v>
      </c>
      <c r="F46" s="1344">
        <f t="shared" si="16"/>
        <v>44044</v>
      </c>
      <c r="G46" s="1344">
        <f t="shared" si="16"/>
        <v>44013</v>
      </c>
      <c r="H46" s="1344">
        <f t="shared" si="16"/>
        <v>43983</v>
      </c>
      <c r="I46" s="1344">
        <f t="shared" si="16"/>
        <v>43952</v>
      </c>
      <c r="J46" s="1344">
        <f t="shared" si="16"/>
        <v>43922</v>
      </c>
      <c r="K46" s="1344">
        <f t="shared" si="16"/>
        <v>43891</v>
      </c>
      <c r="L46" s="1344">
        <f t="shared" si="16"/>
        <v>43862</v>
      </c>
      <c r="M46" s="1344">
        <f t="shared" si="16"/>
        <v>43831</v>
      </c>
      <c r="N46" s="1344">
        <f t="shared" si="16"/>
        <v>43800</v>
      </c>
      <c r="O46" s="1344">
        <f t="shared" si="16"/>
        <v>43770</v>
      </c>
      <c r="P46" s="3003"/>
      <c r="Q46" s="2968"/>
      <c r="R46" s="2968"/>
      <c r="S46" s="2968"/>
      <c r="T46" s="2968"/>
      <c r="U46" s="2968"/>
      <c r="V46" s="2968"/>
      <c r="W46" s="2968"/>
      <c r="X46" s="2968"/>
      <c r="Y46" s="2968"/>
      <c r="Z46" s="2968"/>
      <c r="AA46" s="2968"/>
      <c r="AB46" s="2968"/>
      <c r="AC46" s="2968"/>
      <c r="AD46" s="2968"/>
    </row>
    <row r="47" spans="1:30" s="113" customFormat="1" ht="15">
      <c r="A47" s="464"/>
      <c r="B47" s="465"/>
      <c r="C47" s="1342">
        <v>100</v>
      </c>
      <c r="D47" s="467"/>
      <c r="E47" s="467"/>
      <c r="F47" s="467"/>
      <c r="G47" s="467"/>
      <c r="H47" s="467"/>
      <c r="I47" s="467"/>
      <c r="J47" s="467"/>
      <c r="K47" s="467"/>
      <c r="L47" s="467"/>
      <c r="M47" s="468"/>
      <c r="N47" s="467"/>
      <c r="O47" s="469"/>
      <c r="P47" s="2966"/>
      <c r="Q47" s="2886"/>
      <c r="R47" s="2886"/>
      <c r="S47" s="2886"/>
      <c r="T47" s="2886"/>
      <c r="U47" s="2886"/>
      <c r="V47" s="2886"/>
      <c r="W47" s="2886"/>
      <c r="X47" s="2886"/>
      <c r="Y47" s="2886"/>
      <c r="Z47" s="2886"/>
      <c r="AA47" s="2886"/>
      <c r="AB47" s="2886"/>
      <c r="AC47" s="2886"/>
      <c r="AD47" s="2886"/>
    </row>
    <row r="48" spans="1:30" s="113" customFormat="1" ht="15.75" thickBot="1">
      <c r="A48" s="470" t="s">
        <v>2405</v>
      </c>
      <c r="B48" s="471"/>
      <c r="C48" s="472"/>
      <c r="D48" s="473"/>
      <c r="E48" s="473"/>
      <c r="F48" s="473"/>
      <c r="G48" s="473"/>
      <c r="H48" s="473"/>
      <c r="I48" s="473"/>
      <c r="J48" s="473"/>
      <c r="K48" s="473"/>
      <c r="L48" s="473"/>
      <c r="M48" s="474"/>
      <c r="N48" s="473"/>
      <c r="O48" s="475"/>
      <c r="P48" s="2966"/>
      <c r="Q48" s="2966"/>
      <c r="R48" s="2886"/>
      <c r="S48" s="2886"/>
      <c r="T48" s="2886"/>
      <c r="U48" s="2886"/>
      <c r="V48" s="2886"/>
      <c r="W48" s="2886"/>
      <c r="X48" s="2886"/>
      <c r="Y48" s="2886"/>
      <c r="Z48" s="2886"/>
      <c r="AA48" s="2886"/>
      <c r="AB48" s="2886"/>
      <c r="AC48" s="2886"/>
      <c r="AD48" s="2886"/>
    </row>
    <row r="49" spans="1:30" s="113" customFormat="1" ht="15">
      <c r="A49" s="476" t="s">
        <v>2370</v>
      </c>
      <c r="B49" s="465"/>
      <c r="C49" s="477" t="s">
        <v>2472</v>
      </c>
      <c r="D49" s="478"/>
      <c r="E49" s="478"/>
      <c r="F49" s="478"/>
      <c r="G49" s="478"/>
      <c r="H49" s="478"/>
      <c r="I49" s="478"/>
      <c r="J49" s="478"/>
      <c r="K49" s="478"/>
      <c r="L49" s="479"/>
      <c r="M49" s="480"/>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6"/>
      <c r="B50" s="465"/>
      <c r="C50" s="593">
        <v>100</v>
      </c>
      <c r="D50" s="467"/>
      <c r="E50" s="467"/>
      <c r="F50" s="467"/>
      <c r="G50" s="467"/>
      <c r="H50" s="467"/>
      <c r="I50" s="467"/>
      <c r="J50" s="467"/>
      <c r="K50" s="467"/>
      <c r="L50" s="467"/>
      <c r="M50" s="469"/>
      <c r="N50" s="2979"/>
      <c r="O50" s="2979"/>
      <c r="P50" s="2966"/>
      <c r="Q50" s="2966"/>
      <c r="R50" s="2886"/>
      <c r="S50" s="2886"/>
      <c r="T50" s="2886"/>
      <c r="U50" s="2886"/>
      <c r="V50" s="2886"/>
      <c r="W50" s="2886"/>
      <c r="X50" s="2886"/>
      <c r="Y50" s="2886"/>
      <c r="Z50" s="2886"/>
      <c r="AA50" s="2886"/>
      <c r="AB50" s="2886"/>
      <c r="AC50" s="2886"/>
      <c r="AD50" s="2886"/>
    </row>
    <row r="51" spans="1:30">
      <c r="A51" s="482" t="s">
        <v>2408</v>
      </c>
      <c r="B51" s="483" t="s">
        <v>2374</v>
      </c>
      <c r="C51" s="484">
        <f>C9</f>
        <v>0</v>
      </c>
      <c r="D51" s="485"/>
      <c r="E51" s="485"/>
      <c r="F51" s="485"/>
      <c r="G51" s="485"/>
      <c r="H51" s="485"/>
      <c r="I51" s="485"/>
      <c r="J51" s="485"/>
      <c r="K51" s="486"/>
      <c r="L51" s="487"/>
      <c r="M51" s="488"/>
      <c r="N51" s="2980"/>
      <c r="O51" s="2980"/>
      <c r="P51" s="3005"/>
      <c r="Q51" s="2966"/>
      <c r="R51" s="2952"/>
      <c r="S51" s="2952"/>
      <c r="T51" s="2952"/>
      <c r="U51" s="2952"/>
      <c r="V51" s="2952"/>
      <c r="W51" s="2952"/>
      <c r="X51" s="2952"/>
      <c r="Y51" s="2952"/>
      <c r="Z51" s="2952"/>
      <c r="AA51" s="2952"/>
      <c r="AB51" s="2952"/>
      <c r="AC51" s="2952"/>
      <c r="AD51" s="2952"/>
    </row>
    <row r="52" spans="1:30" ht="15.75" thickBot="1">
      <c r="A52" s="489"/>
      <c r="B52" s="490"/>
      <c r="C52" s="491">
        <v>100</v>
      </c>
      <c r="D52" s="491"/>
      <c r="E52" s="491"/>
      <c r="F52" s="491"/>
      <c r="G52" s="491"/>
      <c r="H52" s="491"/>
      <c r="I52" s="491"/>
      <c r="J52" s="491"/>
      <c r="K52" s="491"/>
      <c r="L52" s="491"/>
      <c r="M52" s="492"/>
      <c r="N52" s="2981"/>
      <c r="O52" s="2981"/>
      <c r="P52" s="3005"/>
      <c r="Q52" s="2966"/>
      <c r="R52" s="2952"/>
      <c r="S52" s="2952"/>
      <c r="T52" s="2952"/>
      <c r="U52" s="2952"/>
      <c r="V52" s="2952"/>
      <c r="W52" s="2952"/>
      <c r="X52" s="2952"/>
      <c r="Y52" s="2952"/>
      <c r="Z52" s="2952"/>
      <c r="AA52" s="2952"/>
      <c r="AB52" s="2952"/>
      <c r="AC52" s="2952"/>
      <c r="AD52" s="2952"/>
    </row>
    <row r="53" spans="1:30" ht="27.75" thickTop="1">
      <c r="A53" s="489"/>
      <c r="B53" s="493" t="s">
        <v>2377</v>
      </c>
      <c r="C53" s="494" t="s">
        <v>2409</v>
      </c>
      <c r="D53" s="494" t="s">
        <v>2410</v>
      </c>
      <c r="E53" s="494" t="s">
        <v>2411</v>
      </c>
      <c r="F53" s="494" t="s">
        <v>2412</v>
      </c>
      <c r="G53" s="494" t="s">
        <v>2413</v>
      </c>
      <c r="H53" s="494" t="s">
        <v>2414</v>
      </c>
      <c r="I53" s="494" t="s">
        <v>2415</v>
      </c>
      <c r="J53" s="494"/>
      <c r="K53" s="495"/>
      <c r="L53" s="496"/>
      <c r="M53" s="497"/>
      <c r="N53" s="2980"/>
      <c r="O53" s="2980"/>
      <c r="P53" s="3005"/>
      <c r="Q53" s="2966"/>
      <c r="R53" s="2952"/>
      <c r="S53" s="2952"/>
      <c r="T53" s="2952"/>
      <c r="U53" s="2952"/>
      <c r="V53" s="2952"/>
      <c r="W53" s="2952"/>
      <c r="X53" s="2952"/>
      <c r="Y53" s="2952"/>
      <c r="Z53" s="2952"/>
      <c r="AA53" s="2952"/>
      <c r="AB53" s="2952"/>
      <c r="AC53" s="2952"/>
      <c r="AD53" s="2952"/>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81"/>
      <c r="O54" s="2981"/>
      <c r="P54" s="3005"/>
      <c r="Q54" s="2966"/>
      <c r="R54" s="2952"/>
      <c r="S54" s="2952"/>
      <c r="T54" s="2952"/>
      <c r="U54" s="2952"/>
      <c r="V54" s="2952"/>
      <c r="W54" s="2952"/>
      <c r="X54" s="2952"/>
      <c r="Y54" s="2952"/>
      <c r="Z54" s="2952"/>
      <c r="AA54" s="2952"/>
      <c r="AB54" s="2952"/>
      <c r="AC54" s="2952"/>
      <c r="AD54" s="2952"/>
    </row>
    <row r="55" spans="1:30" ht="15.75" thickTop="1">
      <c r="A55" s="489"/>
      <c r="B55" s="614">
        <f>B11</f>
        <v>111</v>
      </c>
      <c r="C55" s="504"/>
      <c r="D55" s="504"/>
      <c r="E55" s="504"/>
      <c r="F55" s="504"/>
      <c r="G55" s="504"/>
      <c r="H55" s="504"/>
      <c r="I55" s="504"/>
      <c r="J55" s="504"/>
      <c r="K55" s="505"/>
      <c r="L55" s="506"/>
      <c r="M55" s="507"/>
      <c r="N55" s="2980"/>
      <c r="O55" s="2980"/>
      <c r="P55" s="3005"/>
      <c r="Q55" s="2966"/>
      <c r="R55" s="2952"/>
      <c r="S55" s="2952"/>
      <c r="T55" s="2952"/>
      <c r="U55" s="2952"/>
      <c r="V55" s="2952"/>
      <c r="W55" s="2952"/>
      <c r="X55" s="2952"/>
      <c r="Y55" s="2952"/>
      <c r="Z55" s="2952"/>
      <c r="AA55" s="2952"/>
      <c r="AB55" s="2952"/>
      <c r="AC55" s="2952"/>
      <c r="AD55" s="2952"/>
    </row>
    <row r="56" spans="1:30" ht="15.75" thickBot="1">
      <c r="A56" s="489"/>
      <c r="B56" s="490"/>
      <c r="C56" s="515"/>
      <c r="D56" s="491"/>
      <c r="E56" s="491"/>
      <c r="F56" s="491"/>
      <c r="G56" s="491"/>
      <c r="H56" s="491"/>
      <c r="I56" s="491"/>
      <c r="J56" s="491"/>
      <c r="K56" s="491"/>
      <c r="L56" s="491"/>
      <c r="M56" s="492"/>
      <c r="N56" s="2981"/>
      <c r="O56" s="2981"/>
      <c r="P56" s="3005"/>
      <c r="Q56" s="2966"/>
      <c r="R56" s="2952"/>
      <c r="S56" s="2952"/>
      <c r="T56" s="2952"/>
      <c r="U56" s="2952"/>
      <c r="V56" s="2952"/>
      <c r="W56" s="2952"/>
      <c r="X56" s="2952"/>
      <c r="Y56" s="2952"/>
      <c r="Z56" s="2952"/>
      <c r="AA56" s="2952"/>
      <c r="AB56" s="2952"/>
      <c r="AC56" s="2952"/>
      <c r="AD56" s="2952"/>
    </row>
    <row r="57" spans="1:30" s="428" customFormat="1" ht="15.75" thickTop="1">
      <c r="A57" s="508"/>
      <c r="B57" s="493">
        <f>B12</f>
        <v>111</v>
      </c>
      <c r="C57" s="504"/>
      <c r="D57" s="504"/>
      <c r="E57" s="504"/>
      <c r="F57" s="504"/>
      <c r="G57" s="509"/>
      <c r="H57" s="510"/>
      <c r="I57" s="510"/>
      <c r="J57" s="510"/>
      <c r="K57" s="510"/>
      <c r="L57" s="511"/>
      <c r="M57" s="512"/>
      <c r="N57" s="2982"/>
      <c r="O57" s="2982"/>
      <c r="P57" s="3006"/>
      <c r="Q57" s="2973"/>
      <c r="R57" s="2974"/>
      <c r="S57" s="2974"/>
      <c r="T57" s="2974"/>
      <c r="U57" s="2974"/>
      <c r="V57" s="2974"/>
      <c r="W57" s="2974"/>
      <c r="X57" s="2974"/>
      <c r="Y57" s="2974"/>
      <c r="Z57" s="2974"/>
      <c r="AA57" s="2974"/>
      <c r="AB57" s="2974"/>
      <c r="AC57" s="2974"/>
      <c r="AD57" s="2974"/>
    </row>
    <row r="58" spans="1:30" s="428" customFormat="1" ht="15.75" thickBot="1">
      <c r="A58" s="508"/>
      <c r="B58" s="498"/>
      <c r="C58" s="515"/>
      <c r="D58" s="491"/>
      <c r="E58" s="491"/>
      <c r="F58" s="491"/>
      <c r="G58" s="491"/>
      <c r="H58" s="491"/>
      <c r="I58" s="491"/>
      <c r="J58" s="491"/>
      <c r="K58" s="491"/>
      <c r="L58" s="491"/>
      <c r="M58" s="492"/>
      <c r="N58" s="2981"/>
      <c r="O58" s="2981"/>
      <c r="P58" s="3006"/>
      <c r="Q58" s="2973"/>
      <c r="R58" s="2974"/>
      <c r="S58" s="2974"/>
      <c r="T58" s="2974"/>
      <c r="U58" s="2974"/>
      <c r="V58" s="2974"/>
      <c r="W58" s="2974"/>
      <c r="X58" s="2974"/>
      <c r="Y58" s="2974"/>
      <c r="Z58" s="2974"/>
      <c r="AA58" s="2974"/>
      <c r="AB58" s="2974"/>
      <c r="AC58" s="2974"/>
      <c r="AD58" s="2974"/>
    </row>
    <row r="59" spans="1:30" s="428" customFormat="1" ht="15.75" thickTop="1">
      <c r="A59" s="508"/>
      <c r="B59" s="493">
        <f>B13</f>
        <v>111</v>
      </c>
      <c r="C59" s="504"/>
      <c r="D59" s="504"/>
      <c r="E59" s="504"/>
      <c r="F59" s="504"/>
      <c r="G59" s="509"/>
      <c r="H59" s="510"/>
      <c r="I59" s="510"/>
      <c r="J59" s="510"/>
      <c r="K59" s="510"/>
      <c r="L59" s="511"/>
      <c r="M59" s="512"/>
      <c r="N59" s="2982"/>
      <c r="O59" s="2982"/>
      <c r="P59" s="2950"/>
      <c r="Q59" s="2976"/>
      <c r="R59" s="2974"/>
      <c r="S59" s="2974"/>
      <c r="T59" s="2974"/>
      <c r="U59" s="2974"/>
      <c r="V59" s="2974"/>
      <c r="W59" s="2974"/>
      <c r="X59" s="2974"/>
      <c r="Y59" s="2974"/>
      <c r="Z59" s="2974"/>
      <c r="AA59" s="2974"/>
      <c r="AB59" s="2974"/>
      <c r="AC59" s="2974"/>
      <c r="AD59" s="2974"/>
    </row>
    <row r="60" spans="1:30" s="428" customFormat="1" ht="15.75" thickBot="1">
      <c r="A60" s="508"/>
      <c r="B60" s="498"/>
      <c r="C60" s="515"/>
      <c r="D60" s="515"/>
      <c r="E60" s="515"/>
      <c r="F60" s="515"/>
      <c r="G60" s="515"/>
      <c r="H60" s="517"/>
      <c r="I60" s="517"/>
      <c r="J60" s="517"/>
      <c r="K60" s="517"/>
      <c r="L60" s="517"/>
      <c r="M60" s="518"/>
      <c r="N60" s="2982"/>
      <c r="O60" s="2982"/>
      <c r="P60" s="3006"/>
      <c r="Q60" s="2973"/>
      <c r="R60" s="2974"/>
      <c r="S60" s="2974"/>
      <c r="T60" s="2974"/>
      <c r="U60" s="2974"/>
      <c r="V60" s="2974"/>
      <c r="W60" s="2974"/>
      <c r="X60" s="2974"/>
      <c r="Y60" s="2974"/>
      <c r="Z60" s="2974"/>
      <c r="AA60" s="2974"/>
      <c r="AB60" s="2974"/>
      <c r="AC60" s="2974"/>
      <c r="AD60" s="2974"/>
    </row>
    <row r="61" spans="1:30" ht="15" thickTop="1">
      <c r="A61" s="482" t="s">
        <v>2379</v>
      </c>
      <c r="B61" s="483" t="s">
        <v>2422</v>
      </c>
      <c r="C61" s="528" t="s">
        <v>2417</v>
      </c>
      <c r="D61" s="528" t="s">
        <v>2418</v>
      </c>
      <c r="E61" s="528" t="s">
        <v>2419</v>
      </c>
      <c r="F61" s="528" t="s">
        <v>2420</v>
      </c>
      <c r="G61" s="528" t="s">
        <v>2421</v>
      </c>
      <c r="H61" s="484"/>
      <c r="I61" s="484"/>
      <c r="J61" s="484"/>
      <c r="K61" s="529"/>
      <c r="L61" s="530"/>
      <c r="M61" s="531"/>
      <c r="N61" s="2980"/>
      <c r="O61" s="2980"/>
      <c r="P61" s="3007"/>
      <c r="Q61" s="2966"/>
      <c r="R61" s="2952"/>
      <c r="S61" s="2952"/>
      <c r="T61" s="2952"/>
      <c r="U61" s="2952"/>
      <c r="V61" s="2952"/>
      <c r="W61" s="2952"/>
      <c r="X61" s="2952"/>
      <c r="Y61" s="2952"/>
      <c r="Z61" s="2952"/>
      <c r="AA61" s="2952"/>
      <c r="AB61" s="2952"/>
      <c r="AC61" s="2952"/>
      <c r="AD61" s="2952"/>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81"/>
      <c r="O62" s="2981"/>
      <c r="P62" s="3005"/>
      <c r="Q62" s="2966"/>
      <c r="R62" s="2952"/>
      <c r="S62" s="2952"/>
      <c r="T62" s="2952"/>
      <c r="U62" s="2952"/>
      <c r="V62" s="2952"/>
      <c r="W62" s="2952"/>
      <c r="X62" s="2952"/>
      <c r="Y62" s="2952"/>
      <c r="Z62" s="2952"/>
      <c r="AA62" s="2952"/>
      <c r="AB62" s="2952"/>
      <c r="AC62" s="2952"/>
      <c r="AD62" s="2952"/>
    </row>
    <row r="63" spans="1:30" ht="27.75" thickTop="1">
      <c r="A63" s="489"/>
      <c r="B63" s="493" t="s">
        <v>2560</v>
      </c>
      <c r="C63" s="533" t="s">
        <v>2417</v>
      </c>
      <c r="D63" s="533" t="s">
        <v>2418</v>
      </c>
      <c r="E63" s="533" t="s">
        <v>2419</v>
      </c>
      <c r="F63" s="533" t="s">
        <v>2420</v>
      </c>
      <c r="G63" s="533" t="s">
        <v>2421</v>
      </c>
      <c r="H63" s="494"/>
      <c r="I63" s="494"/>
      <c r="J63" s="494"/>
      <c r="K63" s="495"/>
      <c r="L63" s="496"/>
      <c r="M63" s="497"/>
      <c r="N63" s="2980"/>
      <c r="O63" s="2980"/>
      <c r="P63" s="3005"/>
      <c r="Q63" s="2966"/>
      <c r="R63" s="2952"/>
      <c r="S63" s="2952"/>
      <c r="T63" s="2952"/>
      <c r="U63" s="2952"/>
      <c r="V63" s="2952"/>
      <c r="W63" s="2952"/>
      <c r="X63" s="2952"/>
      <c r="Y63" s="2952"/>
      <c r="Z63" s="2952"/>
      <c r="AA63" s="2952"/>
      <c r="AB63" s="2952"/>
      <c r="AC63" s="2952"/>
      <c r="AD63" s="2952"/>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81"/>
      <c r="O64" s="2981"/>
      <c r="P64" s="3005"/>
      <c r="Q64" s="2966"/>
      <c r="R64" s="2952"/>
      <c r="S64" s="2952"/>
      <c r="T64" s="2952"/>
      <c r="U64" s="2952"/>
      <c r="V64" s="2952"/>
      <c r="W64" s="2952"/>
      <c r="X64" s="2952"/>
      <c r="Y64" s="2952"/>
      <c r="Z64" s="2952"/>
      <c r="AA64" s="2952"/>
      <c r="AB64" s="2952"/>
      <c r="AC64" s="2952"/>
      <c r="AD64" s="2952"/>
    </row>
    <row r="65" spans="1:30" ht="15.75" thickTop="1">
      <c r="A65" s="489"/>
      <c r="B65" s="501" t="s">
        <v>2509</v>
      </c>
      <c r="C65" s="614" t="s">
        <v>2495</v>
      </c>
      <c r="D65" s="614" t="s">
        <v>2496</v>
      </c>
      <c r="E65" s="614" t="s">
        <v>2497</v>
      </c>
      <c r="F65" s="614" t="s">
        <v>2498</v>
      </c>
      <c r="G65" s="614" t="s">
        <v>2499</v>
      </c>
      <c r="H65" s="494"/>
      <c r="I65" s="494"/>
      <c r="J65" s="494"/>
      <c r="K65" s="494"/>
      <c r="L65" s="494"/>
      <c r="M65" s="1288"/>
      <c r="N65" s="2981"/>
      <c r="O65" s="2981"/>
      <c r="P65" s="3005"/>
      <c r="Q65" s="2966"/>
      <c r="R65" s="2952"/>
      <c r="S65" s="2952"/>
      <c r="T65" s="2952"/>
      <c r="U65" s="2952"/>
      <c r="V65" s="2952"/>
      <c r="W65" s="2952"/>
      <c r="X65" s="2952"/>
      <c r="Y65" s="2952"/>
      <c r="Z65" s="2952"/>
      <c r="AA65" s="2952"/>
      <c r="AB65" s="2952"/>
      <c r="AC65" s="2952"/>
      <c r="AD65" s="2952"/>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81"/>
      <c r="O66" s="2981"/>
      <c r="P66" s="3005"/>
      <c r="Q66" s="2966"/>
      <c r="R66" s="2952"/>
      <c r="S66" s="2952"/>
      <c r="T66" s="2952"/>
      <c r="U66" s="2952"/>
      <c r="V66" s="2952"/>
      <c r="W66" s="2952"/>
      <c r="X66" s="2952"/>
      <c r="Y66" s="2952"/>
      <c r="Z66" s="2952"/>
      <c r="AA66" s="2952"/>
      <c r="AB66" s="2952"/>
      <c r="AC66" s="2952"/>
      <c r="AD66" s="2952"/>
    </row>
    <row r="67" spans="1:30" ht="15.75" thickTop="1">
      <c r="A67" s="489"/>
      <c r="B67" s="493" t="s">
        <v>2429</v>
      </c>
      <c r="C67" s="533" t="s">
        <v>2417</v>
      </c>
      <c r="D67" s="533" t="s">
        <v>2418</v>
      </c>
      <c r="E67" s="533" t="s">
        <v>2419</v>
      </c>
      <c r="F67" s="533" t="s">
        <v>2420</v>
      </c>
      <c r="G67" s="533" t="s">
        <v>2421</v>
      </c>
      <c r="H67" s="494"/>
      <c r="I67" s="494"/>
      <c r="J67" s="494"/>
      <c r="K67" s="495"/>
      <c r="L67" s="496"/>
      <c r="M67" s="497"/>
      <c r="N67" s="2980"/>
      <c r="O67" s="2980"/>
      <c r="P67" s="3005"/>
      <c r="Q67" s="2966"/>
      <c r="R67" s="2952"/>
      <c r="S67" s="2952"/>
      <c r="T67" s="2952"/>
      <c r="U67" s="2952"/>
      <c r="V67" s="2952"/>
      <c r="W67" s="2952"/>
      <c r="X67" s="2952"/>
      <c r="Y67" s="2952"/>
      <c r="Z67" s="2952"/>
      <c r="AA67" s="2952"/>
      <c r="AB67" s="2952"/>
      <c r="AC67" s="2952"/>
      <c r="AD67" s="2952"/>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81"/>
      <c r="O68" s="2981"/>
      <c r="P68" s="3005"/>
      <c r="Q68" s="2966"/>
      <c r="R68" s="2952"/>
      <c r="S68" s="2952"/>
      <c r="T68" s="2952"/>
      <c r="U68" s="2952"/>
      <c r="V68" s="2952"/>
      <c r="W68" s="2952"/>
      <c r="X68" s="2952"/>
      <c r="Y68" s="2952"/>
      <c r="Z68" s="2952"/>
      <c r="AA68" s="2952"/>
      <c r="AB68" s="2952"/>
      <c r="AC68" s="2952"/>
      <c r="AD68" s="2952"/>
    </row>
    <row r="69" spans="1:30" ht="15.75" thickTop="1">
      <c r="A69" s="489"/>
      <c r="B69" s="493" t="s">
        <v>2549</v>
      </c>
      <c r="C69" s="509"/>
      <c r="D69" s="509"/>
      <c r="E69" s="509"/>
      <c r="F69" s="509"/>
      <c r="G69" s="509"/>
      <c r="H69" s="538"/>
      <c r="I69" s="538"/>
      <c r="J69" s="538"/>
      <c r="K69" s="539"/>
      <c r="L69" s="540"/>
      <c r="M69" s="541"/>
      <c r="N69" s="2980"/>
      <c r="O69" s="2980"/>
      <c r="P69" s="3005"/>
      <c r="Q69" s="2966"/>
      <c r="R69" s="2952"/>
      <c r="S69" s="2952"/>
      <c r="T69" s="2952"/>
      <c r="U69" s="2952"/>
      <c r="V69" s="2952"/>
      <c r="W69" s="2952"/>
      <c r="X69" s="2952"/>
      <c r="Y69" s="2952"/>
      <c r="Z69" s="2952"/>
      <c r="AA69" s="2952"/>
      <c r="AB69" s="2952"/>
      <c r="AC69" s="2952"/>
      <c r="AD69" s="2952"/>
    </row>
    <row r="70" spans="1:30" ht="15.75" thickBot="1">
      <c r="A70" s="489"/>
      <c r="B70" s="498"/>
      <c r="C70" s="499">
        <v>100</v>
      </c>
      <c r="D70" s="499">
        <f>C70-$K22</f>
        <v>100</v>
      </c>
      <c r="E70" s="499"/>
      <c r="F70" s="499"/>
      <c r="G70" s="499"/>
      <c r="H70" s="499"/>
      <c r="I70" s="499"/>
      <c r="J70" s="499"/>
      <c r="K70" s="499"/>
      <c r="L70" s="499"/>
      <c r="M70" s="500"/>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4"/>
      <c r="B71" s="493">
        <f>B23</f>
        <v>111</v>
      </c>
      <c r="C71" s="504"/>
      <c r="D71" s="504"/>
      <c r="E71" s="504"/>
      <c r="F71" s="504"/>
      <c r="G71" s="509"/>
      <c r="H71" s="509"/>
      <c r="I71" s="509"/>
      <c r="J71" s="509"/>
      <c r="K71" s="509"/>
      <c r="L71" s="535"/>
      <c r="M71" s="536"/>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4"/>
      <c r="B72" s="498"/>
      <c r="C72" s="515"/>
      <c r="D72" s="491"/>
      <c r="E72" s="491"/>
      <c r="F72" s="491"/>
      <c r="G72" s="491"/>
      <c r="H72" s="491"/>
      <c r="I72" s="491"/>
      <c r="J72" s="491"/>
      <c r="K72" s="491"/>
      <c r="L72" s="491"/>
      <c r="M72" s="492"/>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4"/>
      <c r="B73" s="493">
        <f>B24</f>
        <v>111</v>
      </c>
      <c r="C73" s="504"/>
      <c r="D73" s="504"/>
      <c r="E73" s="504"/>
      <c r="F73" s="504"/>
      <c r="G73" s="509"/>
      <c r="H73" s="509"/>
      <c r="I73" s="509"/>
      <c r="J73" s="509"/>
      <c r="K73" s="509"/>
      <c r="L73" s="509"/>
      <c r="M73" s="536"/>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4"/>
      <c r="B74" s="498"/>
      <c r="C74" s="515"/>
      <c r="D74" s="491"/>
      <c r="E74" s="491"/>
      <c r="F74" s="491"/>
      <c r="G74" s="491"/>
      <c r="H74" s="491"/>
      <c r="I74" s="491"/>
      <c r="J74" s="491"/>
      <c r="K74" s="491"/>
      <c r="L74" s="491"/>
      <c r="M74" s="492"/>
      <c r="N74" s="2981"/>
      <c r="O74" s="2981"/>
      <c r="P74" s="3005"/>
      <c r="Q74" s="2966"/>
      <c r="R74" s="2886"/>
      <c r="S74" s="2886"/>
      <c r="T74" s="2886"/>
      <c r="U74" s="2886"/>
      <c r="V74" s="2886"/>
      <c r="W74" s="2886"/>
      <c r="X74" s="2886"/>
      <c r="Y74" s="2886"/>
      <c r="Z74" s="2886"/>
      <c r="AA74" s="2886"/>
      <c r="AB74" s="2886"/>
      <c r="AC74" s="2886"/>
      <c r="AD74" s="2886"/>
    </row>
    <row r="75" spans="1:30" s="428" customFormat="1" ht="15.75" thickTop="1">
      <c r="A75" s="508"/>
      <c r="B75" s="493">
        <f>B25</f>
        <v>111</v>
      </c>
      <c r="C75" s="504"/>
      <c r="D75" s="504"/>
      <c r="E75" s="504"/>
      <c r="F75" s="504"/>
      <c r="G75" s="509"/>
      <c r="H75" s="510"/>
      <c r="I75" s="510"/>
      <c r="J75" s="510"/>
      <c r="K75" s="510"/>
      <c r="L75" s="511"/>
      <c r="M75" s="512"/>
      <c r="N75" s="2982"/>
      <c r="O75" s="2982"/>
      <c r="P75" s="3006"/>
      <c r="Q75" s="2973"/>
      <c r="R75" s="2974"/>
      <c r="S75" s="2974"/>
      <c r="T75" s="2974"/>
      <c r="U75" s="2974"/>
      <c r="V75" s="2974"/>
      <c r="W75" s="2974"/>
      <c r="X75" s="2974"/>
      <c r="Y75" s="2974"/>
      <c r="Z75" s="2974"/>
      <c r="AA75" s="2974"/>
      <c r="AB75" s="2974"/>
      <c r="AC75" s="2974"/>
      <c r="AD75" s="2974"/>
    </row>
    <row r="76" spans="1:30" s="428" customFormat="1" ht="15.75" thickBot="1">
      <c r="A76" s="508"/>
      <c r="B76" s="498"/>
      <c r="C76" s="515"/>
      <c r="D76" s="515"/>
      <c r="E76" s="515"/>
      <c r="F76" s="515"/>
      <c r="G76" s="491"/>
      <c r="H76" s="491"/>
      <c r="I76" s="491"/>
      <c r="J76" s="491"/>
      <c r="K76" s="491"/>
      <c r="L76" s="491"/>
      <c r="M76" s="492"/>
      <c r="N76" s="2982"/>
      <c r="O76" s="2982"/>
      <c r="P76" s="3006"/>
      <c r="Q76" s="2973"/>
      <c r="R76" s="2974"/>
      <c r="S76" s="2974"/>
      <c r="T76" s="2974"/>
      <c r="U76" s="2974"/>
      <c r="V76" s="2974"/>
      <c r="W76" s="2974"/>
      <c r="X76" s="2974"/>
      <c r="Y76" s="2974"/>
      <c r="Z76" s="2974"/>
      <c r="AA76" s="2974"/>
      <c r="AB76" s="2974"/>
      <c r="AC76" s="2974"/>
      <c r="AD76" s="2974"/>
    </row>
    <row r="77" spans="1:30" ht="15" thickTop="1">
      <c r="A77" s="482" t="s">
        <v>2383</v>
      </c>
      <c r="B77" s="483" t="s">
        <v>2436</v>
      </c>
      <c r="C77" s="509"/>
      <c r="D77" s="509"/>
      <c r="E77" s="485"/>
      <c r="F77" s="485"/>
      <c r="G77" s="485"/>
      <c r="H77" s="485"/>
      <c r="I77" s="485"/>
      <c r="J77" s="485"/>
      <c r="K77" s="486"/>
      <c r="L77" s="487"/>
      <c r="M77" s="488"/>
      <c r="N77" s="2980"/>
      <c r="O77" s="2980"/>
      <c r="P77" s="3005"/>
      <c r="Q77" s="2966"/>
      <c r="R77" s="2952"/>
      <c r="S77" s="2952"/>
      <c r="T77" s="2952"/>
      <c r="U77" s="2952"/>
      <c r="V77" s="2952"/>
      <c r="W77" s="2952"/>
      <c r="X77" s="2952"/>
      <c r="Y77" s="2952"/>
      <c r="Z77" s="2952"/>
      <c r="AA77" s="2952"/>
      <c r="AB77" s="2952"/>
      <c r="AC77" s="2952"/>
      <c r="AD77" s="2952"/>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89"/>
      <c r="B79" s="493" t="s">
        <v>2552</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79"/>
      <c r="O79" s="2979"/>
      <c r="P79" s="3005"/>
      <c r="Q79" s="2966"/>
      <c r="R79" s="2952"/>
      <c r="S79" s="2952"/>
      <c r="T79" s="2952"/>
      <c r="U79" s="2952"/>
      <c r="V79" s="2952"/>
      <c r="W79" s="2952"/>
      <c r="X79" s="2952"/>
      <c r="Y79" s="2952"/>
      <c r="Z79" s="2952"/>
      <c r="AA79" s="2952"/>
      <c r="AB79" s="2952"/>
      <c r="AC79" s="2952"/>
      <c r="AD79" s="2952"/>
    </row>
    <row r="80" spans="1:30" ht="15">
      <c r="A80" s="489"/>
      <c r="B80" s="501"/>
      <c r="C80" s="558">
        <v>0.5</v>
      </c>
      <c r="D80" s="558">
        <v>0.6</v>
      </c>
      <c r="E80" s="558">
        <v>0.7</v>
      </c>
      <c r="F80" s="558">
        <v>0.8</v>
      </c>
      <c r="G80" s="558">
        <v>0.9</v>
      </c>
      <c r="H80" s="558">
        <v>1.0001</v>
      </c>
      <c r="I80" s="614"/>
      <c r="J80" s="614"/>
      <c r="K80" s="622"/>
      <c r="L80" s="623"/>
      <c r="M80" s="624"/>
      <c r="N80" s="2979"/>
      <c r="O80" s="2979"/>
      <c r="P80" s="3005"/>
      <c r="Q80" s="2966"/>
      <c r="R80" s="2952"/>
      <c r="S80" s="2952"/>
      <c r="T80" s="2952"/>
      <c r="U80" s="2952"/>
      <c r="V80" s="2952"/>
      <c r="W80" s="2952"/>
      <c r="X80" s="2952"/>
      <c r="Y80" s="2952"/>
      <c r="Z80" s="2952"/>
      <c r="AA80" s="2952"/>
      <c r="AB80" s="2952"/>
      <c r="AC80" s="2952"/>
      <c r="AD80" s="2952"/>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4"/>
      <c r="B82" s="501" t="s">
        <v>2553</v>
      </c>
      <c r="C82" s="509"/>
      <c r="D82" s="509"/>
      <c r="E82" s="538"/>
      <c r="F82" s="538"/>
      <c r="G82" s="538"/>
      <c r="H82" s="538"/>
      <c r="I82" s="538"/>
      <c r="J82" s="538"/>
      <c r="K82" s="539"/>
      <c r="L82" s="540"/>
      <c r="M82" s="541"/>
      <c r="N82" s="2980"/>
      <c r="O82" s="2980"/>
      <c r="P82" s="3005"/>
      <c r="Q82" s="2966"/>
      <c r="R82" s="2952"/>
      <c r="S82" s="2952"/>
      <c r="T82" s="2952"/>
      <c r="U82" s="2952"/>
      <c r="V82" s="2952"/>
      <c r="W82" s="2952"/>
      <c r="X82" s="2952"/>
      <c r="Y82" s="2952"/>
      <c r="Z82" s="2952"/>
      <c r="AA82" s="2952"/>
      <c r="AB82" s="2952"/>
      <c r="AC82" s="2952"/>
      <c r="AD82" s="2952"/>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4"/>
      <c r="B84" s="493" t="s">
        <v>2561</v>
      </c>
      <c r="C84" s="509"/>
      <c r="D84" s="509"/>
      <c r="E84" s="509"/>
      <c r="F84" s="509"/>
      <c r="G84" s="509"/>
      <c r="H84" s="509"/>
      <c r="I84" s="538"/>
      <c r="J84" s="538"/>
      <c r="K84" s="539"/>
      <c r="L84" s="540"/>
      <c r="M84" s="541"/>
      <c r="N84" s="2980"/>
      <c r="O84" s="2980"/>
      <c r="P84" s="3005"/>
      <c r="Q84" s="2966"/>
      <c r="R84" s="2952"/>
      <c r="S84" s="2952"/>
      <c r="T84" s="2952"/>
      <c r="U84" s="2952"/>
      <c r="V84" s="2952"/>
      <c r="W84" s="2952"/>
      <c r="X84" s="2952"/>
      <c r="Y84" s="2952"/>
      <c r="Z84" s="2952"/>
      <c r="AA84" s="2952"/>
      <c r="AB84" s="2952"/>
      <c r="AC84" s="2952"/>
      <c r="AD84" s="2952"/>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4"/>
      <c r="B86" s="501" t="s">
        <v>2562</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4"/>
      <c r="B87" s="501"/>
      <c r="C87" s="550"/>
      <c r="D87" s="550"/>
      <c r="E87" s="550"/>
      <c r="F87" s="550"/>
      <c r="G87" s="550"/>
      <c r="H87" s="550"/>
      <c r="I87" s="550"/>
      <c r="J87" s="551"/>
      <c r="K87" s="551"/>
      <c r="L87" s="552"/>
      <c r="M87" s="553"/>
      <c r="N87" s="2980"/>
      <c r="O87" s="2980"/>
      <c r="P87" s="3005"/>
      <c r="Q87" s="2966"/>
      <c r="R87" s="2952"/>
      <c r="S87" s="2952"/>
      <c r="T87" s="2952"/>
      <c r="U87" s="2952"/>
      <c r="V87" s="2952"/>
      <c r="W87" s="2952"/>
      <c r="X87" s="2952"/>
      <c r="Y87" s="2952"/>
      <c r="Z87" s="2952"/>
      <c r="AA87" s="2952"/>
      <c r="AB87" s="2952"/>
      <c r="AC87" s="2952"/>
      <c r="AD87" s="2952"/>
    </row>
    <row r="88" spans="1:30" ht="15.75" thickBot="1">
      <c r="A88" s="489"/>
      <c r="B88" s="498"/>
      <c r="C88" s="515"/>
      <c r="D88" s="491"/>
      <c r="E88" s="491"/>
      <c r="F88" s="491"/>
      <c r="G88" s="491"/>
      <c r="H88" s="491"/>
      <c r="I88" s="491"/>
      <c r="J88" s="491"/>
      <c r="K88" s="491"/>
      <c r="L88" s="491"/>
      <c r="M88" s="491"/>
      <c r="N88" s="2981"/>
      <c r="O88" s="2981"/>
      <c r="P88" s="3005"/>
      <c r="Q88" s="2966"/>
      <c r="R88" s="2952"/>
      <c r="S88" s="2952"/>
      <c r="T88" s="2952"/>
      <c r="U88" s="2952"/>
      <c r="V88" s="2952"/>
      <c r="W88" s="2952"/>
      <c r="X88" s="2952"/>
      <c r="Y88" s="2952"/>
      <c r="Z88" s="2952"/>
      <c r="AA88" s="2952"/>
      <c r="AB88" s="2952"/>
      <c r="AC88" s="2952"/>
      <c r="AD88" s="2952"/>
    </row>
    <row r="89" spans="1:30" s="428" customFormat="1" ht="15" thickTop="1">
      <c r="A89" s="548"/>
      <c r="B89" s="493" t="s">
        <v>2563</v>
      </c>
      <c r="C89" s="509"/>
      <c r="D89" s="509"/>
      <c r="E89" s="509"/>
      <c r="F89" s="509"/>
      <c r="G89" s="509"/>
      <c r="H89" s="509"/>
      <c r="I89" s="509"/>
      <c r="J89" s="509"/>
      <c r="K89" s="509"/>
      <c r="L89" s="509"/>
      <c r="M89" s="536"/>
      <c r="N89" s="2982"/>
      <c r="O89" s="2982"/>
      <c r="P89" s="3006"/>
      <c r="Q89" s="2973"/>
      <c r="R89" s="2974"/>
      <c r="S89" s="2974"/>
      <c r="T89" s="2974"/>
      <c r="U89" s="2974"/>
      <c r="V89" s="2974"/>
      <c r="W89" s="2974"/>
      <c r="X89" s="2974"/>
      <c r="Y89" s="2974"/>
      <c r="Z89" s="2974"/>
      <c r="AA89" s="2974"/>
      <c r="AB89" s="2974"/>
      <c r="AC89" s="2974"/>
      <c r="AD89" s="2974"/>
    </row>
    <row r="90" spans="1:30" s="428" customFormat="1" ht="15.75" thickBot="1">
      <c r="A90" s="508"/>
      <c r="B90" s="498"/>
      <c r="C90" s="515"/>
      <c r="D90" s="491"/>
      <c r="E90" s="491"/>
      <c r="F90" s="491"/>
      <c r="G90" s="491"/>
      <c r="H90" s="491"/>
      <c r="I90" s="491"/>
      <c r="J90" s="491"/>
      <c r="K90" s="491"/>
      <c r="L90" s="491"/>
      <c r="M90" s="492"/>
      <c r="N90" s="2982"/>
      <c r="O90" s="2982"/>
      <c r="P90" s="3006"/>
      <c r="Q90" s="2973"/>
      <c r="R90" s="2974"/>
      <c r="S90" s="2974"/>
      <c r="T90" s="2974"/>
      <c r="U90" s="2974"/>
      <c r="V90" s="2974"/>
      <c r="W90" s="2974"/>
      <c r="X90" s="2974"/>
      <c r="Y90" s="2974"/>
      <c r="Z90" s="2974"/>
      <c r="AA90" s="2974"/>
      <c r="AB90" s="2974"/>
      <c r="AC90" s="2974"/>
      <c r="AD90" s="2974"/>
    </row>
    <row r="91" spans="1:30" ht="15" thickTop="1">
      <c r="A91" s="554"/>
      <c r="B91" s="493">
        <f>B32</f>
        <v>111</v>
      </c>
      <c r="C91" s="504"/>
      <c r="D91" s="504"/>
      <c r="E91" s="504"/>
      <c r="F91" s="504"/>
      <c r="G91" s="509"/>
      <c r="H91" s="510"/>
      <c r="I91" s="510"/>
      <c r="J91" s="510"/>
      <c r="K91" s="510"/>
      <c r="L91" s="511"/>
      <c r="M91" s="512"/>
      <c r="N91" s="2980"/>
      <c r="O91" s="2980"/>
      <c r="P91" s="3005"/>
      <c r="Q91" s="2966"/>
      <c r="R91" s="2952"/>
      <c r="S91" s="2952"/>
      <c r="T91" s="2952"/>
      <c r="U91" s="2952"/>
      <c r="V91" s="2952"/>
      <c r="W91" s="2952"/>
      <c r="X91" s="2952"/>
      <c r="Y91" s="2952"/>
      <c r="Z91" s="2952"/>
      <c r="AA91" s="2952"/>
      <c r="AB91" s="2952"/>
      <c r="AC91" s="2952"/>
      <c r="AD91" s="2952"/>
    </row>
    <row r="92" spans="1:30" ht="15.75" thickBot="1">
      <c r="A92" s="489"/>
      <c r="B92" s="498"/>
      <c r="C92" s="515"/>
      <c r="D92" s="491"/>
      <c r="E92" s="491"/>
      <c r="F92" s="491"/>
      <c r="G92" s="515"/>
      <c r="H92" s="517"/>
      <c r="I92" s="517"/>
      <c r="J92" s="517"/>
      <c r="K92" s="517"/>
      <c r="L92" s="517"/>
      <c r="M92" s="518"/>
      <c r="N92" s="2981"/>
      <c r="O92" s="2981"/>
      <c r="P92" s="3005"/>
      <c r="Q92" s="2966"/>
      <c r="R92" s="2952"/>
      <c r="S92" s="2952"/>
      <c r="T92" s="2952"/>
      <c r="U92" s="2952"/>
      <c r="V92" s="2952"/>
      <c r="W92" s="2952"/>
      <c r="X92" s="2952"/>
      <c r="Y92" s="2952"/>
      <c r="Z92" s="2952"/>
      <c r="AA92" s="2952"/>
      <c r="AB92" s="2952"/>
      <c r="AC92" s="2952"/>
      <c r="AD92" s="2952"/>
    </row>
    <row r="93" spans="1:30" ht="15" thickTop="1">
      <c r="A93" s="554"/>
      <c r="B93" s="493">
        <f>B33</f>
        <v>111</v>
      </c>
      <c r="C93" s="504"/>
      <c r="D93" s="504"/>
      <c r="E93" s="504"/>
      <c r="F93" s="504"/>
      <c r="G93" s="509"/>
      <c r="H93" s="510"/>
      <c r="I93" s="510"/>
      <c r="J93" s="510"/>
      <c r="K93" s="510"/>
      <c r="L93" s="511"/>
      <c r="M93" s="512"/>
      <c r="N93" s="2980"/>
      <c r="O93" s="2980"/>
      <c r="P93" s="3005"/>
      <c r="Q93" s="2966"/>
      <c r="R93" s="2952"/>
      <c r="S93" s="2952"/>
      <c r="T93" s="2952"/>
      <c r="U93" s="2952"/>
      <c r="V93" s="2952"/>
      <c r="W93" s="2952"/>
      <c r="X93" s="2952"/>
      <c r="Y93" s="2952"/>
      <c r="Z93" s="2952"/>
      <c r="AA93" s="2952"/>
      <c r="AB93" s="2952"/>
      <c r="AC93" s="2952"/>
      <c r="AD93" s="2952"/>
    </row>
    <row r="94" spans="1:30" ht="15.75" thickBot="1">
      <c r="A94" s="489"/>
      <c r="B94" s="498"/>
      <c r="C94" s="515"/>
      <c r="D94" s="491"/>
      <c r="E94" s="491"/>
      <c r="F94" s="491"/>
      <c r="G94" s="515"/>
      <c r="H94" s="517"/>
      <c r="I94" s="517"/>
      <c r="J94" s="517"/>
      <c r="K94" s="517"/>
      <c r="L94" s="517"/>
      <c r="M94" s="518"/>
      <c r="N94" s="2981"/>
      <c r="O94" s="2981"/>
      <c r="P94" s="3005"/>
      <c r="Q94" s="2966"/>
      <c r="R94" s="2952"/>
      <c r="S94" s="2952"/>
      <c r="T94" s="2952"/>
      <c r="U94" s="2952"/>
      <c r="V94" s="2952"/>
      <c r="W94" s="2952"/>
      <c r="X94" s="2952"/>
      <c r="Y94" s="2952"/>
      <c r="Z94" s="2952"/>
      <c r="AA94" s="2952"/>
      <c r="AB94" s="2952"/>
      <c r="AC94" s="2952"/>
      <c r="AD94" s="2952"/>
    </row>
    <row r="95" spans="1:30" ht="15" thickTop="1">
      <c r="A95" s="554"/>
      <c r="B95" s="590">
        <f>B34</f>
        <v>111</v>
      </c>
      <c r="C95" s="504"/>
      <c r="D95" s="504"/>
      <c r="E95" s="504"/>
      <c r="F95" s="504"/>
      <c r="G95" s="509"/>
      <c r="H95" s="510"/>
      <c r="I95" s="510"/>
      <c r="J95" s="510"/>
      <c r="K95" s="510"/>
      <c r="L95" s="511"/>
      <c r="M95" s="512"/>
      <c r="N95" s="2981"/>
      <c r="O95" s="2981"/>
      <c r="P95" s="3008"/>
      <c r="Q95" s="2995"/>
      <c r="R95" s="2952"/>
      <c r="S95" s="2952"/>
      <c r="T95" s="2952"/>
      <c r="U95" s="2952"/>
      <c r="V95" s="2952"/>
      <c r="W95" s="2952"/>
      <c r="X95" s="2952"/>
      <c r="Y95" s="2952"/>
      <c r="Z95" s="2952"/>
      <c r="AA95" s="2952"/>
      <c r="AB95" s="2952"/>
      <c r="AC95" s="2952"/>
      <c r="AD95" s="2952"/>
    </row>
    <row r="96" spans="1:30" ht="15.75" thickBot="1">
      <c r="A96" s="489"/>
      <c r="B96" s="498"/>
      <c r="C96" s="515"/>
      <c r="D96" s="515"/>
      <c r="E96" s="515"/>
      <c r="F96" s="515"/>
      <c r="G96" s="515"/>
      <c r="H96" s="517"/>
      <c r="I96" s="517"/>
      <c r="J96" s="517"/>
      <c r="K96" s="517"/>
      <c r="L96" s="517"/>
      <c r="M96" s="518"/>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4"/>
      <c r="B98" s="1064"/>
      <c r="C98" s="1064"/>
      <c r="D98" s="1064"/>
      <c r="E98" s="1064"/>
      <c r="F98" s="1064"/>
      <c r="G98" s="1064"/>
      <c r="H98" s="1064"/>
      <c r="I98" s="1064"/>
      <c r="J98" s="1064"/>
      <c r="K98" s="1065"/>
      <c r="L98" s="1066"/>
      <c r="M98" s="1064"/>
      <c r="N98" s="2952"/>
      <c r="O98" s="2952"/>
      <c r="P98" s="2952"/>
      <c r="Q98" s="2952"/>
      <c r="R98" s="2952"/>
      <c r="S98" s="2952"/>
      <c r="T98" s="2952"/>
      <c r="U98" s="2952"/>
      <c r="V98" s="2952"/>
      <c r="W98" s="2952"/>
      <c r="X98" s="2952"/>
      <c r="Y98" s="2952"/>
      <c r="Z98" s="2952"/>
      <c r="AA98" s="2952"/>
      <c r="AB98" s="2952"/>
      <c r="AC98" s="2952"/>
      <c r="AD98" s="2952"/>
    </row>
    <row r="99" spans="1:30">
      <c r="A99" s="1064"/>
      <c r="B99" s="1064"/>
      <c r="C99" s="1064"/>
      <c r="D99" s="1064"/>
      <c r="E99" s="1064"/>
      <c r="F99" s="1064"/>
      <c r="G99" s="1064"/>
      <c r="H99" s="1064"/>
      <c r="I99" s="1064"/>
      <c r="J99" s="1064"/>
      <c r="K99" s="1065"/>
      <c r="L99" s="1066"/>
      <c r="M99" s="1064"/>
      <c r="N99" s="2952"/>
      <c r="O99" s="2952"/>
      <c r="P99" s="2952"/>
      <c r="Q99" s="2952"/>
      <c r="R99" s="2952"/>
      <c r="S99" s="2952"/>
      <c r="T99" s="2952"/>
      <c r="U99" s="2952"/>
      <c r="V99" s="2952"/>
      <c r="W99" s="2952"/>
      <c r="X99" s="2952"/>
      <c r="Y99" s="2952"/>
      <c r="Z99" s="2952"/>
      <c r="AA99" s="2952"/>
      <c r="AB99" s="2952"/>
      <c r="AC99" s="2952"/>
      <c r="AD99" s="2952"/>
    </row>
    <row r="100" spans="1:30">
      <c r="A100" s="1064"/>
      <c r="B100" s="1064"/>
      <c r="C100" s="1064"/>
      <c r="D100" s="1064"/>
      <c r="E100" s="1064"/>
      <c r="F100" s="1064"/>
      <c r="G100" s="1064"/>
      <c r="H100" s="1064"/>
      <c r="I100" s="1064"/>
      <c r="J100" s="1064"/>
      <c r="K100" s="1065"/>
      <c r="L100" s="1066"/>
      <c r="M100" s="1064"/>
      <c r="N100" s="2952"/>
      <c r="O100" s="2952"/>
      <c r="P100" s="2952"/>
      <c r="Q100" s="2952"/>
      <c r="R100" s="2952"/>
      <c r="S100" s="2952"/>
      <c r="T100" s="2952"/>
      <c r="U100" s="2952"/>
      <c r="V100" s="2952"/>
      <c r="W100" s="2952"/>
      <c r="X100" s="2952"/>
      <c r="Y100" s="2952"/>
      <c r="Z100" s="2952"/>
      <c r="AA100" s="2952"/>
      <c r="AB100" s="2952"/>
      <c r="AC100" s="2952"/>
      <c r="AD100" s="2952"/>
    </row>
    <row r="101" spans="1:30">
      <c r="A101" s="1064"/>
      <c r="B101" s="1064"/>
      <c r="C101" s="1064"/>
      <c r="D101" s="1064"/>
      <c r="E101" s="1064"/>
      <c r="F101" s="1064"/>
      <c r="G101" s="1064"/>
      <c r="H101" s="1064"/>
      <c r="I101" s="1064"/>
      <c r="J101" s="1064"/>
      <c r="K101" s="1065"/>
      <c r="L101" s="1066"/>
      <c r="M101" s="1064"/>
      <c r="N101" s="2952"/>
      <c r="O101" s="2952"/>
      <c r="P101" s="2952"/>
      <c r="Q101" s="2952"/>
      <c r="R101" s="2952"/>
      <c r="S101" s="2952"/>
      <c r="T101" s="2952"/>
      <c r="U101" s="2952"/>
      <c r="V101" s="2952"/>
      <c r="W101" s="2952"/>
      <c r="X101" s="2952"/>
      <c r="Y101" s="2952"/>
      <c r="Z101" s="2952"/>
      <c r="AA101" s="2952"/>
      <c r="AB101" s="2952"/>
      <c r="AC101" s="2952"/>
      <c r="AD101" s="2952"/>
    </row>
    <row r="102" spans="1:30">
      <c r="A102" s="1064"/>
      <c r="B102" s="1064"/>
      <c r="C102" s="1064"/>
      <c r="D102" s="1064"/>
      <c r="E102" s="1064"/>
      <c r="F102" s="1064"/>
      <c r="G102" s="1064"/>
      <c r="H102" s="1064"/>
      <c r="I102" s="1064"/>
      <c r="J102" s="1064"/>
      <c r="K102" s="1065"/>
      <c r="L102" s="1066"/>
      <c r="M102" s="1064"/>
      <c r="N102" s="2952"/>
      <c r="O102" s="2952"/>
      <c r="P102" s="2952"/>
      <c r="Q102" s="2952"/>
      <c r="R102" s="2952"/>
      <c r="S102" s="2952"/>
      <c r="T102" s="2952"/>
      <c r="U102" s="2952"/>
      <c r="V102" s="2952"/>
      <c r="W102" s="2952"/>
      <c r="X102" s="2952"/>
      <c r="Y102" s="2952"/>
      <c r="Z102" s="2952"/>
      <c r="AA102" s="2952"/>
      <c r="AB102" s="2952"/>
      <c r="AC102" s="2952"/>
      <c r="AD102" s="2952"/>
    </row>
    <row r="103" spans="1:30">
      <c r="A103" s="1064"/>
      <c r="B103" s="1064"/>
      <c r="C103" s="1064"/>
      <c r="D103" s="1064"/>
      <c r="E103" s="1064"/>
      <c r="F103" s="1064"/>
      <c r="G103" s="1064"/>
      <c r="H103" s="1064"/>
      <c r="I103" s="1064"/>
      <c r="J103" s="1064"/>
      <c r="K103" s="1065"/>
      <c r="L103" s="1066"/>
      <c r="M103" s="1064"/>
      <c r="N103" s="1064"/>
      <c r="O103" s="1064"/>
      <c r="P103" s="2952"/>
      <c r="Q103" s="2952"/>
      <c r="R103" s="2952"/>
      <c r="S103" s="2952"/>
      <c r="T103" s="2952"/>
      <c r="U103" s="2952"/>
      <c r="V103" s="2952"/>
      <c r="W103" s="2952"/>
      <c r="X103" s="2952"/>
      <c r="Y103" s="2952"/>
      <c r="Z103" s="2952"/>
      <c r="AA103" s="2952"/>
      <c r="AB103" s="2952"/>
      <c r="AC103" s="2952"/>
      <c r="AD103" s="2952"/>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2564</v>
      </c>
      <c r="B1" s="353"/>
      <c r="C1" s="354" t="s">
        <v>2616</v>
      </c>
      <c r="D1" s="692"/>
      <c r="E1" s="692"/>
      <c r="F1" s="691" t="s">
        <v>2463</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6" customFormat="1" ht="28.5" customHeight="1">
      <c r="A2" s="205" t="s">
        <v>2150</v>
      </c>
      <c r="B2" s="625" t="e">
        <f>F61</f>
        <v>#DIV/0!</v>
      </c>
      <c r="C2" s="1036"/>
      <c r="D2" s="1036"/>
      <c r="E2" s="1036"/>
      <c r="F2" s="1037"/>
      <c r="G2" s="1036"/>
      <c r="H2" s="1036"/>
      <c r="I2" s="1036"/>
      <c r="J2" s="1036"/>
      <c r="K2" s="1038"/>
      <c r="L2" s="2961"/>
      <c r="M2" s="2962"/>
      <c r="N2" s="2962"/>
      <c r="O2" s="2962"/>
      <c r="P2" s="705"/>
      <c r="Q2" s="705"/>
      <c r="R2" s="705"/>
      <c r="S2" s="705"/>
      <c r="T2" s="705"/>
      <c r="U2" s="705"/>
      <c r="V2" s="705"/>
      <c r="W2" s="705"/>
      <c r="X2" s="705"/>
      <c r="Y2" s="705"/>
      <c r="Z2" s="705"/>
      <c r="AA2" s="705"/>
      <c r="AB2" s="705"/>
      <c r="AC2" s="706"/>
    </row>
    <row r="3" spans="1:29" s="356" customFormat="1" ht="28.5" customHeight="1" thickBot="1">
      <c r="A3" s="207" t="s">
        <v>2152</v>
      </c>
      <c r="B3" s="564" t="e">
        <f>ROUND(IF(D3="",B2*10000/'数据-汇总表'!E3,B2*10000/D3),0)</f>
        <v>#DIV/0!</v>
      </c>
      <c r="C3" s="207" t="s">
        <v>2566</v>
      </c>
      <c r="D3" s="1352"/>
      <c r="E3" s="1036"/>
      <c r="F3" s="1037"/>
      <c r="G3" s="1036"/>
      <c r="H3" s="1036"/>
      <c r="I3" s="1036"/>
      <c r="J3" s="1036"/>
      <c r="K3" s="1038"/>
      <c r="L3" s="2961"/>
      <c r="M3" s="2962"/>
      <c r="N3" s="2962"/>
      <c r="O3" s="2962"/>
      <c r="P3" s="705"/>
      <c r="Q3" s="705"/>
      <c r="R3" s="705"/>
      <c r="S3" s="705"/>
      <c r="T3" s="705"/>
      <c r="U3" s="705"/>
      <c r="V3" s="705"/>
      <c r="W3" s="705"/>
      <c r="X3" s="705"/>
      <c r="Y3" s="705"/>
      <c r="Z3" s="705"/>
      <c r="AA3" s="705"/>
      <c r="AB3" s="722"/>
      <c r="AC3" s="719"/>
    </row>
    <row r="4" spans="1:29" ht="15">
      <c r="A4" s="359" t="s">
        <v>2465</v>
      </c>
      <c r="B4" s="360"/>
      <c r="C4" s="3296" t="s">
        <v>2466</v>
      </c>
      <c r="D4" s="3297"/>
      <c r="E4" s="3298" t="s">
        <v>2467</v>
      </c>
      <c r="F4" s="3299"/>
      <c r="G4" s="3296" t="s">
        <v>2468</v>
      </c>
      <c r="H4" s="3297"/>
      <c r="I4" s="3296" t="s">
        <v>2469</v>
      </c>
      <c r="J4" s="3297"/>
      <c r="K4" s="565" t="s">
        <v>2470</v>
      </c>
      <c r="L4" s="2942"/>
      <c r="M4" s="2943"/>
      <c r="N4" s="2943"/>
      <c r="O4" s="2943"/>
      <c r="P4" s="3300" t="s">
        <v>2471</v>
      </c>
      <c r="Q4" s="3301"/>
      <c r="R4" s="3283" t="s">
        <v>2467</v>
      </c>
      <c r="S4" s="3284"/>
      <c r="T4" s="3283" t="s">
        <v>2468</v>
      </c>
      <c r="U4" s="3284"/>
      <c r="V4" s="3308" t="s">
        <v>2469</v>
      </c>
      <c r="W4" s="3308"/>
      <c r="X4" s="1538"/>
      <c r="Y4" s="3283" t="s">
        <v>2471</v>
      </c>
      <c r="Z4" s="3284"/>
      <c r="AA4" s="3278" t="s">
        <v>2467</v>
      </c>
      <c r="AB4" s="3279" t="s">
        <v>2468</v>
      </c>
      <c r="AC4" s="3278" t="s">
        <v>2469</v>
      </c>
    </row>
    <row r="5" spans="1:29" ht="15">
      <c r="A5" s="362"/>
      <c r="B5" s="363"/>
      <c r="C5" s="3289" t="s">
        <v>2362</v>
      </c>
      <c r="D5" s="3290"/>
      <c r="E5" s="3287" t="s">
        <v>2363</v>
      </c>
      <c r="F5" s="3288"/>
      <c r="G5" s="3289" t="s">
        <v>2364</v>
      </c>
      <c r="H5" s="3290"/>
      <c r="I5" s="3289" t="s">
        <v>2365</v>
      </c>
      <c r="J5" s="3290"/>
      <c r="K5" s="565"/>
      <c r="L5" s="2942"/>
      <c r="M5" s="2943"/>
      <c r="N5" s="2943"/>
      <c r="O5" s="2943"/>
      <c r="P5" s="3302"/>
      <c r="Q5" s="3303"/>
      <c r="R5" s="3285"/>
      <c r="S5" s="3286"/>
      <c r="T5" s="3285"/>
      <c r="U5" s="3286"/>
      <c r="V5" s="3308"/>
      <c r="W5" s="3308"/>
      <c r="X5" s="1538"/>
      <c r="Y5" s="3285"/>
      <c r="Z5" s="3286"/>
      <c r="AA5" s="3279"/>
      <c r="AB5" s="3279"/>
      <c r="AC5" s="3279"/>
    </row>
    <row r="6" spans="1:29" ht="15.75" thickBot="1">
      <c r="A6" s="364"/>
      <c r="B6" s="365"/>
      <c r="C6" s="3399" t="s">
        <v>2617</v>
      </c>
      <c r="D6" s="3400"/>
      <c r="E6" s="3401" t="s">
        <v>2617</v>
      </c>
      <c r="F6" s="3402"/>
      <c r="G6" s="3399" t="s">
        <v>2617</v>
      </c>
      <c r="H6" s="3400"/>
      <c r="I6" s="3399" t="s">
        <v>2617</v>
      </c>
      <c r="J6" s="3400"/>
      <c r="K6" s="565" t="s">
        <v>2367</v>
      </c>
      <c r="L6" s="2942"/>
      <c r="M6" s="2943"/>
      <c r="N6" s="2943"/>
      <c r="O6" s="2943"/>
      <c r="P6" s="3304"/>
      <c r="Q6" s="3305"/>
      <c r="R6" s="3285"/>
      <c r="S6" s="3286"/>
      <c r="T6" s="3306"/>
      <c r="U6" s="3307"/>
      <c r="V6" s="3308"/>
      <c r="W6" s="3308"/>
      <c r="X6" s="1538"/>
      <c r="Y6" s="3306"/>
      <c r="Z6" s="3307"/>
      <c r="AA6" s="3280"/>
      <c r="AB6" s="3280"/>
      <c r="AC6" s="3280"/>
    </row>
    <row r="7" spans="1:29" s="113" customFormat="1" ht="15.75" thickBot="1">
      <c r="A7" s="366" t="s">
        <v>2368</v>
      </c>
      <c r="B7" s="367"/>
      <c r="C7" s="368">
        <f>'数据-取费表'!B2</f>
        <v>44141</v>
      </c>
      <c r="D7" s="369">
        <v>100</v>
      </c>
      <c r="E7" s="370"/>
      <c r="F7" s="371">
        <f>SUMIF(65:65,YEAR(E7)&amp;"-"&amp;INT((MONTH(E7)+2)/3),66:66)</f>
        <v>0</v>
      </c>
      <c r="G7" s="2158"/>
      <c r="H7" s="369">
        <f>SUMIF(65:65,YEAR(G7)&amp;"-"&amp;INT((MONTH(G7)+2)/3),66:66)</f>
        <v>0</v>
      </c>
      <c r="I7" s="2158"/>
      <c r="J7" s="369">
        <f>SUMIF(65:65,YEAR(I7)&amp;"-"&amp;INT((MONTH(I7)+2)/3),66:66)</f>
        <v>0</v>
      </c>
      <c r="K7" s="566"/>
      <c r="L7" s="2944"/>
      <c r="M7" s="2945"/>
      <c r="N7" s="2945"/>
      <c r="O7" s="2945"/>
      <c r="P7" s="3281" t="s">
        <v>2369</v>
      </c>
      <c r="Q7" s="3309"/>
      <c r="R7" s="707" t="s">
        <v>17</v>
      </c>
      <c r="S7" s="708">
        <f t="shared" ref="S7:S15" si="0">F7</f>
        <v>0</v>
      </c>
      <c r="T7" s="707" t="s">
        <v>17</v>
      </c>
      <c r="U7" s="708">
        <f t="shared" ref="U7:U15" si="1">H7</f>
        <v>0</v>
      </c>
      <c r="V7" s="707" t="s">
        <v>17</v>
      </c>
      <c r="W7" s="708">
        <f t="shared" ref="W7:W15" si="2">J7</f>
        <v>0</v>
      </c>
      <c r="X7" s="709"/>
      <c r="Y7" s="3281" t="s">
        <v>2369</v>
      </c>
      <c r="Z7" s="3282"/>
      <c r="AA7" s="710" t="e">
        <f>D7/F7</f>
        <v>#DIV/0!</v>
      </c>
      <c r="AB7" s="710" t="e">
        <f>D7/H7</f>
        <v>#DIV/0!</v>
      </c>
      <c r="AC7" s="710" t="e">
        <f>D7/J7</f>
        <v>#DIV/0!</v>
      </c>
    </row>
    <row r="8" spans="1:29" s="113" customFormat="1" ht="15.75" thickBot="1">
      <c r="A8" s="366" t="s">
        <v>2370</v>
      </c>
      <c r="B8" s="367"/>
      <c r="C8" s="372" t="s">
        <v>2371</v>
      </c>
      <c r="D8" s="369">
        <v>100</v>
      </c>
      <c r="E8" s="372"/>
      <c r="F8" s="371">
        <f>SUMIF(68:68,E8,69:69)-SUMIF(68:68,C8,69:69)+100</f>
        <v>0</v>
      </c>
      <c r="G8" s="372"/>
      <c r="H8" s="369">
        <f>SUMIF(68:68,G8,69:69)-SUMIF(68:68,C8,69:69)+100</f>
        <v>0</v>
      </c>
      <c r="I8" s="372"/>
      <c r="J8" s="369">
        <f>SUMIF(68:68,I8,69:69)-SUMIF(68:68,C8,69:69)+100</f>
        <v>0</v>
      </c>
      <c r="K8" s="566"/>
      <c r="L8" s="2944"/>
      <c r="M8" s="2945"/>
      <c r="N8" s="2945"/>
      <c r="O8" s="2945"/>
      <c r="P8" s="3281" t="s">
        <v>2372</v>
      </c>
      <c r="Q8" s="3282"/>
      <c r="R8" s="707" t="s">
        <v>17</v>
      </c>
      <c r="S8" s="708">
        <f t="shared" si="0"/>
        <v>0</v>
      </c>
      <c r="T8" s="707" t="s">
        <v>17</v>
      </c>
      <c r="U8" s="708">
        <f t="shared" si="1"/>
        <v>0</v>
      </c>
      <c r="V8" s="707" t="s">
        <v>17</v>
      </c>
      <c r="W8" s="708">
        <f t="shared" si="2"/>
        <v>0</v>
      </c>
      <c r="X8" s="709"/>
      <c r="Y8" s="3281" t="s">
        <v>2372</v>
      </c>
      <c r="Z8" s="3282"/>
      <c r="AA8" s="710" t="e">
        <f t="shared" ref="AA8:AA40" si="3">D8/F8</f>
        <v>#DIV/0!</v>
      </c>
      <c r="AB8" s="710" t="e">
        <f t="shared" ref="AB8:AB40" si="4">D8/H8</f>
        <v>#DIV/0!</v>
      </c>
      <c r="AC8" s="710" t="e">
        <f t="shared" ref="AC8:AC40" si="5">D8/J8</f>
        <v>#DIV/0!</v>
      </c>
    </row>
    <row r="9" spans="1:29" s="113" customFormat="1">
      <c r="A9" s="373" t="s">
        <v>2373</v>
      </c>
      <c r="B9" s="67" t="s">
        <v>2374</v>
      </c>
      <c r="C9" s="2161"/>
      <c r="D9" s="129">
        <v>100</v>
      </c>
      <c r="E9" s="2161"/>
      <c r="F9" s="129">
        <f>SUMIF(70:70,E9,71:71)-SUMIF(70:70,C9,71:71)+100</f>
        <v>100</v>
      </c>
      <c r="G9" s="2161"/>
      <c r="H9" s="129">
        <f>SUMIF(70:70,G9,71:71)-SUMIF(70:70,C9,71:71)+100</f>
        <v>100</v>
      </c>
      <c r="I9" s="2161"/>
      <c r="J9" s="129">
        <f>SUMIF(70:70,I9,71:71)-SUMIF(70:70,C9,71:71)+100</f>
        <v>100</v>
      </c>
      <c r="K9" s="566"/>
      <c r="L9" s="2944"/>
      <c r="M9" s="2945"/>
      <c r="N9" s="2945"/>
      <c r="O9" s="2999"/>
      <c r="P9" s="3295" t="s">
        <v>2375</v>
      </c>
      <c r="Q9" s="1526" t="str">
        <f t="shared" ref="Q9:Q15" si="6">B9</f>
        <v>用途</v>
      </c>
      <c r="R9" s="707" t="s">
        <v>17</v>
      </c>
      <c r="S9" s="708">
        <f t="shared" si="0"/>
        <v>100</v>
      </c>
      <c r="T9" s="707" t="s">
        <v>17</v>
      </c>
      <c r="U9" s="708">
        <f t="shared" si="1"/>
        <v>100</v>
      </c>
      <c r="V9" s="707" t="s">
        <v>17</v>
      </c>
      <c r="W9" s="708">
        <f t="shared" si="2"/>
        <v>100</v>
      </c>
      <c r="X9" s="709"/>
      <c r="Y9" s="3251" t="s">
        <v>2376</v>
      </c>
      <c r="Z9" s="55" t="str">
        <f t="shared" ref="Z9:Z15" si="7">Q9</f>
        <v>用途</v>
      </c>
      <c r="AA9" s="710">
        <f t="shared" si="3"/>
        <v>1</v>
      </c>
      <c r="AB9" s="710">
        <f t="shared" si="4"/>
        <v>1</v>
      </c>
      <c r="AC9" s="710">
        <f t="shared" si="5"/>
        <v>1</v>
      </c>
    </row>
    <row r="10" spans="1:29" s="384" customFormat="1" ht="27">
      <c r="A10" s="378"/>
      <c r="B10" s="379" t="s">
        <v>2377</v>
      </c>
      <c r="C10" s="389"/>
      <c r="D10" s="130">
        <v>100</v>
      </c>
      <c r="E10" s="389"/>
      <c r="F10" s="130">
        <f>ROUND(100/'数据-取费表'!G16,0)</f>
        <v>116</v>
      </c>
      <c r="G10" s="389"/>
      <c r="H10" s="130">
        <f>ROUND(100/'数据-取费表'!G16,0)</f>
        <v>116</v>
      </c>
      <c r="I10" s="389"/>
      <c r="J10" s="130">
        <f>ROUND(100/'数据-取费表'!G16,0)</f>
        <v>116</v>
      </c>
      <c r="K10" s="626"/>
      <c r="L10" s="2946"/>
      <c r="M10" s="2947"/>
      <c r="N10" s="2947"/>
      <c r="O10" s="3000"/>
      <c r="P10" s="3295"/>
      <c r="Q10" s="1526" t="str">
        <f t="shared" si="6"/>
        <v>土地使用年限（年）</v>
      </c>
      <c r="R10" s="707" t="s">
        <v>17</v>
      </c>
      <c r="S10" s="708">
        <f t="shared" si="0"/>
        <v>116</v>
      </c>
      <c r="T10" s="707" t="s">
        <v>17</v>
      </c>
      <c r="U10" s="708">
        <f t="shared" si="1"/>
        <v>116</v>
      </c>
      <c r="V10" s="707" t="s">
        <v>17</v>
      </c>
      <c r="W10" s="708">
        <f t="shared" si="2"/>
        <v>116</v>
      </c>
      <c r="X10" s="709"/>
      <c r="Y10" s="3251"/>
      <c r="Z10" s="55" t="str">
        <f t="shared" si="7"/>
        <v>土地使用年限（年）</v>
      </c>
      <c r="AA10" s="710">
        <f t="shared" si="3"/>
        <v>0.86206896551724133</v>
      </c>
      <c r="AB10" s="710">
        <f t="shared" si="4"/>
        <v>0.86206896551724133</v>
      </c>
      <c r="AC10" s="710">
        <f t="shared" si="5"/>
        <v>0.86206896551724133</v>
      </c>
    </row>
    <row r="11" spans="1:29" ht="15">
      <c r="A11" s="385"/>
      <c r="B11" s="379" t="s">
        <v>2378</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48"/>
      <c r="M11" s="2943"/>
      <c r="N11" s="2943"/>
      <c r="O11" s="3001"/>
      <c r="P11" s="3295"/>
      <c r="Q11" s="1526" t="str">
        <f t="shared" si="6"/>
        <v>容积率</v>
      </c>
      <c r="R11" s="707" t="s">
        <v>17</v>
      </c>
      <c r="S11" s="708" t="e">
        <f t="shared" si="0"/>
        <v>#N/A</v>
      </c>
      <c r="T11" s="707" t="s">
        <v>17</v>
      </c>
      <c r="U11" s="708" t="e">
        <f t="shared" si="1"/>
        <v>#N/A</v>
      </c>
      <c r="V11" s="707" t="s">
        <v>17</v>
      </c>
      <c r="W11" s="708" t="e">
        <f t="shared" si="2"/>
        <v>#N/A</v>
      </c>
      <c r="X11" s="709"/>
      <c r="Y11" s="3251"/>
      <c r="Z11" s="55" t="str">
        <f t="shared" si="7"/>
        <v>容积率</v>
      </c>
      <c r="AA11" s="710" t="e">
        <f t="shared" si="3"/>
        <v>#N/A</v>
      </c>
      <c r="AB11" s="710" t="e">
        <f t="shared" si="4"/>
        <v>#N/A</v>
      </c>
      <c r="AC11" s="710" t="e">
        <f t="shared" si="5"/>
        <v>#N/A</v>
      </c>
    </row>
    <row r="12" spans="1:29" s="113" customFormat="1" ht="15">
      <c r="A12" s="388"/>
      <c r="B12" s="2077">
        <v>111</v>
      </c>
      <c r="C12" s="389"/>
      <c r="D12" s="390">
        <v>100</v>
      </c>
      <c r="E12" s="504"/>
      <c r="F12" s="130">
        <f>SUMIF(77:77,E12,78:78)-SUMIF(77:77,C12,78:78)+100</f>
        <v>100</v>
      </c>
      <c r="G12" s="628"/>
      <c r="H12" s="130">
        <f>SUMIF(77:77,G12,78:78)-SUMIF(77:77,C12,78:78)+100</f>
        <v>100</v>
      </c>
      <c r="I12" s="504"/>
      <c r="J12" s="130">
        <f>SUMIF(77:77,I12,78:78)-SUMIF(77:77,C12,78:78)+100</f>
        <v>100</v>
      </c>
      <c r="K12" s="626"/>
      <c r="L12" s="2944"/>
      <c r="M12" s="2945"/>
      <c r="N12" s="2945"/>
      <c r="O12" s="2999"/>
      <c r="P12" s="3295"/>
      <c r="Q12" s="1526">
        <f t="shared" si="6"/>
        <v>111</v>
      </c>
      <c r="R12" s="707" t="s">
        <v>17</v>
      </c>
      <c r="S12" s="708">
        <f t="shared" si="0"/>
        <v>100</v>
      </c>
      <c r="T12" s="707" t="s">
        <v>17</v>
      </c>
      <c r="U12" s="708">
        <f t="shared" si="1"/>
        <v>100</v>
      </c>
      <c r="V12" s="707" t="s">
        <v>17</v>
      </c>
      <c r="W12" s="708">
        <f t="shared" si="2"/>
        <v>100</v>
      </c>
      <c r="X12" s="709"/>
      <c r="Y12" s="3251"/>
      <c r="Z12" s="55">
        <f t="shared" si="7"/>
        <v>111</v>
      </c>
      <c r="AA12" s="710">
        <f>D12/F12</f>
        <v>1</v>
      </c>
      <c r="AB12" s="710">
        <f>D12/H12</f>
        <v>1</v>
      </c>
      <c r="AC12" s="710">
        <f>D12/J12</f>
        <v>1</v>
      </c>
    </row>
    <row r="13" spans="1:29" ht="15">
      <c r="A13" s="385"/>
      <c r="B13" s="2077">
        <v>111</v>
      </c>
      <c r="C13" s="391"/>
      <c r="D13" s="392">
        <v>100</v>
      </c>
      <c r="E13" s="504"/>
      <c r="F13" s="130">
        <f>SUMIF(79:79,E13,80:80)-SUMIF(79:79,C13,80:80)+100</f>
        <v>100</v>
      </c>
      <c r="G13" s="628"/>
      <c r="H13" s="392">
        <f>SUMIF(79:79,G13,80:80)-SUMIF(79:79,C13,80:80)+100</f>
        <v>100</v>
      </c>
      <c r="I13" s="504"/>
      <c r="J13" s="392">
        <f>SUMIF(79:79,I13,80:80)-SUMIF(79:79,C13,80:80)+100</f>
        <v>100</v>
      </c>
      <c r="K13" s="626"/>
      <c r="L13" s="2949"/>
      <c r="M13" s="2943"/>
      <c r="N13" s="2943"/>
      <c r="O13" s="3001"/>
      <c r="P13" s="3295"/>
      <c r="Q13" s="1526">
        <f t="shared" si="6"/>
        <v>111</v>
      </c>
      <c r="R13" s="707" t="s">
        <v>17</v>
      </c>
      <c r="S13" s="708">
        <f t="shared" si="0"/>
        <v>100</v>
      </c>
      <c r="T13" s="707" t="s">
        <v>17</v>
      </c>
      <c r="U13" s="708">
        <f t="shared" si="1"/>
        <v>100</v>
      </c>
      <c r="V13" s="707" t="s">
        <v>17</v>
      </c>
      <c r="W13" s="708">
        <f t="shared" si="2"/>
        <v>100</v>
      </c>
      <c r="X13" s="709"/>
      <c r="Y13" s="3251"/>
      <c r="Z13" s="55">
        <f t="shared" si="7"/>
        <v>111</v>
      </c>
      <c r="AA13" s="710">
        <f t="shared" si="3"/>
        <v>1</v>
      </c>
      <c r="AB13" s="710">
        <f t="shared" si="4"/>
        <v>1</v>
      </c>
      <c r="AC13" s="710">
        <f t="shared" si="5"/>
        <v>1</v>
      </c>
    </row>
    <row r="14" spans="1:29" ht="15.75" thickBot="1">
      <c r="A14" s="393"/>
      <c r="B14" s="2079">
        <v>111</v>
      </c>
      <c r="C14" s="394"/>
      <c r="D14" s="395">
        <v>100</v>
      </c>
      <c r="E14" s="504"/>
      <c r="F14" s="395">
        <f>SUMIF(81:81,E14,82:82)-SUMIF(81:81,C14,82:82)+100</f>
        <v>100</v>
      </c>
      <c r="G14" s="628"/>
      <c r="H14" s="395">
        <f>SUMIF(81:81,G14,82:82)-SUMIF(81:81,C14,82:82)+100</f>
        <v>100</v>
      </c>
      <c r="I14" s="504"/>
      <c r="J14" s="395">
        <f>SUMIF(81:81,I14,82:82)-SUMIF(81:81,C14,82:82)+100</f>
        <v>100</v>
      </c>
      <c r="K14" s="626"/>
      <c r="L14" s="2949"/>
      <c r="M14" s="2943"/>
      <c r="N14" s="2943"/>
      <c r="O14" s="3001"/>
      <c r="P14" s="3295"/>
      <c r="Q14" s="1526">
        <f t="shared" si="6"/>
        <v>111</v>
      </c>
      <c r="R14" s="707" t="s">
        <v>17</v>
      </c>
      <c r="S14" s="708">
        <f t="shared" si="0"/>
        <v>100</v>
      </c>
      <c r="T14" s="707" t="s">
        <v>17</v>
      </c>
      <c r="U14" s="708">
        <f t="shared" si="1"/>
        <v>100</v>
      </c>
      <c r="V14" s="707" t="s">
        <v>17</v>
      </c>
      <c r="W14" s="708">
        <f t="shared" si="2"/>
        <v>100</v>
      </c>
      <c r="X14" s="709"/>
      <c r="Y14" s="3251"/>
      <c r="Z14" s="55">
        <f t="shared" si="7"/>
        <v>111</v>
      </c>
      <c r="AA14" s="710">
        <f t="shared" si="3"/>
        <v>1</v>
      </c>
      <c r="AB14" s="710">
        <f t="shared" si="4"/>
        <v>1</v>
      </c>
      <c r="AC14" s="710">
        <f t="shared" si="5"/>
        <v>1</v>
      </c>
    </row>
    <row r="15" spans="1:29" ht="57">
      <c r="A15" s="397" t="s">
        <v>2379</v>
      </c>
      <c r="B15" s="583" t="s">
        <v>2618</v>
      </c>
      <c r="C15" s="2155"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49"/>
      <c r="M15" s="2943"/>
      <c r="N15" s="2943"/>
      <c r="O15" s="3001"/>
      <c r="P15" s="3310" t="s">
        <v>2380</v>
      </c>
      <c r="Q15" s="1535" t="str">
        <f t="shared" si="6"/>
        <v>产业集聚程度</v>
      </c>
      <c r="R15" s="711" t="s">
        <v>17</v>
      </c>
      <c r="S15" s="712">
        <f t="shared" si="0"/>
        <v>100</v>
      </c>
      <c r="T15" s="711" t="s">
        <v>17</v>
      </c>
      <c r="U15" s="712">
        <f t="shared" si="1"/>
        <v>100</v>
      </c>
      <c r="V15" s="711" t="s">
        <v>17</v>
      </c>
      <c r="W15" s="712">
        <f t="shared" si="2"/>
        <v>100</v>
      </c>
      <c r="X15" s="1538"/>
      <c r="Y15" s="3310" t="s">
        <v>2380</v>
      </c>
      <c r="Z15" s="1539" t="str">
        <f t="shared" si="7"/>
        <v>产业集聚程度</v>
      </c>
      <c r="AA15" s="1536">
        <f t="shared" si="3"/>
        <v>1</v>
      </c>
      <c r="AB15" s="1536">
        <f t="shared" si="4"/>
        <v>1</v>
      </c>
      <c r="AC15" s="1536">
        <f t="shared" si="5"/>
        <v>1</v>
      </c>
    </row>
    <row r="16" spans="1:29" ht="15">
      <c r="A16" s="385"/>
      <c r="B16" s="584"/>
      <c r="C16" s="404"/>
      <c r="D16" s="405"/>
      <c r="E16" s="2088"/>
      <c r="F16" s="405"/>
      <c r="G16" s="2088"/>
      <c r="H16" s="407"/>
      <c r="I16" s="2088"/>
      <c r="J16" s="405"/>
      <c r="K16" s="626"/>
      <c r="L16" s="2949"/>
      <c r="M16" s="2943"/>
      <c r="N16" s="2943"/>
      <c r="O16" s="3001"/>
      <c r="P16" s="3311"/>
      <c r="Q16" s="1535"/>
      <c r="R16" s="711"/>
      <c r="S16" s="712"/>
      <c r="T16" s="711"/>
      <c r="U16" s="712"/>
      <c r="V16" s="711"/>
      <c r="W16" s="712"/>
      <c r="X16" s="1538"/>
      <c r="Y16" s="3311"/>
      <c r="Z16" s="1539"/>
      <c r="AA16" s="1536">
        <v>1</v>
      </c>
      <c r="AB16" s="1536">
        <v>1</v>
      </c>
      <c r="AC16" s="1536">
        <v>1</v>
      </c>
    </row>
    <row r="17" spans="1:29" ht="85.5">
      <c r="A17" s="385"/>
      <c r="B17" s="585" t="s">
        <v>2529</v>
      </c>
      <c r="C17" s="2084"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49"/>
      <c r="M17" s="2943"/>
      <c r="N17" s="2943"/>
      <c r="O17" s="3001"/>
      <c r="P17" s="3311"/>
      <c r="Q17" s="1535" t="str">
        <f>B17</f>
        <v>交通便捷度</v>
      </c>
      <c r="R17" s="711" t="s">
        <v>17</v>
      </c>
      <c r="S17" s="712">
        <f>F17</f>
        <v>100</v>
      </c>
      <c r="T17" s="711" t="s">
        <v>17</v>
      </c>
      <c r="U17" s="712">
        <f>H17</f>
        <v>100</v>
      </c>
      <c r="V17" s="711" t="s">
        <v>17</v>
      </c>
      <c r="W17" s="712">
        <f>J17</f>
        <v>100</v>
      </c>
      <c r="X17" s="1538"/>
      <c r="Y17" s="3311"/>
      <c r="Z17" s="1539" t="str">
        <f>Q17</f>
        <v>交通便捷度</v>
      </c>
      <c r="AA17" s="1536">
        <f t="shared" si="3"/>
        <v>1</v>
      </c>
      <c r="AB17" s="1536">
        <f t="shared" si="4"/>
        <v>1</v>
      </c>
      <c r="AC17" s="1536">
        <f t="shared" si="5"/>
        <v>1</v>
      </c>
    </row>
    <row r="18" spans="1:29" ht="15">
      <c r="A18" s="385"/>
      <c r="B18" s="586"/>
      <c r="C18" s="404"/>
      <c r="D18" s="405"/>
      <c r="E18" s="2082"/>
      <c r="F18" s="405"/>
      <c r="G18" s="2082"/>
      <c r="H18" s="405"/>
      <c r="I18" s="2081"/>
      <c r="J18" s="405"/>
      <c r="K18" s="626"/>
      <c r="L18" s="2949"/>
      <c r="M18" s="2943"/>
      <c r="N18" s="2943"/>
      <c r="O18" s="3001"/>
      <c r="P18" s="3311"/>
      <c r="Q18" s="1535"/>
      <c r="R18" s="711"/>
      <c r="S18" s="712"/>
      <c r="T18" s="711"/>
      <c r="U18" s="712"/>
      <c r="V18" s="711"/>
      <c r="W18" s="712"/>
      <c r="X18" s="1538"/>
      <c r="Y18" s="3311"/>
      <c r="Z18" s="1539"/>
      <c r="AA18" s="1536">
        <v>1</v>
      </c>
      <c r="AB18" s="1536">
        <v>1</v>
      </c>
      <c r="AC18" s="1536">
        <v>1</v>
      </c>
    </row>
    <row r="19" spans="1:29" ht="15">
      <c r="A19" s="385"/>
      <c r="B19" s="585" t="s">
        <v>2568</v>
      </c>
      <c r="C19" s="2084">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49"/>
      <c r="M19" s="2943"/>
      <c r="N19" s="2943"/>
      <c r="O19" s="3001"/>
      <c r="P19" s="3311"/>
      <c r="Q19" s="1535" t="str">
        <f t="shared" ref="Q19:Q33" si="8">B19</f>
        <v>区域土地利用方向</v>
      </c>
      <c r="R19" s="711" t="s">
        <v>17</v>
      </c>
      <c r="S19" s="712">
        <f>F19</f>
        <v>100</v>
      </c>
      <c r="T19" s="711" t="s">
        <v>17</v>
      </c>
      <c r="U19" s="712">
        <f>H19</f>
        <v>100</v>
      </c>
      <c r="V19" s="711" t="s">
        <v>17</v>
      </c>
      <c r="W19" s="712">
        <f>J19</f>
        <v>100</v>
      </c>
      <c r="X19" s="1538"/>
      <c r="Y19" s="3311"/>
      <c r="Z19" s="1539" t="str">
        <f>Q19</f>
        <v>区域土地利用方向</v>
      </c>
      <c r="AA19" s="1536">
        <f t="shared" si="3"/>
        <v>1</v>
      </c>
      <c r="AB19" s="1536">
        <f t="shared" si="4"/>
        <v>1</v>
      </c>
      <c r="AC19" s="1536">
        <f t="shared" si="5"/>
        <v>1</v>
      </c>
    </row>
    <row r="20" spans="1:29" ht="15">
      <c r="A20" s="362"/>
      <c r="B20" s="586"/>
      <c r="C20" s="404"/>
      <c r="D20" s="405"/>
      <c r="E20" s="2082"/>
      <c r="F20" s="405"/>
      <c r="G20" s="2082"/>
      <c r="H20" s="405"/>
      <c r="I20" s="2082"/>
      <c r="J20" s="405"/>
      <c r="K20" s="748"/>
      <c r="L20" s="2949"/>
      <c r="M20" s="2943"/>
      <c r="N20" s="2943"/>
      <c r="O20" s="3001"/>
      <c r="P20" s="3311"/>
      <c r="Q20" s="1535"/>
      <c r="R20" s="711"/>
      <c r="S20" s="712"/>
      <c r="T20" s="711"/>
      <c r="U20" s="712"/>
      <c r="V20" s="711"/>
      <c r="W20" s="712"/>
      <c r="X20" s="1538"/>
      <c r="Y20" s="3311"/>
      <c r="Z20" s="1539"/>
      <c r="AA20" s="1536"/>
      <c r="AB20" s="1536"/>
      <c r="AC20" s="1536"/>
    </row>
    <row r="21" spans="1:29" ht="71.25">
      <c r="A21" s="362"/>
      <c r="B21" s="585" t="s">
        <v>2619</v>
      </c>
      <c r="C21" s="2084"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49"/>
      <c r="M21" s="2943"/>
      <c r="N21" s="2943"/>
      <c r="O21" s="3001"/>
      <c r="P21" s="3311"/>
      <c r="Q21" s="1535" t="str">
        <f t="shared" si="8"/>
        <v>环境状况</v>
      </c>
      <c r="R21" s="711" t="s">
        <v>17</v>
      </c>
      <c r="S21" s="712">
        <f>F21</f>
        <v>100</v>
      </c>
      <c r="T21" s="711" t="s">
        <v>17</v>
      </c>
      <c r="U21" s="712">
        <f>H21</f>
        <v>100</v>
      </c>
      <c r="V21" s="711" t="s">
        <v>17</v>
      </c>
      <c r="W21" s="712">
        <f>J21</f>
        <v>100</v>
      </c>
      <c r="X21" s="1538"/>
      <c r="Y21" s="3311"/>
      <c r="Z21" s="1539" t="str">
        <f>Q21</f>
        <v>环境状况</v>
      </c>
      <c r="AA21" s="1536">
        <f t="shared" si="3"/>
        <v>1</v>
      </c>
      <c r="AB21" s="1536">
        <f t="shared" si="4"/>
        <v>1</v>
      </c>
      <c r="AC21" s="1536">
        <f t="shared" si="5"/>
        <v>1</v>
      </c>
    </row>
    <row r="22" spans="1:29" ht="15">
      <c r="A22" s="362"/>
      <c r="B22" s="586"/>
      <c r="C22" s="404"/>
      <c r="D22" s="405"/>
      <c r="E22" s="2088"/>
      <c r="F22" s="405"/>
      <c r="G22" s="2088"/>
      <c r="H22" s="405"/>
      <c r="I22" s="404"/>
      <c r="J22" s="405"/>
      <c r="K22" s="626"/>
      <c r="L22" s="2949"/>
      <c r="M22" s="2943"/>
      <c r="N22" s="2943"/>
      <c r="O22" s="3001"/>
      <c r="P22" s="3311"/>
      <c r="Q22" s="1535"/>
      <c r="R22" s="711"/>
      <c r="S22" s="712"/>
      <c r="T22" s="711"/>
      <c r="U22" s="712"/>
      <c r="V22" s="711"/>
      <c r="W22" s="712"/>
      <c r="X22" s="1538"/>
      <c r="Y22" s="3311"/>
      <c r="Z22" s="1539"/>
      <c r="AA22" s="1536">
        <v>1</v>
      </c>
      <c r="AB22" s="1536">
        <v>1</v>
      </c>
      <c r="AC22" s="1536">
        <v>1</v>
      </c>
    </row>
    <row r="23" spans="1:29" s="113" customFormat="1" ht="42.75">
      <c r="A23" s="603"/>
      <c r="B23" s="587" t="s">
        <v>2474</v>
      </c>
      <c r="C23" s="2084"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44"/>
      <c r="M23" s="2945"/>
      <c r="N23" s="2945"/>
      <c r="O23" s="2999"/>
      <c r="P23" s="3311"/>
      <c r="Q23" s="1526" t="str">
        <f t="shared" si="8"/>
        <v>公共配套设施</v>
      </c>
      <c r="R23" s="707" t="s">
        <v>17</v>
      </c>
      <c r="S23" s="708">
        <f>F23</f>
        <v>100</v>
      </c>
      <c r="T23" s="707" t="s">
        <v>17</v>
      </c>
      <c r="U23" s="708">
        <f>H23</f>
        <v>100</v>
      </c>
      <c r="V23" s="707" t="s">
        <v>17</v>
      </c>
      <c r="W23" s="708">
        <f>J23</f>
        <v>100</v>
      </c>
      <c r="X23" s="709"/>
      <c r="Y23" s="3311"/>
      <c r="Z23" s="55" t="str">
        <f>Q23</f>
        <v>公共配套设施</v>
      </c>
      <c r="AA23" s="1536">
        <f>D23/F23</f>
        <v>1</v>
      </c>
      <c r="AB23" s="1536">
        <f>D23/H23</f>
        <v>1</v>
      </c>
      <c r="AC23" s="1536">
        <f>D23/J23</f>
        <v>1</v>
      </c>
    </row>
    <row r="24" spans="1:29" s="113" customFormat="1" ht="15">
      <c r="A24" s="603"/>
      <c r="B24" s="586"/>
      <c r="C24" s="2162"/>
      <c r="D24" s="405"/>
      <c r="E24" s="2088"/>
      <c r="F24" s="405"/>
      <c r="G24" s="2088"/>
      <c r="H24" s="405"/>
      <c r="I24" s="404"/>
      <c r="J24" s="405"/>
      <c r="K24" s="626"/>
      <c r="L24" s="2944"/>
      <c r="M24" s="2945"/>
      <c r="N24" s="2945"/>
      <c r="O24" s="2999"/>
      <c r="P24" s="3311"/>
      <c r="Q24" s="1526"/>
      <c r="R24" s="707"/>
      <c r="S24" s="708"/>
      <c r="T24" s="707"/>
      <c r="U24" s="708"/>
      <c r="V24" s="707"/>
      <c r="W24" s="708"/>
      <c r="X24" s="709"/>
      <c r="Y24" s="3311"/>
      <c r="Z24" s="55"/>
      <c r="AA24" s="710">
        <v>1</v>
      </c>
      <c r="AB24" s="710">
        <v>1</v>
      </c>
      <c r="AC24" s="710">
        <v>1</v>
      </c>
    </row>
    <row r="25" spans="1:29" s="113" customFormat="1" ht="28.5">
      <c r="A25" s="603"/>
      <c r="B25" s="587" t="s">
        <v>2475</v>
      </c>
      <c r="C25" s="2084"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44"/>
      <c r="M25" s="2945"/>
      <c r="N25" s="2945"/>
      <c r="O25" s="2999"/>
      <c r="P25" s="3311"/>
      <c r="Q25" s="1526" t="str">
        <f t="shared" ref="Q25" si="9">B25</f>
        <v>基础设施水平</v>
      </c>
      <c r="R25" s="707" t="s">
        <v>17</v>
      </c>
      <c r="S25" s="708">
        <f>F25</f>
        <v>100</v>
      </c>
      <c r="T25" s="707" t="s">
        <v>17</v>
      </c>
      <c r="U25" s="708">
        <f>H25</f>
        <v>100</v>
      </c>
      <c r="V25" s="707" t="s">
        <v>17</v>
      </c>
      <c r="W25" s="708">
        <f>J25</f>
        <v>100</v>
      </c>
      <c r="X25" s="709"/>
      <c r="Y25" s="3311"/>
      <c r="Z25" s="55" t="str">
        <f>Q25</f>
        <v>基础设施水平</v>
      </c>
      <c r="AA25" s="1536">
        <f>D25/F25</f>
        <v>1</v>
      </c>
      <c r="AB25" s="1536">
        <f>D25/H25</f>
        <v>1</v>
      </c>
      <c r="AC25" s="1536">
        <f>D25/J25</f>
        <v>1</v>
      </c>
    </row>
    <row r="26" spans="1:29" s="113" customFormat="1" ht="15">
      <c r="A26" s="603"/>
      <c r="B26" s="586"/>
      <c r="C26" s="2162"/>
      <c r="D26" s="405"/>
      <c r="E26" s="2163"/>
      <c r="F26" s="405"/>
      <c r="G26" s="2163"/>
      <c r="H26" s="405"/>
      <c r="I26" s="2163"/>
      <c r="J26" s="405"/>
      <c r="K26" s="626"/>
      <c r="L26" s="2944"/>
      <c r="M26" s="2945"/>
      <c r="N26" s="2945"/>
      <c r="O26" s="2999"/>
      <c r="P26" s="3311"/>
      <c r="Q26" s="1526"/>
      <c r="R26" s="707"/>
      <c r="S26" s="708"/>
      <c r="T26" s="707"/>
      <c r="U26" s="708"/>
      <c r="V26" s="707"/>
      <c r="W26" s="708"/>
      <c r="X26" s="709"/>
      <c r="Y26" s="3311"/>
      <c r="Z26" s="55"/>
      <c r="AA26" s="710">
        <v>1</v>
      </c>
      <c r="AB26" s="710">
        <v>1</v>
      </c>
      <c r="AC26" s="710">
        <v>1</v>
      </c>
    </row>
    <row r="27" spans="1:29" ht="15">
      <c r="A27" s="385"/>
      <c r="B27" s="586" t="s">
        <v>2476</v>
      </c>
      <c r="C27" s="571"/>
      <c r="D27" s="392">
        <v>100</v>
      </c>
      <c r="E27" s="588"/>
      <c r="F27" s="392">
        <f>SUMIF(95:95,E27,96:96)-SUMIF(95:95,C27,96:96)+100</f>
        <v>100</v>
      </c>
      <c r="G27" s="588"/>
      <c r="H27" s="392">
        <f>SUMIF(95:95,G27,96:96)-SUMIF(95:95,C27,96:96)+100</f>
        <v>100</v>
      </c>
      <c r="I27" s="588"/>
      <c r="J27" s="392">
        <f>SUMIF(95:95,I27,96:96)-SUMIF(95:95,C27,96:96)+100</f>
        <v>100</v>
      </c>
      <c r="K27" s="627"/>
      <c r="L27" s="2949"/>
      <c r="M27" s="2943"/>
      <c r="N27" s="2943"/>
      <c r="O27" s="3001"/>
      <c r="P27" s="3311"/>
      <c r="Q27" s="1535" t="str">
        <f t="shared" si="8"/>
        <v>临街状况</v>
      </c>
      <c r="R27" s="711" t="s">
        <v>17</v>
      </c>
      <c r="S27" s="712">
        <f t="shared" ref="S27:S40" si="10">F27</f>
        <v>100</v>
      </c>
      <c r="T27" s="711" t="s">
        <v>17</v>
      </c>
      <c r="U27" s="712">
        <f t="shared" ref="U27:U40" si="11">H27</f>
        <v>100</v>
      </c>
      <c r="V27" s="711" t="s">
        <v>17</v>
      </c>
      <c r="W27" s="712">
        <f t="shared" ref="W27:W40" si="12">J27</f>
        <v>100</v>
      </c>
      <c r="X27" s="1538"/>
      <c r="Y27" s="3311"/>
      <c r="Z27" s="1539" t="str">
        <f t="shared" ref="Z27:Z40" si="13">Q27</f>
        <v>临街状况</v>
      </c>
      <c r="AA27" s="1536">
        <f t="shared" si="3"/>
        <v>1</v>
      </c>
      <c r="AB27" s="1536">
        <f t="shared" si="4"/>
        <v>1</v>
      </c>
      <c r="AC27" s="1536">
        <f t="shared" si="5"/>
        <v>1</v>
      </c>
    </row>
    <row r="28" spans="1:29" ht="27">
      <c r="A28" s="385"/>
      <c r="B28" s="587" t="s">
        <v>2511</v>
      </c>
      <c r="C28" s="2175">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49"/>
      <c r="M28" s="2943"/>
      <c r="N28" s="2943"/>
      <c r="O28" s="3001"/>
      <c r="P28" s="3311"/>
      <c r="Q28" s="1535" t="str">
        <f t="shared" si="8"/>
        <v>毗邻道路的类型与等级</v>
      </c>
      <c r="R28" s="711" t="s">
        <v>17</v>
      </c>
      <c r="S28" s="712">
        <f t="shared" si="10"/>
        <v>100</v>
      </c>
      <c r="T28" s="711" t="s">
        <v>17</v>
      </c>
      <c r="U28" s="712">
        <f t="shared" si="11"/>
        <v>100</v>
      </c>
      <c r="V28" s="711" t="s">
        <v>17</v>
      </c>
      <c r="W28" s="712">
        <f t="shared" si="12"/>
        <v>100</v>
      </c>
      <c r="X28" s="1538"/>
      <c r="Y28" s="3311"/>
      <c r="Z28" s="1539" t="str">
        <f t="shared" si="13"/>
        <v>毗邻道路的类型与等级</v>
      </c>
      <c r="AA28" s="1536">
        <f t="shared" si="3"/>
        <v>1</v>
      </c>
      <c r="AB28" s="1536">
        <f t="shared" si="4"/>
        <v>1</v>
      </c>
      <c r="AC28" s="1536">
        <f t="shared" si="5"/>
        <v>1</v>
      </c>
    </row>
    <row r="29" spans="1:29" ht="15">
      <c r="A29" s="385"/>
      <c r="B29" s="586"/>
      <c r="C29" s="404"/>
      <c r="D29" s="405"/>
      <c r="E29" s="2088"/>
      <c r="F29" s="405"/>
      <c r="G29" s="2088"/>
      <c r="H29" s="405"/>
      <c r="I29" s="2088"/>
      <c r="J29" s="405"/>
      <c r="K29" s="568"/>
      <c r="L29" s="2949"/>
      <c r="M29" s="2943"/>
      <c r="N29" s="2943"/>
      <c r="O29" s="3001"/>
      <c r="P29" s="3311"/>
      <c r="Q29" s="1535"/>
      <c r="R29" s="711"/>
      <c r="S29" s="712"/>
      <c r="T29" s="711"/>
      <c r="U29" s="712"/>
      <c r="V29" s="711"/>
      <c r="W29" s="712"/>
      <c r="X29" s="1538"/>
      <c r="Y29" s="3311"/>
      <c r="Z29" s="1539"/>
      <c r="AA29" s="1536">
        <v>1</v>
      </c>
      <c r="AB29" s="1536">
        <v>1</v>
      </c>
      <c r="AC29" s="1536">
        <v>1</v>
      </c>
    </row>
    <row r="30" spans="1:29" ht="15">
      <c r="A30" s="385"/>
      <c r="B30" s="608" t="s">
        <v>2570</v>
      </c>
      <c r="C30" s="1295">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49"/>
      <c r="M30" s="2943"/>
      <c r="N30" s="2943"/>
      <c r="O30" s="3001"/>
      <c r="P30" s="3311"/>
      <c r="Q30" s="1535" t="str">
        <f t="shared" si="8"/>
        <v>土地级别</v>
      </c>
      <c r="R30" s="711" t="s">
        <v>17</v>
      </c>
      <c r="S30" s="712">
        <f t="shared" si="10"/>
        <v>100</v>
      </c>
      <c r="T30" s="711" t="s">
        <v>17</v>
      </c>
      <c r="U30" s="712">
        <f t="shared" si="11"/>
        <v>100</v>
      </c>
      <c r="V30" s="711" t="s">
        <v>17</v>
      </c>
      <c r="W30" s="712">
        <f t="shared" si="12"/>
        <v>100</v>
      </c>
      <c r="X30" s="1538"/>
      <c r="Y30" s="3311"/>
      <c r="Z30" s="1539" t="str">
        <f t="shared" si="13"/>
        <v>土地级别</v>
      </c>
      <c r="AA30" s="1536">
        <f t="shared" si="3"/>
        <v>1</v>
      </c>
      <c r="AB30" s="1536">
        <f t="shared" si="4"/>
        <v>1</v>
      </c>
      <c r="AC30" s="1536">
        <f t="shared" si="5"/>
        <v>1</v>
      </c>
    </row>
    <row r="31" spans="1:29" ht="15">
      <c r="A31" s="362"/>
      <c r="B31" s="2150">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49"/>
      <c r="M31" s="2943"/>
      <c r="N31" s="2943"/>
      <c r="O31" s="3001"/>
      <c r="P31" s="3311"/>
      <c r="Q31" s="1535">
        <f t="shared" si="8"/>
        <v>111</v>
      </c>
      <c r="R31" s="711" t="s">
        <v>17</v>
      </c>
      <c r="S31" s="712">
        <f t="shared" si="10"/>
        <v>100</v>
      </c>
      <c r="T31" s="711" t="s">
        <v>17</v>
      </c>
      <c r="U31" s="712">
        <f t="shared" si="11"/>
        <v>100</v>
      </c>
      <c r="V31" s="711" t="s">
        <v>17</v>
      </c>
      <c r="W31" s="712">
        <f t="shared" si="12"/>
        <v>100</v>
      </c>
      <c r="X31" s="1538"/>
      <c r="Y31" s="3311"/>
      <c r="Z31" s="1539">
        <f t="shared" si="13"/>
        <v>111</v>
      </c>
      <c r="AA31" s="1536">
        <f t="shared" si="3"/>
        <v>1</v>
      </c>
      <c r="AB31" s="1536">
        <f t="shared" si="4"/>
        <v>1</v>
      </c>
      <c r="AC31" s="1536">
        <f t="shared" si="5"/>
        <v>1</v>
      </c>
    </row>
    <row r="32" spans="1:29" ht="15">
      <c r="A32" s="629"/>
      <c r="B32" s="2176">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49"/>
      <c r="M32" s="2943"/>
      <c r="N32" s="2943"/>
      <c r="O32" s="3001"/>
      <c r="P32" s="3312" t="s">
        <v>2385</v>
      </c>
      <c r="Q32" s="1535">
        <f t="shared" si="8"/>
        <v>111</v>
      </c>
      <c r="R32" s="711" t="s">
        <v>17</v>
      </c>
      <c r="S32" s="712">
        <f t="shared" si="10"/>
        <v>100</v>
      </c>
      <c r="T32" s="711" t="s">
        <v>17</v>
      </c>
      <c r="U32" s="712">
        <f t="shared" si="11"/>
        <v>100</v>
      </c>
      <c r="V32" s="711" t="s">
        <v>17</v>
      </c>
      <c r="W32" s="712">
        <f t="shared" si="12"/>
        <v>100</v>
      </c>
      <c r="X32" s="1538"/>
      <c r="Y32" s="3313" t="s">
        <v>2385</v>
      </c>
      <c r="Z32" s="1539">
        <f t="shared" si="13"/>
        <v>111</v>
      </c>
      <c r="AA32" s="1536">
        <f t="shared" si="3"/>
        <v>1</v>
      </c>
      <c r="AB32" s="1536">
        <f t="shared" si="4"/>
        <v>1</v>
      </c>
      <c r="AC32" s="1536">
        <f t="shared" si="5"/>
        <v>1</v>
      </c>
    </row>
    <row r="33" spans="1:31" s="428" customFormat="1" ht="15.75" thickBot="1">
      <c r="A33" s="630"/>
      <c r="B33" s="2177">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48"/>
      <c r="M33" s="2950"/>
      <c r="N33" s="2950"/>
      <c r="O33" s="3002"/>
      <c r="P33" s="3313"/>
      <c r="Q33" s="1535">
        <f t="shared" si="8"/>
        <v>111</v>
      </c>
      <c r="R33" s="714" t="s">
        <v>17</v>
      </c>
      <c r="S33" s="715">
        <f t="shared" si="10"/>
        <v>100</v>
      </c>
      <c r="T33" s="714" t="s">
        <v>17</v>
      </c>
      <c r="U33" s="715">
        <f t="shared" si="11"/>
        <v>100</v>
      </c>
      <c r="V33" s="714" t="s">
        <v>17</v>
      </c>
      <c r="W33" s="715">
        <f t="shared" si="12"/>
        <v>100</v>
      </c>
      <c r="X33" s="716"/>
      <c r="Y33" s="3313"/>
      <c r="Z33" s="717">
        <f t="shared" si="13"/>
        <v>111</v>
      </c>
      <c r="AA33" s="1536">
        <f t="shared" si="3"/>
        <v>1</v>
      </c>
      <c r="AB33" s="1536">
        <f t="shared" si="4"/>
        <v>1</v>
      </c>
      <c r="AC33" s="1536">
        <f t="shared" si="5"/>
        <v>1</v>
      </c>
    </row>
    <row r="34" spans="1:31" ht="15">
      <c r="A34" s="397" t="s">
        <v>2383</v>
      </c>
      <c r="B34" s="413" t="s">
        <v>2571</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49"/>
      <c r="M34" s="2943"/>
      <c r="N34" s="2943"/>
      <c r="O34" s="3001"/>
      <c r="P34" s="3313"/>
      <c r="Q34" s="1535" t="str">
        <f>B34</f>
        <v>宗地面积</v>
      </c>
      <c r="R34" s="711" t="s">
        <v>17</v>
      </c>
      <c r="S34" s="712" t="e">
        <f t="shared" si="10"/>
        <v>#N/A</v>
      </c>
      <c r="T34" s="711" t="s">
        <v>17</v>
      </c>
      <c r="U34" s="712" t="e">
        <f t="shared" si="11"/>
        <v>#N/A</v>
      </c>
      <c r="V34" s="711" t="s">
        <v>17</v>
      </c>
      <c r="W34" s="712" t="e">
        <f t="shared" si="12"/>
        <v>#N/A</v>
      </c>
      <c r="X34" s="1538"/>
      <c r="Y34" s="3313"/>
      <c r="Z34" s="1539" t="str">
        <f t="shared" si="13"/>
        <v>宗地面积</v>
      </c>
      <c r="AA34" s="1536" t="e">
        <f t="shared" si="3"/>
        <v>#N/A</v>
      </c>
      <c r="AB34" s="1536" t="e">
        <f t="shared" si="4"/>
        <v>#N/A</v>
      </c>
      <c r="AC34" s="1536" t="e">
        <f t="shared" si="5"/>
        <v>#N/A</v>
      </c>
    </row>
    <row r="35" spans="1:31" ht="15">
      <c r="A35" s="429"/>
      <c r="B35" s="379" t="s">
        <v>2572</v>
      </c>
      <c r="C35" s="2090"/>
      <c r="D35" s="392">
        <v>100</v>
      </c>
      <c r="E35" s="2090"/>
      <c r="F35" s="392">
        <f>SUMIF(110:110,E35,111:111)-SUMIF(110:110,C35,111:111)+100</f>
        <v>100</v>
      </c>
      <c r="G35" s="2090"/>
      <c r="H35" s="392">
        <f>SUMIF(110:110,G35,111:111)-SUMIF(110:110,C35,111:111)+100</f>
        <v>100</v>
      </c>
      <c r="I35" s="2090"/>
      <c r="J35" s="392">
        <f>SUMIF(110:110,I35,111:111)-SUMIF(110:110,C35,111:111)+100</f>
        <v>100</v>
      </c>
      <c r="K35" s="567"/>
      <c r="L35" s="2949"/>
      <c r="M35" s="2943"/>
      <c r="N35" s="2943"/>
      <c r="O35" s="3001"/>
      <c r="P35" s="3313"/>
      <c r="Q35" s="1535" t="str">
        <f t="shared" ref="Q35:Q40" si="14">B35</f>
        <v>宗地形状</v>
      </c>
      <c r="R35" s="711" t="s">
        <v>17</v>
      </c>
      <c r="S35" s="712">
        <f t="shared" si="10"/>
        <v>100</v>
      </c>
      <c r="T35" s="711" t="s">
        <v>17</v>
      </c>
      <c r="U35" s="712">
        <f t="shared" si="11"/>
        <v>100</v>
      </c>
      <c r="V35" s="711" t="s">
        <v>17</v>
      </c>
      <c r="W35" s="712">
        <f t="shared" si="12"/>
        <v>100</v>
      </c>
      <c r="X35" s="1538"/>
      <c r="Y35" s="3313"/>
      <c r="Z35" s="1539" t="str">
        <f t="shared" si="13"/>
        <v>宗地形状</v>
      </c>
      <c r="AA35" s="1536">
        <f t="shared" si="3"/>
        <v>1</v>
      </c>
      <c r="AB35" s="1536">
        <f t="shared" si="4"/>
        <v>1</v>
      </c>
      <c r="AC35" s="1536">
        <f t="shared" si="5"/>
        <v>1</v>
      </c>
    </row>
    <row r="36" spans="1:31" s="113" customFormat="1" ht="15">
      <c r="A36" s="430"/>
      <c r="B36" s="379" t="s">
        <v>2574</v>
      </c>
      <c r="C36" s="2164"/>
      <c r="D36" s="130">
        <v>100</v>
      </c>
      <c r="E36" s="2164"/>
      <c r="F36" s="392">
        <f>SUMIF(112:112,E36,113:113)-SUMIF(112:112,C36,113:113)+100</f>
        <v>100</v>
      </c>
      <c r="G36" s="2164"/>
      <c r="H36" s="392">
        <f>SUMIF(112:112,G36,113:113)-SUMIF(112:112,C36,113:113)+100</f>
        <v>100</v>
      </c>
      <c r="I36" s="2164"/>
      <c r="J36" s="392">
        <f>SUMIF(112:112,I36,113:113)-SUMIF(112:112,C36,113:113)+100</f>
        <v>100</v>
      </c>
      <c r="K36" s="567"/>
      <c r="L36" s="2944"/>
      <c r="M36" s="2945"/>
      <c r="N36" s="2945"/>
      <c r="O36" s="2999"/>
      <c r="P36" s="3313"/>
      <c r="Q36" s="1535" t="str">
        <f t="shared" si="14"/>
        <v>宗地开发程度</v>
      </c>
      <c r="R36" s="707" t="s">
        <v>17</v>
      </c>
      <c r="S36" s="708">
        <f t="shared" si="10"/>
        <v>100</v>
      </c>
      <c r="T36" s="707" t="s">
        <v>17</v>
      </c>
      <c r="U36" s="708">
        <f t="shared" si="11"/>
        <v>100</v>
      </c>
      <c r="V36" s="707" t="s">
        <v>17</v>
      </c>
      <c r="W36" s="708">
        <f t="shared" si="12"/>
        <v>100</v>
      </c>
      <c r="X36" s="709"/>
      <c r="Y36" s="3313"/>
      <c r="Z36" s="55" t="str">
        <f t="shared" si="13"/>
        <v>宗地开发程度</v>
      </c>
      <c r="AA36" s="710">
        <f t="shared" si="3"/>
        <v>1</v>
      </c>
      <c r="AB36" s="710">
        <f t="shared" si="4"/>
        <v>1</v>
      </c>
      <c r="AC36" s="710">
        <f t="shared" si="5"/>
        <v>1</v>
      </c>
    </row>
    <row r="37" spans="1:31" ht="15">
      <c r="A37" s="429"/>
      <c r="B37" s="379" t="s">
        <v>2575</v>
      </c>
      <c r="C37" s="2090"/>
      <c r="D37" s="392">
        <v>100</v>
      </c>
      <c r="E37" s="2090"/>
      <c r="F37" s="392">
        <f>SUMIF(114:114,E37,115:115)-SUMIF(114:114,C37,115:115)+100</f>
        <v>100</v>
      </c>
      <c r="G37" s="2090"/>
      <c r="H37" s="392">
        <f>SUMIF(114:114,G37,115:115)-SUMIF(114:114,C37,115:115)+100</f>
        <v>100</v>
      </c>
      <c r="I37" s="2090"/>
      <c r="J37" s="392">
        <f>SUMIF(114:114,I37,115:115)-SUMIF(114:114,C37,115:115)+100</f>
        <v>100</v>
      </c>
      <c r="K37" s="567"/>
      <c r="L37" s="2949"/>
      <c r="M37" s="2943"/>
      <c r="N37" s="2943"/>
      <c r="O37" s="3001"/>
      <c r="P37" s="3313" t="s">
        <v>2385</v>
      </c>
      <c r="Q37" s="1535" t="str">
        <f t="shared" si="14"/>
        <v>工程地质条件</v>
      </c>
      <c r="R37" s="711" t="s">
        <v>17</v>
      </c>
      <c r="S37" s="712">
        <f t="shared" si="10"/>
        <v>100</v>
      </c>
      <c r="T37" s="711" t="s">
        <v>17</v>
      </c>
      <c r="U37" s="712">
        <f t="shared" si="11"/>
        <v>100</v>
      </c>
      <c r="V37" s="711" t="s">
        <v>17</v>
      </c>
      <c r="W37" s="712">
        <f t="shared" si="12"/>
        <v>100</v>
      </c>
      <c r="X37" s="1538"/>
      <c r="Y37" s="3313" t="s">
        <v>2385</v>
      </c>
      <c r="Z37" s="1539" t="str">
        <f t="shared" si="13"/>
        <v>工程地质条件</v>
      </c>
      <c r="AA37" s="1536">
        <f t="shared" si="3"/>
        <v>1</v>
      </c>
      <c r="AB37" s="1536">
        <f t="shared" si="4"/>
        <v>1</v>
      </c>
      <c r="AC37" s="1536">
        <f t="shared" si="5"/>
        <v>1</v>
      </c>
    </row>
    <row r="38" spans="1:31" ht="15">
      <c r="A38" s="429"/>
      <c r="B38" s="1293">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49"/>
      <c r="M38" s="2943"/>
      <c r="N38" s="2943"/>
      <c r="O38" s="3001"/>
      <c r="P38" s="3313"/>
      <c r="Q38" s="1535">
        <f t="shared" si="14"/>
        <v>111</v>
      </c>
      <c r="R38" s="711" t="s">
        <v>17</v>
      </c>
      <c r="S38" s="712">
        <f t="shared" si="10"/>
        <v>100</v>
      </c>
      <c r="T38" s="711" t="s">
        <v>17</v>
      </c>
      <c r="U38" s="712">
        <f t="shared" si="11"/>
        <v>100</v>
      </c>
      <c r="V38" s="711" t="s">
        <v>17</v>
      </c>
      <c r="W38" s="712">
        <f t="shared" si="12"/>
        <v>100</v>
      </c>
      <c r="X38" s="1538"/>
      <c r="Y38" s="3313"/>
      <c r="Z38" s="1539">
        <f t="shared" si="13"/>
        <v>111</v>
      </c>
      <c r="AA38" s="1536">
        <f t="shared" si="3"/>
        <v>1</v>
      </c>
      <c r="AB38" s="1536">
        <f t="shared" si="4"/>
        <v>1</v>
      </c>
      <c r="AC38" s="1536">
        <f t="shared" si="5"/>
        <v>1</v>
      </c>
    </row>
    <row r="39" spans="1:31" ht="15">
      <c r="A39" s="429"/>
      <c r="B39" s="1293">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49"/>
      <c r="M39" s="2943"/>
      <c r="N39" s="2943"/>
      <c r="O39" s="3001"/>
      <c r="P39" s="3313"/>
      <c r="Q39" s="1535">
        <f t="shared" si="14"/>
        <v>111</v>
      </c>
      <c r="R39" s="711" t="s">
        <v>17</v>
      </c>
      <c r="S39" s="712">
        <f t="shared" si="10"/>
        <v>100</v>
      </c>
      <c r="T39" s="711" t="s">
        <v>17</v>
      </c>
      <c r="U39" s="712">
        <f t="shared" si="11"/>
        <v>100</v>
      </c>
      <c r="V39" s="711" t="s">
        <v>17</v>
      </c>
      <c r="W39" s="712">
        <f t="shared" si="12"/>
        <v>100</v>
      </c>
      <c r="X39" s="1538"/>
      <c r="Y39" s="3313"/>
      <c r="Z39" s="1539">
        <f t="shared" si="13"/>
        <v>111</v>
      </c>
      <c r="AA39" s="1536">
        <f t="shared" si="3"/>
        <v>1</v>
      </c>
      <c r="AB39" s="1536">
        <f t="shared" si="4"/>
        <v>1</v>
      </c>
      <c r="AC39" s="1536">
        <f t="shared" si="5"/>
        <v>1</v>
      </c>
    </row>
    <row r="40" spans="1:31" s="428" customFormat="1" ht="15.75" thickBot="1">
      <c r="A40" s="425"/>
      <c r="B40" s="1293">
        <v>111</v>
      </c>
      <c r="C40" s="2165"/>
      <c r="D40" s="131">
        <v>100</v>
      </c>
      <c r="E40" s="628"/>
      <c r="F40" s="395">
        <f>SUMIF(120:120,E40,121:121)-SUMIF(120:120,C40,121:121)+100</f>
        <v>100</v>
      </c>
      <c r="G40" s="628"/>
      <c r="H40" s="395">
        <f>SUMIF(120:120,G40,121:121)-SUMIF(120:120,C40,121:121)+100</f>
        <v>100</v>
      </c>
      <c r="I40" s="504"/>
      <c r="J40" s="395">
        <f>SUMIF(120:120,I40,121:121)-SUMIF(120:120,C40,121:121)+100</f>
        <v>100</v>
      </c>
      <c r="K40" s="635"/>
      <c r="L40" s="2948"/>
      <c r="M40" s="2950"/>
      <c r="N40" s="2950"/>
      <c r="O40" s="3002"/>
      <c r="P40" s="3313"/>
      <c r="Q40" s="1535">
        <f t="shared" si="14"/>
        <v>111</v>
      </c>
      <c r="R40" s="714" t="s">
        <v>17</v>
      </c>
      <c r="S40" s="715">
        <f t="shared" si="10"/>
        <v>100</v>
      </c>
      <c r="T40" s="714" t="s">
        <v>17</v>
      </c>
      <c r="U40" s="715">
        <f t="shared" si="11"/>
        <v>100</v>
      </c>
      <c r="V40" s="714" t="s">
        <v>17</v>
      </c>
      <c r="W40" s="715">
        <f t="shared" si="12"/>
        <v>100</v>
      </c>
      <c r="X40" s="716"/>
      <c r="Y40" s="3313"/>
      <c r="Z40" s="717">
        <f t="shared" si="13"/>
        <v>111</v>
      </c>
      <c r="AA40" s="1536">
        <f t="shared" si="3"/>
        <v>1</v>
      </c>
      <c r="AB40" s="1536">
        <f t="shared" si="4"/>
        <v>1</v>
      </c>
      <c r="AC40" s="1536">
        <f t="shared" si="5"/>
        <v>1</v>
      </c>
    </row>
    <row r="41" spans="1:31" ht="15">
      <c r="A41" s="436" t="s">
        <v>2540</v>
      </c>
      <c r="B41" s="2166" t="s">
        <v>2620</v>
      </c>
      <c r="C41" s="636" t="s">
        <v>1</v>
      </c>
      <c r="D41" s="438"/>
      <c r="E41" s="439"/>
      <c r="F41" s="440"/>
      <c r="G41" s="441"/>
      <c r="H41" s="442"/>
      <c r="I41" s="439"/>
      <c r="J41" s="442"/>
      <c r="K41" s="720"/>
      <c r="L41" s="2951"/>
      <c r="M41" s="2943"/>
      <c r="N41" s="2943"/>
      <c r="O41" s="2952"/>
      <c r="P41" s="3295" t="str">
        <f>A41</f>
        <v>成交单价</v>
      </c>
      <c r="Q41" s="3295"/>
      <c r="R41" s="3308">
        <f>E41</f>
        <v>0</v>
      </c>
      <c r="S41" s="3308"/>
      <c r="T41" s="3308">
        <f>G41</f>
        <v>0</v>
      </c>
      <c r="U41" s="3308"/>
      <c r="V41" s="3308">
        <f>I41</f>
        <v>0</v>
      </c>
      <c r="W41" s="3308"/>
      <c r="X41" s="696"/>
      <c r="Y41" s="718"/>
      <c r="Z41" s="696"/>
      <c r="AA41" s="696"/>
      <c r="AB41" s="696"/>
      <c r="AC41" s="696"/>
    </row>
    <row r="42" spans="1:31" ht="15.75" thickBot="1">
      <c r="A42" s="443" t="s">
        <v>2489</v>
      </c>
      <c r="B42" s="637"/>
      <c r="C42" s="446" t="e">
        <f>R43</f>
        <v>#DIV/0!</v>
      </c>
      <c r="D42" s="2536" t="s">
        <v>2879</v>
      </c>
      <c r="E42" s="446" t="e">
        <f>R42</f>
        <v>#DIV/0!</v>
      </c>
      <c r="F42" s="2537"/>
      <c r="G42" s="445" t="e">
        <f>T42</f>
        <v>#DIV/0!</v>
      </c>
      <c r="H42" s="2537"/>
      <c r="I42" s="446" t="e">
        <f>V42</f>
        <v>#DIV/0!</v>
      </c>
      <c r="J42" s="2537"/>
      <c r="K42" s="2539">
        <f>F42+H42+J42</f>
        <v>0</v>
      </c>
      <c r="L42" s="2951"/>
      <c r="M42" s="2943"/>
      <c r="N42" s="2943"/>
      <c r="O42" s="2952"/>
      <c r="P42" s="3295" t="str">
        <f>A42</f>
        <v>比较价值（元/平方米）</v>
      </c>
      <c r="Q42" s="3295"/>
      <c r="R42" s="3314" t="e">
        <f>ROUND(PRODUCT(R41,AA7:AA40),0)</f>
        <v>#DIV/0!</v>
      </c>
      <c r="S42" s="3314"/>
      <c r="T42" s="3314" t="e">
        <f>ROUND(PRODUCT(T41,AB7:AB40),0)</f>
        <v>#DIV/0!</v>
      </c>
      <c r="U42" s="3314"/>
      <c r="V42" s="3314" t="e">
        <f>ROUND(PRODUCT(V41,AC7:AC40),0)</f>
        <v>#DIV/0!</v>
      </c>
      <c r="W42" s="3314"/>
      <c r="X42" s="696"/>
      <c r="Y42" s="696"/>
      <c r="Z42" s="696"/>
      <c r="AA42" s="696"/>
      <c r="AB42" s="696"/>
      <c r="AC42" s="696"/>
    </row>
    <row r="43" spans="1:31" ht="15.75" thickBot="1">
      <c r="A43" s="447" t="s">
        <v>2490</v>
      </c>
      <c r="B43" s="448"/>
      <c r="C43" s="449" t="e">
        <f>R43</f>
        <v>#DIV/0!</v>
      </c>
      <c r="D43" s="449"/>
      <c r="E43" s="449"/>
      <c r="F43" s="449"/>
      <c r="G43" s="449"/>
      <c r="H43" s="449"/>
      <c r="I43" s="449"/>
      <c r="J43" s="449"/>
      <c r="K43" s="721"/>
      <c r="L43" s="2951"/>
      <c r="M43" s="2943"/>
      <c r="N43" s="2943"/>
      <c r="O43" s="2952"/>
      <c r="P43" s="3315" t="str">
        <f>A43</f>
        <v>估价对象XX用房的比较价值（楼面单价，元/平方米）</v>
      </c>
      <c r="Q43" s="3316"/>
      <c r="R43" s="3317" t="e">
        <f>ROUND(IF(D42="简单平均",AVERAGE(R42:W42),R42*F42+T42*H42+V42*J42),0)</f>
        <v>#DIV/0!</v>
      </c>
      <c r="S43" s="3317"/>
      <c r="T43" s="3317"/>
      <c r="U43" s="3317"/>
      <c r="V43" s="3317"/>
      <c r="W43" s="3317"/>
      <c r="X43" s="696"/>
      <c r="Y43" s="696"/>
      <c r="Z43" s="696"/>
      <c r="AA43" s="696"/>
      <c r="AB43" s="696"/>
      <c r="AC43" s="696"/>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2" t="s">
        <v>2491</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2" t="s">
        <v>2492</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7" customFormat="1" ht="13.5" customHeight="1">
      <c r="A48" s="2955"/>
      <c r="B48" s="2955"/>
      <c r="C48" s="452" t="s">
        <v>2493</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7" customFormat="1" ht="15" thickBot="1">
      <c r="A49" s="2955"/>
      <c r="B49" s="2958"/>
      <c r="C49" s="699"/>
      <c r="D49" s="697"/>
      <c r="E49" s="697"/>
      <c r="F49" s="697"/>
      <c r="G49" s="697"/>
      <c r="H49" s="697"/>
      <c r="I49" s="697"/>
      <c r="J49" s="697"/>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38" t="s">
        <v>2578</v>
      </c>
      <c r="B50" s="639" t="s">
        <v>2579</v>
      </c>
      <c r="C50" s="2167" t="s">
        <v>2580</v>
      </c>
      <c r="D50" s="2168" t="s">
        <v>2581</v>
      </c>
      <c r="E50" s="640" t="s">
        <v>2582</v>
      </c>
      <c r="F50" s="641" t="s">
        <v>2583</v>
      </c>
      <c r="G50" s="3296" t="s">
        <v>2584</v>
      </c>
      <c r="H50" s="3318"/>
      <c r="I50" s="1539" t="s">
        <v>2621</v>
      </c>
      <c r="J50" s="1539">
        <f>项目基本情况!F35</f>
        <v>0</v>
      </c>
      <c r="K50" s="2170"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6" customFormat="1">
      <c r="A51" s="642" t="s">
        <v>2587</v>
      </c>
      <c r="B51" s="643" t="e">
        <f>C43</f>
        <v>#DIV/0!</v>
      </c>
      <c r="C51" s="644">
        <v>1</v>
      </c>
      <c r="D51" s="1072">
        <v>1</v>
      </c>
      <c r="E51" s="644">
        <f>'数据-汇总表'!E8+'数据-汇总表'!E9</f>
        <v>111596.87</v>
      </c>
      <c r="F51" s="645" t="e">
        <f t="shared" ref="F51:F60" si="15">ROUND(B51*E51/10000,0)</f>
        <v>#DIV/0!</v>
      </c>
      <c r="G51" s="3319"/>
      <c r="H51" s="3295"/>
      <c r="I51" s="876">
        <v>1</v>
      </c>
      <c r="J51" s="876">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6" customFormat="1">
      <c r="A52" s="647" t="s">
        <v>2588</v>
      </c>
      <c r="B52" s="222" t="e">
        <f>ROUND($C$43*C52*D52,0)</f>
        <v>#DIV/0!</v>
      </c>
      <c r="C52" s="174">
        <f t="shared" ref="C52:C60" si="16">IF($C$50="北京市系数",I52,J52)</f>
        <v>0.8</v>
      </c>
      <c r="D52" s="1073">
        <v>0.25</v>
      </c>
      <c r="E52" s="648"/>
      <c r="F52" s="645" t="e">
        <f t="shared" si="15"/>
        <v>#DIV/0!</v>
      </c>
      <c r="G52" s="3320" t="s">
        <v>2589</v>
      </c>
      <c r="H52" s="1015" t="str">
        <f>项目基本情况!B37</f>
        <v>一级</v>
      </c>
      <c r="I52" s="876">
        <f>SUMIF(修正!A45:A56,H52,修正!B45:B56)</f>
        <v>0.8</v>
      </c>
      <c r="J52" s="877"/>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6" customFormat="1">
      <c r="A53" s="647" t="s">
        <v>2590</v>
      </c>
      <c r="B53" s="222" t="e">
        <f t="shared" ref="B53:B60" si="17">ROUND($C$43*C53*D53,0)</f>
        <v>#DIV/0!</v>
      </c>
      <c r="C53" s="174">
        <f t="shared" si="16"/>
        <v>0.5</v>
      </c>
      <c r="D53" s="1073">
        <v>0.25</v>
      </c>
      <c r="E53" s="648"/>
      <c r="F53" s="645" t="e">
        <f t="shared" si="15"/>
        <v>#DIV/0!</v>
      </c>
      <c r="G53" s="3320"/>
      <c r="H53" s="1015" t="str">
        <f>项目基本情况!B37</f>
        <v>一级</v>
      </c>
      <c r="I53" s="876">
        <f>SUMIF(修正!A45:A56,H53,修正!C45:C56)</f>
        <v>0.5</v>
      </c>
      <c r="J53" s="877"/>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6" customFormat="1">
      <c r="A54" s="647" t="s">
        <v>2591</v>
      </c>
      <c r="B54" s="222" t="e">
        <f t="shared" si="17"/>
        <v>#DIV/0!</v>
      </c>
      <c r="C54" s="174">
        <f t="shared" si="16"/>
        <v>0.36</v>
      </c>
      <c r="D54" s="1073">
        <v>0.25</v>
      </c>
      <c r="E54" s="648"/>
      <c r="F54" s="645" t="e">
        <f t="shared" si="15"/>
        <v>#DIV/0!</v>
      </c>
      <c r="G54" s="3320"/>
      <c r="H54" s="1015" t="str">
        <f>项目基本情况!B37</f>
        <v>一级</v>
      </c>
      <c r="I54" s="876">
        <f>SUMIF(修正!A45:A56,H54,修正!D45:D56)</f>
        <v>0.36</v>
      </c>
      <c r="J54" s="877"/>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6" customFormat="1">
      <c r="A55" s="647" t="s">
        <v>2592</v>
      </c>
      <c r="B55" s="222" t="e">
        <f t="shared" si="17"/>
        <v>#DIV/0!</v>
      </c>
      <c r="C55" s="174">
        <f t="shared" si="16"/>
        <v>0.3</v>
      </c>
      <c r="D55" s="1073">
        <v>0.25</v>
      </c>
      <c r="E55" s="648"/>
      <c r="F55" s="645" t="e">
        <f t="shared" si="15"/>
        <v>#DIV/0!</v>
      </c>
      <c r="G55" s="3320"/>
      <c r="H55" s="1015" t="str">
        <f>项目基本情况!B37</f>
        <v>一级</v>
      </c>
      <c r="I55" s="876">
        <f>SUMIF(修正!A45:A56,H55,修正!E45:E56)</f>
        <v>0.3</v>
      </c>
      <c r="J55" s="877"/>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6" customFormat="1">
      <c r="A56" s="647" t="s">
        <v>2593</v>
      </c>
      <c r="B56" s="222" t="e">
        <f t="shared" si="17"/>
        <v>#DIV/0!</v>
      </c>
      <c r="C56" s="174">
        <f t="shared" si="16"/>
        <v>0.3</v>
      </c>
      <c r="D56" s="1073">
        <v>0.25</v>
      </c>
      <c r="E56" s="221">
        <f>'数据-汇总表'!E11</f>
        <v>0</v>
      </c>
      <c r="F56" s="645" t="e">
        <f t="shared" si="15"/>
        <v>#DIV/0!</v>
      </c>
      <c r="G56" s="2171" t="s">
        <v>2594</v>
      </c>
      <c r="H56" s="1015" t="str">
        <f>项目基本情况!C37</f>
        <v>一级</v>
      </c>
      <c r="I56" s="876">
        <f>SUMIF(修正!A45:A56,H56,修正!F45:F56)</f>
        <v>0.3</v>
      </c>
      <c r="J56" s="877"/>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6" customFormat="1">
      <c r="A57" s="647" t="s">
        <v>2595</v>
      </c>
      <c r="B57" s="222" t="e">
        <f t="shared" si="17"/>
        <v>#DIV/0!</v>
      </c>
      <c r="C57" s="174">
        <f t="shared" si="16"/>
        <v>0.3</v>
      </c>
      <c r="D57" s="1073">
        <v>0.25</v>
      </c>
      <c r="E57" s="221">
        <f>'数据-汇总表'!E12</f>
        <v>0</v>
      </c>
      <c r="F57" s="645" t="e">
        <f t="shared" si="15"/>
        <v>#DIV/0!</v>
      </c>
      <c r="G57" s="1020" t="s">
        <v>2596</v>
      </c>
      <c r="H57" s="1015" t="str">
        <f>IF(G57="商业",项目基本情况!B37,IF(G57="办公",项目基本情况!C37,IF(G57="住宅",项目基本情况!D37,项目基本情况!E37)))</f>
        <v>一级</v>
      </c>
      <c r="I57" s="876">
        <f>SUMIF(修正!A45:A56,H57,修正!G45:G56)</f>
        <v>0.3</v>
      </c>
      <c r="J57" s="877"/>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6" customFormat="1">
      <c r="A58" s="647" t="s">
        <v>2597</v>
      </c>
      <c r="B58" s="222" t="e">
        <f t="shared" si="17"/>
        <v>#DIV/0!</v>
      </c>
      <c r="C58" s="174">
        <f t="shared" si="16"/>
        <v>0</v>
      </c>
      <c r="D58" s="1073">
        <v>0.25</v>
      </c>
      <c r="E58" s="221">
        <f>'数据-汇总表'!E13</f>
        <v>41869.699999999997</v>
      </c>
      <c r="F58" s="645" t="e">
        <f t="shared" si="15"/>
        <v>#DIV/0!</v>
      </c>
      <c r="G58" s="1020" t="s">
        <v>2598</v>
      </c>
      <c r="H58" s="1015">
        <f>IF(G58="商业",项目基本情况!B37,IF(G58="办公",项目基本情况!C37,IF(G58="住宅",项目基本情况!D37,项目基本情况!E37)))</f>
        <v>0</v>
      </c>
      <c r="I58" s="876">
        <f>SUMIF(修正!A45:A56,H58,修正!H45:H56)</f>
        <v>0</v>
      </c>
      <c r="J58" s="877"/>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6" customFormat="1">
      <c r="A59" s="647" t="s">
        <v>2599</v>
      </c>
      <c r="B59" s="222" t="e">
        <f t="shared" si="17"/>
        <v>#DIV/0!</v>
      </c>
      <c r="C59" s="174">
        <f t="shared" si="16"/>
        <v>0.25</v>
      </c>
      <c r="D59" s="1073">
        <v>0.25</v>
      </c>
      <c r="E59" s="221">
        <f>'数据-汇总表'!E14</f>
        <v>0</v>
      </c>
      <c r="F59" s="645" t="e">
        <f t="shared" si="15"/>
        <v>#DIV/0!</v>
      </c>
      <c r="G59" s="2171" t="s">
        <v>2589</v>
      </c>
      <c r="H59" s="1015" t="str">
        <f>项目基本情况!B37</f>
        <v>一级</v>
      </c>
      <c r="I59" s="876">
        <f>SUMIF(修正!A45:A56,H59,修正!H45:H56)</f>
        <v>0.25</v>
      </c>
      <c r="J59" s="877"/>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6" customFormat="1" ht="15" thickBot="1">
      <c r="A60" s="647" t="s">
        <v>2600</v>
      </c>
      <c r="B60" s="222" t="e">
        <f t="shared" si="17"/>
        <v>#DIV/0!</v>
      </c>
      <c r="C60" s="174">
        <f t="shared" si="16"/>
        <v>0.25</v>
      </c>
      <c r="D60" s="1073">
        <v>0.25</v>
      </c>
      <c r="E60" s="221">
        <f>'数据-汇总表'!E15</f>
        <v>0</v>
      </c>
      <c r="F60" s="645" t="e">
        <f t="shared" si="15"/>
        <v>#DIV/0!</v>
      </c>
      <c r="G60" s="2172" t="s">
        <v>2594</v>
      </c>
      <c r="H60" s="1025" t="str">
        <f>项目基本情况!C37</f>
        <v>一级</v>
      </c>
      <c r="I60" s="876">
        <f>SUMIF(修正!A45:A56,H60,修正!H45:H56)</f>
        <v>0.25</v>
      </c>
      <c r="J60" s="877"/>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6" customFormat="1" ht="15" thickBot="1">
      <c r="A61" s="649" t="s">
        <v>2601</v>
      </c>
      <c r="B61" s="650" t="s">
        <v>28</v>
      </c>
      <c r="C61" s="650" t="s">
        <v>29</v>
      </c>
      <c r="D61" s="650" t="s">
        <v>997</v>
      </c>
      <c r="E61" s="650">
        <f>IF(B41="楼面地价",SUM(E51:E60),'数据-汇总表'!D3)</f>
        <v>18643.39</v>
      </c>
      <c r="F61" s="651" t="e">
        <f>IF(B41="楼面地价",SUM(F51:F60),ROUND(C43*E61/10000,0))</f>
        <v>#DIV/0!</v>
      </c>
      <c r="G61" s="1067"/>
      <c r="H61" s="1067"/>
      <c r="I61" s="1067"/>
      <c r="J61" s="1067"/>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5"/>
      <c r="B62" s="1057"/>
      <c r="C62" s="1059"/>
      <c r="D62" s="1055"/>
      <c r="E62" s="1055"/>
      <c r="F62" s="1055"/>
      <c r="G62" s="1055"/>
      <c r="H62" s="1055"/>
      <c r="I62" s="1055"/>
      <c r="J62" s="1055"/>
      <c r="K62" s="1016"/>
      <c r="L62" s="1017"/>
      <c r="M62" s="1055"/>
      <c r="N62" s="1055"/>
      <c r="O62" s="1055"/>
      <c r="P62" s="2952"/>
      <c r="Q62" s="2952"/>
      <c r="R62" s="2952"/>
      <c r="S62" s="2952"/>
      <c r="T62" s="2952"/>
      <c r="U62" s="2952"/>
      <c r="V62" s="2952"/>
      <c r="W62" s="2952"/>
      <c r="X62" s="2952"/>
      <c r="Y62" s="2952"/>
      <c r="Z62" s="2952"/>
      <c r="AA62" s="2952"/>
      <c r="AB62" s="2952"/>
      <c r="AC62" s="2952"/>
      <c r="AD62" s="2952"/>
      <c r="AE62" s="2952"/>
    </row>
    <row r="63" spans="1:31">
      <c r="A63" s="1055"/>
      <c r="B63" s="1057"/>
      <c r="C63" s="698" t="str">
        <f>YEAR(C7)&amp;"-"&amp;MONTH(C7)&amp;"-1"</f>
        <v>2020-11-1</v>
      </c>
      <c r="D63" s="698">
        <f>EDATE(C63,-3)</f>
        <v>44044</v>
      </c>
      <c r="E63" s="698">
        <f>EDATE(D63,-3)</f>
        <v>43952</v>
      </c>
      <c r="F63" s="698">
        <f t="shared" ref="F63:O63" si="18">EDATE(E63,-3)</f>
        <v>43862</v>
      </c>
      <c r="G63" s="698">
        <f t="shared" si="18"/>
        <v>43770</v>
      </c>
      <c r="H63" s="698">
        <f t="shared" si="18"/>
        <v>43678</v>
      </c>
      <c r="I63" s="698">
        <f t="shared" si="18"/>
        <v>43586</v>
      </c>
      <c r="J63" s="698">
        <f t="shared" si="18"/>
        <v>43497</v>
      </c>
      <c r="K63" s="698">
        <f t="shared" si="18"/>
        <v>43405</v>
      </c>
      <c r="L63" s="698">
        <f t="shared" si="18"/>
        <v>43313</v>
      </c>
      <c r="M63" s="698">
        <f t="shared" si="18"/>
        <v>43221</v>
      </c>
      <c r="N63" s="698">
        <f t="shared" si="18"/>
        <v>43132</v>
      </c>
      <c r="O63" s="698">
        <f t="shared" si="18"/>
        <v>43040</v>
      </c>
      <c r="P63" s="2952"/>
      <c r="Q63" s="2952"/>
      <c r="R63" s="2952"/>
      <c r="S63" s="2952"/>
      <c r="T63" s="2952"/>
      <c r="U63" s="2952"/>
      <c r="V63" s="2952"/>
      <c r="W63" s="2952"/>
      <c r="X63" s="2952"/>
      <c r="Y63" s="2952"/>
      <c r="Z63" s="2952"/>
      <c r="AA63" s="2952"/>
      <c r="AB63" s="2952"/>
      <c r="AC63" s="2952"/>
      <c r="AD63" s="2952"/>
      <c r="AE63" s="2952"/>
    </row>
    <row r="64" spans="1:31" ht="21.75" thickBot="1">
      <c r="A64" s="700" t="s">
        <v>2494</v>
      </c>
      <c r="B64" s="696"/>
      <c r="C64" s="701"/>
      <c r="D64" s="701"/>
      <c r="E64" s="701"/>
      <c r="F64" s="702"/>
      <c r="G64" s="702"/>
      <c r="H64" s="701"/>
      <c r="I64" s="701"/>
      <c r="J64" s="701"/>
      <c r="K64" s="703"/>
      <c r="L64" s="704"/>
      <c r="M64" s="701"/>
      <c r="N64" s="701"/>
      <c r="O64" s="1068"/>
      <c r="P64" s="2996"/>
      <c r="Q64" s="2966"/>
      <c r="R64" s="2952"/>
      <c r="S64" s="2952"/>
      <c r="T64" s="2952"/>
      <c r="U64" s="2952"/>
      <c r="V64" s="2952"/>
      <c r="W64" s="2952"/>
      <c r="X64" s="2952"/>
      <c r="Y64" s="2952"/>
      <c r="Z64" s="2952"/>
      <c r="AA64" s="2952"/>
      <c r="AB64" s="2952"/>
      <c r="AC64" s="2952"/>
      <c r="AD64" s="2952"/>
      <c r="AE64" s="2952"/>
    </row>
    <row r="65" spans="1:31" s="463" customFormat="1" ht="15">
      <c r="A65" s="2173" t="s">
        <v>2602</v>
      </c>
      <c r="B65" s="1266"/>
      <c r="C65" s="1341" t="str">
        <f>YEAR(C63)&amp;"-"&amp;ROUNDUP(MONTH(C63)/3,0)</f>
        <v>2020-4</v>
      </c>
      <c r="D65" s="1341" t="str">
        <f t="shared" ref="D65:O65" si="19">YEAR(D63)&amp;"-"&amp;ROUNDUP(MONTH(D63)/3,0)</f>
        <v>2020-3</v>
      </c>
      <c r="E65" s="1341" t="str">
        <f t="shared" si="19"/>
        <v>2020-2</v>
      </c>
      <c r="F65" s="1341" t="str">
        <f t="shared" si="19"/>
        <v>2020-1</v>
      </c>
      <c r="G65" s="1341" t="str">
        <f t="shared" si="19"/>
        <v>2019-4</v>
      </c>
      <c r="H65" s="1341" t="str">
        <f t="shared" si="19"/>
        <v>2019-3</v>
      </c>
      <c r="I65" s="1341" t="str">
        <f t="shared" si="19"/>
        <v>2019-2</v>
      </c>
      <c r="J65" s="1341" t="str">
        <f t="shared" si="19"/>
        <v>2019-1</v>
      </c>
      <c r="K65" s="1341" t="str">
        <f t="shared" si="19"/>
        <v>2018-4</v>
      </c>
      <c r="L65" s="1341" t="str">
        <f t="shared" si="19"/>
        <v>2018-3</v>
      </c>
      <c r="M65" s="1341" t="str">
        <f t="shared" si="19"/>
        <v>2018-2</v>
      </c>
      <c r="N65" s="1341" t="str">
        <f t="shared" si="19"/>
        <v>2018-1</v>
      </c>
      <c r="O65" s="1341" t="str">
        <f t="shared" si="19"/>
        <v>2017-4</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2622</v>
      </c>
      <c r="B66" s="292" t="str">
        <f>"北京市平均增长率"&amp;TEXT(基准地价修正!P24,"0.00%")</f>
        <v>北京市平均增长率1.23%</v>
      </c>
      <c r="C66" s="558">
        <v>100</v>
      </c>
      <c r="D66" s="550"/>
      <c r="E66" s="550"/>
      <c r="F66" s="550"/>
      <c r="G66" s="550"/>
      <c r="H66" s="550"/>
      <c r="I66" s="550"/>
      <c r="J66" s="550"/>
      <c r="K66" s="550"/>
      <c r="L66" s="550"/>
      <c r="M66" s="1337"/>
      <c r="N66" s="1337"/>
      <c r="O66" s="1339"/>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0" t="s">
        <v>2405</v>
      </c>
      <c r="B67" s="471"/>
      <c r="C67" s="472"/>
      <c r="D67" s="473"/>
      <c r="E67" s="473"/>
      <c r="F67" s="473"/>
      <c r="G67" s="473"/>
      <c r="H67" s="473"/>
      <c r="I67" s="473"/>
      <c r="J67" s="473"/>
      <c r="K67" s="473"/>
      <c r="L67" s="473"/>
      <c r="M67" s="474"/>
      <c r="N67" s="474"/>
      <c r="O67" s="475"/>
      <c r="P67" s="2966"/>
      <c r="Q67" s="2966"/>
      <c r="R67" s="2886"/>
      <c r="S67" s="2886"/>
      <c r="T67" s="2886"/>
      <c r="U67" s="2886"/>
      <c r="V67" s="2886"/>
      <c r="W67" s="2886"/>
      <c r="X67" s="2886"/>
      <c r="Y67" s="2886"/>
      <c r="Z67" s="2886"/>
      <c r="AA67" s="2886"/>
      <c r="AB67" s="2886"/>
      <c r="AC67" s="2886"/>
      <c r="AD67" s="2886"/>
      <c r="AE67" s="2886"/>
    </row>
    <row r="68" spans="1:31" s="113" customFormat="1" ht="15">
      <c r="A68" s="476" t="s">
        <v>2370</v>
      </c>
      <c r="B68" s="465"/>
      <c r="C68" s="477" t="s">
        <v>2472</v>
      </c>
      <c r="D68" s="478"/>
      <c r="E68" s="478"/>
      <c r="F68" s="478"/>
      <c r="G68" s="478"/>
      <c r="H68" s="478"/>
      <c r="I68" s="478"/>
      <c r="J68" s="478"/>
      <c r="K68" s="478"/>
      <c r="L68" s="479"/>
      <c r="M68" s="480"/>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6"/>
      <c r="B69" s="465"/>
      <c r="C69" s="593">
        <v>100</v>
      </c>
      <c r="D69" s="467"/>
      <c r="E69" s="467"/>
      <c r="F69" s="467"/>
      <c r="G69" s="467"/>
      <c r="H69" s="467"/>
      <c r="I69" s="467"/>
      <c r="J69" s="467"/>
      <c r="K69" s="467"/>
      <c r="L69" s="467"/>
      <c r="M69" s="469"/>
      <c r="N69" s="2979"/>
      <c r="O69" s="2979"/>
      <c r="P69" s="2966"/>
      <c r="Q69" s="2966"/>
      <c r="R69" s="2886"/>
      <c r="S69" s="2886"/>
      <c r="T69" s="2886"/>
      <c r="U69" s="2886"/>
      <c r="V69" s="2886"/>
      <c r="W69" s="2886"/>
      <c r="X69" s="2886"/>
      <c r="Y69" s="2886"/>
      <c r="Z69" s="2886"/>
      <c r="AA69" s="2886"/>
      <c r="AB69" s="2886"/>
      <c r="AC69" s="2886"/>
      <c r="AD69" s="2886"/>
      <c r="AE69" s="2886"/>
    </row>
    <row r="70" spans="1:31">
      <c r="A70" s="482" t="s">
        <v>2408</v>
      </c>
      <c r="B70" s="483" t="s">
        <v>2374</v>
      </c>
      <c r="C70" s="485"/>
      <c r="D70" s="485"/>
      <c r="E70" s="485"/>
      <c r="F70" s="485"/>
      <c r="G70" s="485"/>
      <c r="H70" s="485"/>
      <c r="I70" s="485"/>
      <c r="J70" s="485"/>
      <c r="K70" s="486"/>
      <c r="L70" s="487"/>
      <c r="M70" s="488"/>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89"/>
      <c r="B71" s="490"/>
      <c r="C71" s="491"/>
      <c r="D71" s="491"/>
      <c r="E71" s="491"/>
      <c r="F71" s="491"/>
      <c r="G71" s="491"/>
      <c r="H71" s="491"/>
      <c r="I71" s="491"/>
      <c r="J71" s="491"/>
      <c r="K71" s="491"/>
      <c r="L71" s="491"/>
      <c r="M71" s="492"/>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89"/>
      <c r="B72" s="493" t="s">
        <v>2377</v>
      </c>
      <c r="C72" s="494"/>
      <c r="D72" s="494"/>
      <c r="E72" s="494"/>
      <c r="F72" s="494"/>
      <c r="G72" s="494"/>
      <c r="H72" s="494"/>
      <c r="I72" s="494"/>
      <c r="J72" s="494"/>
      <c r="K72" s="495"/>
      <c r="L72" s="496"/>
      <c r="M72" s="497"/>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89"/>
      <c r="B73" s="498"/>
      <c r="C73" s="499"/>
      <c r="D73" s="499"/>
      <c r="E73" s="499"/>
      <c r="F73" s="499"/>
      <c r="G73" s="499"/>
      <c r="H73" s="499"/>
      <c r="I73" s="499"/>
      <c r="J73" s="499"/>
      <c r="K73" s="499"/>
      <c r="L73" s="499"/>
      <c r="M73" s="500"/>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89"/>
      <c r="B74" s="501" t="s">
        <v>2378</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89"/>
      <c r="B75" s="503"/>
      <c r="C75" s="504"/>
      <c r="D75" s="504"/>
      <c r="E75" s="504"/>
      <c r="F75" s="504"/>
      <c r="G75" s="504"/>
      <c r="H75" s="504"/>
      <c r="I75" s="504"/>
      <c r="J75" s="504"/>
      <c r="K75" s="505"/>
      <c r="L75" s="506"/>
      <c r="M75" s="507"/>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28" customFormat="1" ht="15.75" thickTop="1">
      <c r="A77" s="508"/>
      <c r="B77" s="493">
        <f>B12</f>
        <v>111</v>
      </c>
      <c r="C77" s="509"/>
      <c r="D77" s="509"/>
      <c r="E77" s="509"/>
      <c r="F77" s="509"/>
      <c r="G77" s="509"/>
      <c r="H77" s="510"/>
      <c r="I77" s="510"/>
      <c r="J77" s="510"/>
      <c r="K77" s="510"/>
      <c r="L77" s="511"/>
      <c r="M77" s="512"/>
      <c r="N77" s="2982"/>
      <c r="O77" s="2982"/>
      <c r="P77" s="3006"/>
      <c r="Q77" s="2973"/>
      <c r="R77" s="2974"/>
      <c r="S77" s="2974"/>
      <c r="T77" s="2974"/>
      <c r="U77" s="2974"/>
      <c r="V77" s="2974"/>
      <c r="W77" s="2974"/>
      <c r="X77" s="2974"/>
      <c r="Y77" s="2974"/>
      <c r="Z77" s="2974"/>
      <c r="AA77" s="2974"/>
      <c r="AB77" s="2974"/>
      <c r="AC77" s="2974"/>
      <c r="AD77" s="2974"/>
      <c r="AE77" s="2974"/>
    </row>
    <row r="78" spans="1:31" s="428" customFormat="1" ht="15.75" thickBot="1">
      <c r="A78" s="508"/>
      <c r="B78" s="498"/>
      <c r="C78" s="515"/>
      <c r="D78" s="491"/>
      <c r="E78" s="491"/>
      <c r="F78" s="491"/>
      <c r="G78" s="491"/>
      <c r="H78" s="491"/>
      <c r="I78" s="491"/>
      <c r="J78" s="491"/>
      <c r="K78" s="491"/>
      <c r="L78" s="491"/>
      <c r="M78" s="492"/>
      <c r="N78" s="2981"/>
      <c r="O78" s="2981"/>
      <c r="P78" s="3006"/>
      <c r="Q78" s="2973"/>
      <c r="R78" s="2974"/>
      <c r="S78" s="2974"/>
      <c r="T78" s="2974"/>
      <c r="U78" s="2974"/>
      <c r="V78" s="2974"/>
      <c r="W78" s="2974"/>
      <c r="X78" s="2974"/>
      <c r="Y78" s="2974"/>
      <c r="Z78" s="2974"/>
      <c r="AA78" s="2974"/>
      <c r="AB78" s="2974"/>
      <c r="AC78" s="2974"/>
      <c r="AD78" s="2974"/>
      <c r="AE78" s="2974"/>
    </row>
    <row r="79" spans="1:31" s="428" customFormat="1" ht="15.75" thickTop="1">
      <c r="A79" s="508"/>
      <c r="B79" s="493">
        <f>B13</f>
        <v>111</v>
      </c>
      <c r="C79" s="509"/>
      <c r="D79" s="509"/>
      <c r="E79" s="509"/>
      <c r="F79" s="509"/>
      <c r="G79" s="509"/>
      <c r="H79" s="510"/>
      <c r="I79" s="510"/>
      <c r="J79" s="510"/>
      <c r="K79" s="510"/>
      <c r="L79" s="511"/>
      <c r="M79" s="512"/>
      <c r="N79" s="2982"/>
      <c r="O79" s="2982"/>
      <c r="P79" s="2950"/>
      <c r="Q79" s="2976"/>
      <c r="R79" s="2974"/>
      <c r="S79" s="2974"/>
      <c r="T79" s="2974"/>
      <c r="U79" s="2974"/>
      <c r="V79" s="2974"/>
      <c r="W79" s="2974"/>
      <c r="X79" s="2974"/>
      <c r="Y79" s="2974"/>
      <c r="Z79" s="2974"/>
      <c r="AA79" s="2974"/>
      <c r="AB79" s="2974"/>
      <c r="AC79" s="2974"/>
      <c r="AD79" s="2974"/>
      <c r="AE79" s="2974"/>
    </row>
    <row r="80" spans="1:31" s="428" customFormat="1" ht="15.75" thickBot="1">
      <c r="A80" s="508"/>
      <c r="B80" s="498"/>
      <c r="C80" s="515"/>
      <c r="D80" s="515"/>
      <c r="E80" s="515"/>
      <c r="F80" s="515"/>
      <c r="G80" s="515"/>
      <c r="H80" s="517"/>
      <c r="I80" s="517"/>
      <c r="J80" s="517"/>
      <c r="K80" s="517"/>
      <c r="L80" s="517"/>
      <c r="M80" s="518"/>
      <c r="N80" s="2982"/>
      <c r="O80" s="2982"/>
      <c r="P80" s="3006"/>
      <c r="Q80" s="2973"/>
      <c r="R80" s="2974"/>
      <c r="S80" s="2974"/>
      <c r="T80" s="2974"/>
      <c r="U80" s="2974"/>
      <c r="V80" s="2974"/>
      <c r="W80" s="2974"/>
      <c r="X80" s="2974"/>
      <c r="Y80" s="2974"/>
      <c r="Z80" s="2974"/>
      <c r="AA80" s="2974"/>
      <c r="AB80" s="2974"/>
      <c r="AC80" s="2974"/>
      <c r="AD80" s="2974"/>
      <c r="AE80" s="2974"/>
    </row>
    <row r="81" spans="1:31" s="428" customFormat="1" ht="15.75" thickTop="1">
      <c r="A81" s="508"/>
      <c r="B81" s="501">
        <f>B14</f>
        <v>111</v>
      </c>
      <c r="C81" s="478"/>
      <c r="D81" s="478"/>
      <c r="E81" s="478"/>
      <c r="F81" s="478"/>
      <c r="G81" s="478"/>
      <c r="H81" s="519"/>
      <c r="I81" s="519"/>
      <c r="J81" s="519"/>
      <c r="K81" s="519"/>
      <c r="L81" s="520"/>
      <c r="M81" s="521"/>
      <c r="N81" s="2982"/>
      <c r="O81" s="2982"/>
      <c r="P81" s="3011"/>
      <c r="Q81" s="2973"/>
      <c r="R81" s="2974"/>
      <c r="S81" s="2974"/>
      <c r="T81" s="2974"/>
      <c r="U81" s="2974"/>
      <c r="V81" s="2974"/>
      <c r="W81" s="2974"/>
      <c r="X81" s="2974"/>
      <c r="Y81" s="2974"/>
      <c r="Z81" s="2974"/>
      <c r="AA81" s="2974"/>
      <c r="AB81" s="2974"/>
      <c r="AC81" s="2974"/>
      <c r="AD81" s="2974"/>
      <c r="AE81" s="2974"/>
    </row>
    <row r="82" spans="1:31" s="428" customFormat="1" ht="15.75" thickBot="1">
      <c r="A82" s="523"/>
      <c r="B82" s="524"/>
      <c r="C82" s="525"/>
      <c r="D82" s="525"/>
      <c r="E82" s="525"/>
      <c r="F82" s="525"/>
      <c r="G82" s="525"/>
      <c r="H82" s="526"/>
      <c r="I82" s="526"/>
      <c r="J82" s="526"/>
      <c r="K82" s="526"/>
      <c r="L82" s="526"/>
      <c r="M82" s="527"/>
      <c r="N82" s="2982"/>
      <c r="O82" s="2982"/>
      <c r="P82" s="3006"/>
      <c r="Q82" s="2973"/>
      <c r="R82" s="2974"/>
      <c r="S82" s="2974"/>
      <c r="T82" s="2974"/>
      <c r="U82" s="2974"/>
      <c r="V82" s="2974"/>
      <c r="W82" s="2974"/>
      <c r="X82" s="2974"/>
      <c r="Y82" s="2974"/>
      <c r="Z82" s="2974"/>
      <c r="AA82" s="2974"/>
      <c r="AB82" s="2974"/>
      <c r="AC82" s="2974"/>
      <c r="AD82" s="2974"/>
      <c r="AE82" s="2974"/>
    </row>
    <row r="83" spans="1:31">
      <c r="A83" s="482" t="s">
        <v>2379</v>
      </c>
      <c r="B83" s="483" t="s">
        <v>2525</v>
      </c>
      <c r="C83" s="528" t="s">
        <v>2417</v>
      </c>
      <c r="D83" s="528" t="s">
        <v>2418</v>
      </c>
      <c r="E83" s="528" t="s">
        <v>2419</v>
      </c>
      <c r="F83" s="528" t="s">
        <v>2420</v>
      </c>
      <c r="G83" s="528" t="s">
        <v>2421</v>
      </c>
      <c r="H83" s="484"/>
      <c r="I83" s="484"/>
      <c r="J83" s="484"/>
      <c r="K83" s="529"/>
      <c r="L83" s="530"/>
      <c r="M83" s="531"/>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89"/>
      <c r="B85" s="493" t="s">
        <v>2422</v>
      </c>
      <c r="C85" s="533" t="s">
        <v>2417</v>
      </c>
      <c r="D85" s="533" t="s">
        <v>2418</v>
      </c>
      <c r="E85" s="533" t="s">
        <v>2419</v>
      </c>
      <c r="F85" s="533" t="s">
        <v>2420</v>
      </c>
      <c r="G85" s="533" t="s">
        <v>2421</v>
      </c>
      <c r="H85" s="494"/>
      <c r="I85" s="494"/>
      <c r="J85" s="494"/>
      <c r="K85" s="495"/>
      <c r="L85" s="496"/>
      <c r="M85" s="497"/>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4"/>
      <c r="B87" s="493" t="s">
        <v>2605</v>
      </c>
      <c r="C87" s="528" t="s">
        <v>2417</v>
      </c>
      <c r="D87" s="528" t="s">
        <v>2418</v>
      </c>
      <c r="E87" s="528" t="s">
        <v>2419</v>
      </c>
      <c r="F87" s="528" t="s">
        <v>2420</v>
      </c>
      <c r="G87" s="528" t="s">
        <v>2421</v>
      </c>
      <c r="H87" s="533"/>
      <c r="I87" s="533"/>
      <c r="J87" s="533"/>
      <c r="K87" s="533"/>
      <c r="L87" s="652"/>
      <c r="M87" s="576"/>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4"/>
      <c r="B88" s="498"/>
      <c r="C88" s="537">
        <v>100</v>
      </c>
      <c r="D88" s="499">
        <f>C88-$K19</f>
        <v>100</v>
      </c>
      <c r="E88" s="499">
        <f>D88-$K19</f>
        <v>100</v>
      </c>
      <c r="F88" s="499">
        <f>E88-$K19</f>
        <v>100</v>
      </c>
      <c r="G88" s="499">
        <f>F88-$K19</f>
        <v>100</v>
      </c>
      <c r="H88" s="499"/>
      <c r="I88" s="499"/>
      <c r="J88" s="499"/>
      <c r="K88" s="499"/>
      <c r="L88" s="499"/>
      <c r="M88" s="500"/>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4"/>
      <c r="B89" s="493" t="s">
        <v>2606</v>
      </c>
      <c r="C89" s="528" t="s">
        <v>2417</v>
      </c>
      <c r="D89" s="528" t="s">
        <v>2418</v>
      </c>
      <c r="E89" s="528" t="s">
        <v>2419</v>
      </c>
      <c r="F89" s="528" t="s">
        <v>2420</v>
      </c>
      <c r="G89" s="528" t="s">
        <v>2421</v>
      </c>
      <c r="H89" s="533"/>
      <c r="I89" s="533"/>
      <c r="J89" s="533"/>
      <c r="K89" s="533"/>
      <c r="L89" s="533"/>
      <c r="M89" s="576"/>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4"/>
      <c r="B90" s="498"/>
      <c r="C90" s="499">
        <v>100</v>
      </c>
      <c r="D90" s="499">
        <f>C90-$K21</f>
        <v>100</v>
      </c>
      <c r="E90" s="499">
        <f>D90-$K21</f>
        <v>100</v>
      </c>
      <c r="F90" s="499">
        <f>E90-$K21</f>
        <v>100</v>
      </c>
      <c r="G90" s="499">
        <f>F90-$K21</f>
        <v>100</v>
      </c>
      <c r="H90" s="499"/>
      <c r="I90" s="499"/>
      <c r="J90" s="499"/>
      <c r="K90" s="499"/>
      <c r="L90" s="499"/>
      <c r="M90" s="500"/>
      <c r="N90" s="2981"/>
      <c r="O90" s="2981"/>
      <c r="P90" s="3005"/>
      <c r="Q90" s="2966"/>
      <c r="R90" s="2886"/>
      <c r="S90" s="2886"/>
      <c r="T90" s="2886"/>
      <c r="U90" s="2886"/>
      <c r="V90" s="2886"/>
      <c r="W90" s="2886"/>
      <c r="X90" s="2886"/>
      <c r="Y90" s="2886"/>
      <c r="Z90" s="2886"/>
      <c r="AA90" s="2886"/>
      <c r="AB90" s="2886"/>
      <c r="AC90" s="2886"/>
      <c r="AD90" s="2886"/>
      <c r="AE90" s="2886"/>
    </row>
    <row r="91" spans="1:31" s="428" customFormat="1" ht="15.75" thickTop="1">
      <c r="A91" s="508"/>
      <c r="B91" s="493" t="s">
        <v>2474</v>
      </c>
      <c r="C91" s="528" t="s">
        <v>2417</v>
      </c>
      <c r="D91" s="528" t="s">
        <v>2418</v>
      </c>
      <c r="E91" s="528" t="s">
        <v>2419</v>
      </c>
      <c r="F91" s="528" t="s">
        <v>2420</v>
      </c>
      <c r="G91" s="528" t="s">
        <v>2421</v>
      </c>
      <c r="H91" s="555"/>
      <c r="I91" s="555"/>
      <c r="J91" s="555"/>
      <c r="K91" s="555"/>
      <c r="L91" s="556"/>
      <c r="M91" s="557"/>
      <c r="N91" s="2982"/>
      <c r="O91" s="2982"/>
      <c r="P91" s="3006"/>
      <c r="Q91" s="2973"/>
      <c r="R91" s="2974"/>
      <c r="S91" s="2974"/>
      <c r="T91" s="2974"/>
      <c r="U91" s="2974"/>
      <c r="V91" s="2974"/>
      <c r="W91" s="2974"/>
      <c r="X91" s="2974"/>
      <c r="Y91" s="2974"/>
      <c r="Z91" s="2974"/>
      <c r="AA91" s="2974"/>
      <c r="AB91" s="2974"/>
      <c r="AC91" s="2974"/>
      <c r="AD91" s="2974"/>
      <c r="AE91" s="2974"/>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82"/>
      <c r="O92" s="2982"/>
      <c r="P92" s="3006"/>
      <c r="Q92" s="2973"/>
      <c r="R92" s="2974"/>
      <c r="S92" s="2974"/>
      <c r="T92" s="2974"/>
      <c r="U92" s="2974"/>
      <c r="V92" s="2974"/>
      <c r="W92" s="2974"/>
      <c r="X92" s="2974"/>
      <c r="Y92" s="2974"/>
      <c r="Z92" s="2974"/>
      <c r="AA92" s="2974"/>
      <c r="AB92" s="2974"/>
      <c r="AC92" s="2974"/>
      <c r="AD92" s="2974"/>
      <c r="AE92" s="2974"/>
    </row>
    <row r="93" spans="1:31" s="428" customFormat="1" ht="15.75" thickTop="1">
      <c r="A93" s="508"/>
      <c r="B93" s="501" t="s">
        <v>2623</v>
      </c>
      <c r="C93" s="614" t="s">
        <v>2495</v>
      </c>
      <c r="D93" s="614" t="s">
        <v>2496</v>
      </c>
      <c r="E93" s="614" t="s">
        <v>2497</v>
      </c>
      <c r="F93" s="614" t="s">
        <v>2498</v>
      </c>
      <c r="G93" s="614" t="s">
        <v>2499</v>
      </c>
      <c r="H93" s="555"/>
      <c r="I93" s="555"/>
      <c r="J93" s="555"/>
      <c r="K93" s="555"/>
      <c r="L93" s="555"/>
      <c r="M93" s="557"/>
      <c r="N93" s="2982"/>
      <c r="O93" s="2982"/>
      <c r="P93" s="3006"/>
      <c r="Q93" s="2973"/>
      <c r="R93" s="2974"/>
      <c r="S93" s="2974"/>
      <c r="T93" s="2974"/>
      <c r="U93" s="2974"/>
      <c r="V93" s="2974"/>
      <c r="W93" s="2974"/>
      <c r="X93" s="2974"/>
      <c r="Y93" s="2974"/>
      <c r="Z93" s="2974"/>
      <c r="AA93" s="2974"/>
      <c r="AB93" s="2974"/>
      <c r="AC93" s="2974"/>
      <c r="AD93" s="2974"/>
      <c r="AE93" s="2974"/>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91"/>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89"/>
      <c r="B95" s="493" t="str">
        <f>B27</f>
        <v>临街状况</v>
      </c>
      <c r="C95" s="494" t="s">
        <v>2607</v>
      </c>
      <c r="D95" s="494" t="s">
        <v>2608</v>
      </c>
      <c r="E95" s="494" t="s">
        <v>2609</v>
      </c>
      <c r="F95" s="494" t="s">
        <v>2610</v>
      </c>
      <c r="G95" s="494"/>
      <c r="H95" s="494"/>
      <c r="I95" s="494"/>
      <c r="J95" s="494"/>
      <c r="K95" s="495"/>
      <c r="L95" s="496"/>
      <c r="M95" s="497"/>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89"/>
      <c r="B97" s="493" t="s">
        <v>2511</v>
      </c>
      <c r="C97" s="509"/>
      <c r="D97" s="509"/>
      <c r="E97" s="509"/>
      <c r="F97" s="509"/>
      <c r="G97" s="509"/>
      <c r="H97" s="538"/>
      <c r="I97" s="538"/>
      <c r="J97" s="538"/>
      <c r="K97" s="539"/>
      <c r="L97" s="540"/>
      <c r="M97" s="541"/>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89"/>
      <c r="B99" s="493" t="s">
        <v>2570</v>
      </c>
      <c r="C99" s="538"/>
      <c r="D99" s="538"/>
      <c r="E99" s="538"/>
      <c r="F99" s="538"/>
      <c r="G99" s="538"/>
      <c r="H99" s="538"/>
      <c r="I99" s="538"/>
      <c r="J99" s="538"/>
      <c r="K99" s="539"/>
      <c r="L99" s="540"/>
      <c r="M99" s="541"/>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89"/>
      <c r="B101" s="501">
        <f>B31</f>
        <v>111</v>
      </c>
      <c r="C101" s="509"/>
      <c r="D101" s="509"/>
      <c r="E101" s="509"/>
      <c r="F101" s="509"/>
      <c r="G101" s="542"/>
      <c r="H101" s="542"/>
      <c r="I101" s="542"/>
      <c r="J101" s="542"/>
      <c r="K101" s="543"/>
      <c r="L101" s="544"/>
      <c r="M101" s="545"/>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89"/>
      <c r="B102" s="524"/>
      <c r="C102" s="515"/>
      <c r="D102" s="491"/>
      <c r="E102" s="491"/>
      <c r="F102" s="491"/>
      <c r="G102" s="546"/>
      <c r="H102" s="546"/>
      <c r="I102" s="546"/>
      <c r="J102" s="546"/>
      <c r="K102" s="546"/>
      <c r="L102" s="546"/>
      <c r="M102" s="547"/>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29"/>
      <c r="B103" s="493">
        <f>B32</f>
        <v>111</v>
      </c>
      <c r="C103" s="509"/>
      <c r="D103" s="509"/>
      <c r="E103" s="509"/>
      <c r="F103" s="509"/>
      <c r="G103" s="538"/>
      <c r="H103" s="538"/>
      <c r="I103" s="538"/>
      <c r="J103" s="538"/>
      <c r="K103" s="539"/>
      <c r="L103" s="540"/>
      <c r="M103" s="541"/>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89"/>
      <c r="B104" s="498"/>
      <c r="C104" s="515"/>
      <c r="D104" s="515"/>
      <c r="E104" s="515"/>
      <c r="F104" s="515"/>
      <c r="G104" s="491"/>
      <c r="H104" s="491"/>
      <c r="I104" s="491"/>
      <c r="J104" s="491"/>
      <c r="K104" s="491"/>
      <c r="L104" s="491"/>
      <c r="M104" s="492"/>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28" customFormat="1" ht="15" thickTop="1">
      <c r="A105" s="548"/>
      <c r="B105" s="549">
        <f>B33</f>
        <v>111</v>
      </c>
      <c r="C105" s="478"/>
      <c r="D105" s="478"/>
      <c r="E105" s="478"/>
      <c r="F105" s="478"/>
      <c r="G105" s="550"/>
      <c r="H105" s="550"/>
      <c r="I105" s="550"/>
      <c r="J105" s="551"/>
      <c r="K105" s="551"/>
      <c r="L105" s="552"/>
      <c r="M105" s="553"/>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28" customFormat="1" ht="15.75" thickBot="1">
      <c r="A106" s="508"/>
      <c r="B106" s="501"/>
      <c r="C106" s="525"/>
      <c r="D106" s="525"/>
      <c r="E106" s="525"/>
      <c r="F106" s="525"/>
      <c r="G106" s="631"/>
      <c r="H106" s="631"/>
      <c r="I106" s="631"/>
      <c r="J106" s="631"/>
      <c r="K106" s="631"/>
      <c r="L106" s="631"/>
      <c r="M106" s="653"/>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2" t="s">
        <v>2383</v>
      </c>
      <c r="B107" s="483" t="s">
        <v>2611</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502" t="str">
        <f t="shared" si="25"/>
        <v>(含)-</v>
      </c>
      <c r="L107" s="1502" t="str">
        <f t="shared" si="25"/>
        <v>(含)-</v>
      </c>
      <c r="M107" s="1503"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89"/>
      <c r="B108" s="501"/>
      <c r="C108" s="550"/>
      <c r="D108" s="550"/>
      <c r="E108" s="550"/>
      <c r="F108" s="550"/>
      <c r="G108" s="550"/>
      <c r="H108" s="550"/>
      <c r="I108" s="550"/>
      <c r="J108" s="551"/>
      <c r="K108" s="551"/>
      <c r="L108" s="552"/>
      <c r="M108" s="553"/>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89"/>
      <c r="B109" s="498"/>
      <c r="C109" s="525"/>
      <c r="D109" s="546"/>
      <c r="E109" s="546"/>
      <c r="F109" s="546"/>
      <c r="G109" s="546"/>
      <c r="H109" s="546"/>
      <c r="I109" s="546"/>
      <c r="J109" s="546"/>
      <c r="K109" s="546"/>
      <c r="L109" s="546"/>
      <c r="M109" s="547"/>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4"/>
      <c r="B110" s="493" t="s">
        <v>2612</v>
      </c>
      <c r="C110" s="538"/>
      <c r="D110" s="538"/>
      <c r="E110" s="538"/>
      <c r="F110" s="538"/>
      <c r="G110" s="538"/>
      <c r="H110" s="538"/>
      <c r="I110" s="538"/>
      <c r="J110" s="538"/>
      <c r="K110" s="539"/>
      <c r="L110" s="540"/>
      <c r="M110" s="541"/>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28" customFormat="1" ht="15" thickTop="1">
      <c r="A112" s="548"/>
      <c r="B112" s="493" t="s">
        <v>2614</v>
      </c>
      <c r="C112" s="509"/>
      <c r="D112" s="509"/>
      <c r="E112" s="509"/>
      <c r="F112" s="509"/>
      <c r="G112" s="509"/>
      <c r="H112" s="538"/>
      <c r="I112" s="538"/>
      <c r="J112" s="538"/>
      <c r="K112" s="539"/>
      <c r="L112" s="540"/>
      <c r="M112" s="541"/>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4"/>
      <c r="B114" s="493" t="s">
        <v>2615</v>
      </c>
      <c r="C114" s="509"/>
      <c r="D114" s="509"/>
      <c r="E114" s="538"/>
      <c r="F114" s="538"/>
      <c r="G114" s="538"/>
      <c r="H114" s="538"/>
      <c r="I114" s="538"/>
      <c r="J114" s="538"/>
      <c r="K114" s="539"/>
      <c r="L114" s="540"/>
      <c r="M114" s="541"/>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4"/>
      <c r="B116" s="493">
        <f>B38</f>
        <v>111</v>
      </c>
      <c r="C116" s="509"/>
      <c r="D116" s="509"/>
      <c r="E116" s="509"/>
      <c r="F116" s="509"/>
      <c r="G116" s="509"/>
      <c r="H116" s="538"/>
      <c r="I116" s="538"/>
      <c r="J116" s="538"/>
      <c r="K116" s="539"/>
      <c r="L116" s="540"/>
      <c r="M116" s="541"/>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89"/>
      <c r="B117" s="498"/>
      <c r="C117" s="515"/>
      <c r="D117" s="491"/>
      <c r="E117" s="491"/>
      <c r="F117" s="491"/>
      <c r="G117" s="491"/>
      <c r="H117" s="491"/>
      <c r="I117" s="491"/>
      <c r="J117" s="491"/>
      <c r="K117" s="491"/>
      <c r="L117" s="491"/>
      <c r="M117" s="492"/>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4"/>
      <c r="B118" s="493">
        <f>B39</f>
        <v>111</v>
      </c>
      <c r="C118" s="509"/>
      <c r="D118" s="509"/>
      <c r="E118" s="509"/>
      <c r="F118" s="509"/>
      <c r="G118" s="538"/>
      <c r="H118" s="538"/>
      <c r="I118" s="538"/>
      <c r="J118" s="538"/>
      <c r="K118" s="539"/>
      <c r="L118" s="540"/>
      <c r="M118" s="541"/>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89"/>
      <c r="B119" s="498"/>
      <c r="C119" s="515"/>
      <c r="D119" s="515"/>
      <c r="E119" s="515"/>
      <c r="F119" s="515"/>
      <c r="G119" s="491"/>
      <c r="H119" s="491"/>
      <c r="I119" s="491"/>
      <c r="J119" s="491"/>
      <c r="K119" s="491"/>
      <c r="L119" s="491"/>
      <c r="M119" s="492"/>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28" customFormat="1" ht="15" thickTop="1">
      <c r="A120" s="548"/>
      <c r="B120" s="493">
        <f>B40</f>
        <v>111</v>
      </c>
      <c r="C120" s="478"/>
      <c r="D120" s="478"/>
      <c r="E120" s="478"/>
      <c r="F120" s="478"/>
      <c r="G120" s="510"/>
      <c r="H120" s="510"/>
      <c r="I120" s="510"/>
      <c r="J120" s="510"/>
      <c r="K120" s="510"/>
      <c r="L120" s="511"/>
      <c r="M120" s="512"/>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28" customFormat="1" ht="15.75" thickBot="1">
      <c r="A121" s="523"/>
      <c r="B121" s="654"/>
      <c r="C121" s="525"/>
      <c r="D121" s="525"/>
      <c r="E121" s="525"/>
      <c r="F121" s="525"/>
      <c r="G121" s="546"/>
      <c r="H121" s="546"/>
      <c r="I121" s="546"/>
      <c r="J121" s="546"/>
      <c r="K121" s="546"/>
      <c r="L121" s="546"/>
      <c r="M121" s="547"/>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2864</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403" t="s">
        <v>183</v>
      </c>
      <c r="B18" s="818" t="s">
        <v>560</v>
      </c>
      <c r="C18" s="819" t="s">
        <v>561</v>
      </c>
      <c r="D18" s="820"/>
      <c r="E18" s="818">
        <v>1</v>
      </c>
      <c r="F18" s="821" t="s">
        <v>562</v>
      </c>
      <c r="G18" s="822"/>
      <c r="H18" s="814"/>
      <c r="I18" s="814"/>
    </row>
    <row r="19" spans="1:9" s="823" customFormat="1" ht="19.5" customHeight="1">
      <c r="A19" s="3403"/>
      <c r="B19" s="3403" t="s">
        <v>563</v>
      </c>
      <c r="C19" s="819" t="s">
        <v>564</v>
      </c>
      <c r="D19" s="820"/>
      <c r="E19" s="818">
        <v>0.9</v>
      </c>
      <c r="F19" s="821" t="s">
        <v>565</v>
      </c>
      <c r="G19" s="822"/>
      <c r="H19" s="814"/>
      <c r="I19" s="814"/>
    </row>
    <row r="20" spans="1:9" s="823" customFormat="1" ht="19.5" customHeight="1">
      <c r="A20" s="3403"/>
      <c r="B20" s="3403"/>
      <c r="C20" s="819" t="s">
        <v>566</v>
      </c>
      <c r="D20" s="820"/>
      <c r="E20" s="818">
        <v>1.1000000000000001</v>
      </c>
      <c r="F20" s="821" t="s">
        <v>567</v>
      </c>
      <c r="G20" s="822"/>
      <c r="H20" s="814"/>
      <c r="I20" s="814"/>
    </row>
    <row r="21" spans="1:9" s="823" customFormat="1" ht="19.5" customHeight="1">
      <c r="A21" s="3403"/>
      <c r="B21" s="3403"/>
      <c r="C21" s="819" t="s">
        <v>568</v>
      </c>
      <c r="D21" s="820"/>
      <c r="E21" s="818">
        <v>0.8</v>
      </c>
      <c r="F21" s="821" t="s">
        <v>569</v>
      </c>
      <c r="G21" s="822"/>
      <c r="H21" s="814"/>
      <c r="I21" s="814"/>
    </row>
    <row r="22" spans="1:9" s="823" customFormat="1" ht="19.5" customHeight="1">
      <c r="A22" s="3403"/>
      <c r="B22" s="3403"/>
      <c r="C22" s="819" t="s">
        <v>570</v>
      </c>
      <c r="D22" s="820"/>
      <c r="E22" s="818">
        <v>0.5</v>
      </c>
      <c r="F22" s="821"/>
      <c r="G22" s="822"/>
      <c r="H22" s="814"/>
      <c r="I22" s="814"/>
    </row>
    <row r="23" spans="1:9" s="823" customFormat="1" ht="19.5" customHeight="1">
      <c r="A23" s="3403" t="s">
        <v>184</v>
      </c>
      <c r="B23" s="818" t="s">
        <v>560</v>
      </c>
      <c r="C23" s="819" t="s">
        <v>571</v>
      </c>
      <c r="D23" s="820"/>
      <c r="E23" s="818">
        <v>1</v>
      </c>
      <c r="F23" s="821" t="s">
        <v>572</v>
      </c>
      <c r="G23" s="822"/>
      <c r="H23" s="814"/>
      <c r="I23" s="814"/>
    </row>
    <row r="24" spans="1:9" s="823" customFormat="1" ht="19.5" customHeight="1">
      <c r="A24" s="3403"/>
      <c r="B24" s="3403" t="s">
        <v>563</v>
      </c>
      <c r="C24" s="819" t="s">
        <v>573</v>
      </c>
      <c r="D24" s="820"/>
      <c r="E24" s="818">
        <v>0.5</v>
      </c>
      <c r="F24" s="821"/>
      <c r="G24" s="822"/>
      <c r="H24" s="814"/>
      <c r="I24" s="814"/>
    </row>
    <row r="25" spans="1:9" s="823" customFormat="1" ht="19.5" customHeight="1">
      <c r="A25" s="3403"/>
      <c r="B25" s="3403"/>
      <c r="C25" s="819" t="s">
        <v>574</v>
      </c>
      <c r="D25" s="820"/>
      <c r="E25" s="818">
        <v>1.1000000000000001</v>
      </c>
      <c r="F25" s="821"/>
      <c r="G25" s="822"/>
      <c r="H25" s="814"/>
      <c r="I25" s="814"/>
    </row>
    <row r="26" spans="1:9" s="823" customFormat="1" ht="19.5" customHeight="1">
      <c r="A26" s="3403"/>
      <c r="B26" s="3403"/>
      <c r="C26" s="819" t="s">
        <v>575</v>
      </c>
      <c r="D26" s="820"/>
      <c r="E26" s="818">
        <v>1.1000000000000001</v>
      </c>
      <c r="F26" s="821"/>
      <c r="G26" s="822"/>
      <c r="H26" s="814"/>
      <c r="I26" s="814"/>
    </row>
    <row r="27" spans="1:9" s="823" customFormat="1" ht="19.5" customHeight="1">
      <c r="A27" s="3403"/>
      <c r="B27" s="3403"/>
      <c r="C27" s="819" t="s">
        <v>576</v>
      </c>
      <c r="D27" s="820"/>
      <c r="E27" s="818">
        <v>0.9</v>
      </c>
      <c r="F27" s="821" t="s">
        <v>577</v>
      </c>
      <c r="G27" s="822"/>
      <c r="H27" s="814"/>
      <c r="I27" s="814"/>
    </row>
    <row r="28" spans="1:9" s="823" customFormat="1" ht="19.5" customHeight="1">
      <c r="A28" s="3403"/>
      <c r="B28" s="3403"/>
      <c r="C28" s="819" t="s">
        <v>578</v>
      </c>
      <c r="D28" s="820"/>
      <c r="E28" s="818">
        <v>0.9</v>
      </c>
      <c r="F28" s="821" t="s">
        <v>579</v>
      </c>
      <c r="G28" s="822"/>
      <c r="H28" s="814"/>
      <c r="I28" s="814"/>
    </row>
    <row r="29" spans="1:9" s="823" customFormat="1" ht="19.5" customHeight="1">
      <c r="A29" s="3403"/>
      <c r="B29" s="3403"/>
      <c r="C29" s="819" t="s">
        <v>580</v>
      </c>
      <c r="D29" s="820"/>
      <c r="E29" s="818">
        <v>0.9</v>
      </c>
      <c r="F29" s="821" t="s">
        <v>581</v>
      </c>
      <c r="G29" s="822"/>
      <c r="H29" s="814"/>
      <c r="I29" s="814"/>
    </row>
    <row r="30" spans="1:9" s="823" customFormat="1" ht="19.5" customHeight="1">
      <c r="A30" s="3403"/>
      <c r="B30" s="3403"/>
      <c r="C30" s="819" t="s">
        <v>582</v>
      </c>
      <c r="D30" s="820"/>
      <c r="E30" s="818">
        <v>0.9</v>
      </c>
      <c r="F30" s="821" t="s">
        <v>583</v>
      </c>
      <c r="G30" s="822"/>
      <c r="H30" s="814"/>
      <c r="I30" s="814"/>
    </row>
    <row r="31" spans="1:9" s="823" customFormat="1" ht="19.5" customHeight="1">
      <c r="A31" s="3403"/>
      <c r="B31" s="3403"/>
      <c r="C31" s="819" t="s">
        <v>584</v>
      </c>
      <c r="D31" s="820"/>
      <c r="E31" s="818">
        <v>0.8</v>
      </c>
      <c r="F31" s="821" t="s">
        <v>585</v>
      </c>
      <c r="G31" s="822"/>
      <c r="H31" s="814"/>
      <c r="I31" s="814"/>
    </row>
    <row r="32" spans="1:9" s="823" customFormat="1" ht="19.5" customHeight="1">
      <c r="A32" s="3403"/>
      <c r="B32" s="3403"/>
      <c r="C32" s="819" t="s">
        <v>586</v>
      </c>
      <c r="D32" s="820"/>
      <c r="E32" s="818">
        <v>0.8</v>
      </c>
      <c r="F32" s="821" t="s">
        <v>587</v>
      </c>
      <c r="G32" s="822"/>
      <c r="H32" s="814"/>
      <c r="I32" s="814"/>
    </row>
    <row r="33" spans="1:9" s="823" customFormat="1" ht="19.5" customHeight="1">
      <c r="A33" s="3403" t="s">
        <v>185</v>
      </c>
      <c r="B33" s="818" t="s">
        <v>560</v>
      </c>
      <c r="C33" s="819" t="s">
        <v>588</v>
      </c>
      <c r="D33" s="820"/>
      <c r="E33" s="818">
        <v>1</v>
      </c>
      <c r="F33" s="821" t="s">
        <v>589</v>
      </c>
      <c r="G33" s="822"/>
      <c r="H33" s="814"/>
      <c r="I33" s="814"/>
    </row>
    <row r="34" spans="1:9" s="823" customFormat="1" ht="19.5" customHeight="1">
      <c r="A34" s="3403"/>
      <c r="B34" s="818" t="s">
        <v>563</v>
      </c>
      <c r="C34" s="819" t="s">
        <v>590</v>
      </c>
      <c r="D34" s="820"/>
      <c r="E34" s="818">
        <v>1.5</v>
      </c>
      <c r="F34" s="821" t="s">
        <v>591</v>
      </c>
      <c r="G34" s="822"/>
      <c r="H34" s="814"/>
      <c r="I34" s="814"/>
    </row>
    <row r="35" spans="1:9" s="823" customFormat="1" ht="19.5" customHeight="1">
      <c r="A35" s="3403" t="s">
        <v>186</v>
      </c>
      <c r="B35" s="818" t="s">
        <v>560</v>
      </c>
      <c r="C35" s="819" t="s">
        <v>592</v>
      </c>
      <c r="D35" s="820"/>
      <c r="E35" s="818">
        <v>1</v>
      </c>
      <c r="F35" s="821" t="s">
        <v>593</v>
      </c>
      <c r="G35" s="822"/>
      <c r="H35" s="814"/>
      <c r="I35" s="814"/>
    </row>
    <row r="36" spans="1:9" s="823" customFormat="1" ht="19.5" customHeight="1">
      <c r="A36" s="3403"/>
      <c r="B36" s="3403" t="s">
        <v>563</v>
      </c>
      <c r="C36" s="819" t="s">
        <v>594</v>
      </c>
      <c r="D36" s="820"/>
      <c r="E36" s="818">
        <v>1</v>
      </c>
      <c r="F36" s="821" t="s">
        <v>595</v>
      </c>
      <c r="G36" s="822"/>
      <c r="H36" s="814"/>
      <c r="I36" s="814"/>
    </row>
    <row r="37" spans="1:9" s="823" customFormat="1" ht="19.5" customHeight="1">
      <c r="A37" s="3403"/>
      <c r="B37" s="3403"/>
      <c r="C37" s="819" t="s">
        <v>596</v>
      </c>
      <c r="D37" s="820"/>
      <c r="E37" s="818">
        <v>1.5</v>
      </c>
      <c r="F37" s="821" t="s">
        <v>597</v>
      </c>
      <c r="G37" s="822"/>
      <c r="H37" s="814"/>
      <c r="I37" s="814"/>
    </row>
    <row r="38" spans="1:9" s="823" customFormat="1" ht="19.5" customHeight="1">
      <c r="A38" s="3403"/>
      <c r="B38" s="3403"/>
      <c r="C38" s="819" t="s">
        <v>598</v>
      </c>
      <c r="D38" s="820"/>
      <c r="E38" s="818">
        <v>1</v>
      </c>
      <c r="F38" s="821" t="s">
        <v>599</v>
      </c>
      <c r="G38" s="822"/>
      <c r="H38" s="814"/>
      <c r="I38" s="814"/>
    </row>
    <row r="39" spans="1:9" s="823" customFormat="1" ht="19.5" customHeight="1">
      <c r="A39" s="3403"/>
      <c r="B39" s="3403"/>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403" t="s">
        <v>614</v>
      </c>
      <c r="C61" s="754" t="s">
        <v>615</v>
      </c>
      <c r="D61" s="754" t="s">
        <v>616</v>
      </c>
      <c r="E61" s="831">
        <v>0.5</v>
      </c>
      <c r="F61" s="818">
        <v>80</v>
      </c>
    </row>
    <row r="62" spans="1:8" s="814" customFormat="1" ht="24">
      <c r="A62" s="818">
        <v>2</v>
      </c>
      <c r="B62" s="3403"/>
      <c r="C62" s="754" t="s">
        <v>617</v>
      </c>
      <c r="D62" s="754" t="s">
        <v>618</v>
      </c>
      <c r="E62" s="831">
        <v>0.5</v>
      </c>
      <c r="F62" s="818">
        <v>80</v>
      </c>
    </row>
    <row r="63" spans="1:8" s="814" customFormat="1" ht="36">
      <c r="A63" s="818">
        <v>3</v>
      </c>
      <c r="B63" s="3403"/>
      <c r="C63" s="754" t="s">
        <v>619</v>
      </c>
      <c r="D63" s="754" t="s">
        <v>620</v>
      </c>
      <c r="E63" s="831">
        <v>0.5</v>
      </c>
      <c r="F63" s="818">
        <v>80</v>
      </c>
    </row>
    <row r="64" spans="1:8" s="814" customFormat="1" ht="36">
      <c r="A64" s="818">
        <v>4</v>
      </c>
      <c r="B64" s="3403"/>
      <c r="C64" s="754" t="s">
        <v>621</v>
      </c>
      <c r="D64" s="754" t="s">
        <v>622</v>
      </c>
      <c r="E64" s="831">
        <v>0.4</v>
      </c>
      <c r="F64" s="818">
        <v>60</v>
      </c>
    </row>
    <row r="65" spans="1:6" s="814" customFormat="1" ht="36">
      <c r="A65" s="818">
        <v>5</v>
      </c>
      <c r="B65" s="3403"/>
      <c r="C65" s="754" t="s">
        <v>623</v>
      </c>
      <c r="D65" s="754" t="s">
        <v>624</v>
      </c>
      <c r="E65" s="831">
        <v>0.2</v>
      </c>
      <c r="F65" s="818">
        <v>30</v>
      </c>
    </row>
    <row r="66" spans="1:6" s="814" customFormat="1" ht="36">
      <c r="A66" s="818">
        <v>6</v>
      </c>
      <c r="B66" s="3403"/>
      <c r="C66" s="754" t="s">
        <v>625</v>
      </c>
      <c r="D66" s="754" t="s">
        <v>626</v>
      </c>
      <c r="E66" s="831">
        <v>0.3</v>
      </c>
      <c r="F66" s="818">
        <v>50</v>
      </c>
    </row>
    <row r="67" spans="1:6" s="814" customFormat="1" ht="36">
      <c r="A67" s="818">
        <v>7</v>
      </c>
      <c r="B67" s="3403"/>
      <c r="C67" s="754" t="s">
        <v>627</v>
      </c>
      <c r="D67" s="754" t="s">
        <v>628</v>
      </c>
      <c r="E67" s="831">
        <v>0.2</v>
      </c>
      <c r="F67" s="818">
        <v>30</v>
      </c>
    </row>
    <row r="68" spans="1:6" s="814" customFormat="1" ht="36">
      <c r="A68" s="818">
        <v>8</v>
      </c>
      <c r="B68" s="3403"/>
      <c r="C68" s="754" t="s">
        <v>629</v>
      </c>
      <c r="D68" s="754" t="s">
        <v>630</v>
      </c>
      <c r="E68" s="831">
        <v>0.2</v>
      </c>
      <c r="F68" s="818">
        <v>30</v>
      </c>
    </row>
    <row r="69" spans="1:6" s="814" customFormat="1" ht="36">
      <c r="A69" s="818">
        <v>9</v>
      </c>
      <c r="B69" s="3403"/>
      <c r="C69" s="754" t="s">
        <v>631</v>
      </c>
      <c r="D69" s="754" t="s">
        <v>632</v>
      </c>
      <c r="E69" s="831">
        <v>0.2</v>
      </c>
      <c r="F69" s="818">
        <v>30</v>
      </c>
    </row>
    <row r="70" spans="1:6" s="814" customFormat="1" ht="48">
      <c r="A70" s="818">
        <v>10</v>
      </c>
      <c r="B70" s="3403"/>
      <c r="C70" s="754" t="s">
        <v>633</v>
      </c>
      <c r="D70" s="754" t="s">
        <v>634</v>
      </c>
      <c r="E70" s="831">
        <v>0.2</v>
      </c>
      <c r="F70" s="818">
        <v>30</v>
      </c>
    </row>
    <row r="71" spans="1:6" s="814" customFormat="1" ht="48">
      <c r="A71" s="818">
        <v>11</v>
      </c>
      <c r="B71" s="3403"/>
      <c r="C71" s="754" t="s">
        <v>635</v>
      </c>
      <c r="D71" s="754" t="s">
        <v>636</v>
      </c>
      <c r="E71" s="831">
        <v>0.2</v>
      </c>
      <c r="F71" s="818">
        <v>30</v>
      </c>
    </row>
    <row r="72" spans="1:6" s="814" customFormat="1" ht="36">
      <c r="A72" s="818">
        <v>12</v>
      </c>
      <c r="B72" s="3403"/>
      <c r="C72" s="754" t="s">
        <v>637</v>
      </c>
      <c r="D72" s="754" t="s">
        <v>638</v>
      </c>
      <c r="E72" s="831">
        <v>0.5</v>
      </c>
      <c r="F72" s="818">
        <v>80</v>
      </c>
    </row>
    <row r="73" spans="1:6" s="814" customFormat="1" ht="24">
      <c r="A73" s="818">
        <v>13</v>
      </c>
      <c r="B73" s="3403"/>
      <c r="C73" s="754" t="s">
        <v>639</v>
      </c>
      <c r="D73" s="754" t="s">
        <v>640</v>
      </c>
      <c r="E73" s="831">
        <v>0.4</v>
      </c>
      <c r="F73" s="818">
        <v>60</v>
      </c>
    </row>
    <row r="74" spans="1:6" s="814" customFormat="1" ht="24">
      <c r="A74" s="818">
        <v>14</v>
      </c>
      <c r="B74" s="3403"/>
      <c r="C74" s="754" t="s">
        <v>641</v>
      </c>
      <c r="D74" s="754" t="s">
        <v>642</v>
      </c>
      <c r="E74" s="831">
        <v>0.2</v>
      </c>
      <c r="F74" s="818">
        <v>30</v>
      </c>
    </row>
    <row r="75" spans="1:6" s="814" customFormat="1" ht="24">
      <c r="A75" s="818">
        <v>15</v>
      </c>
      <c r="B75" s="3403"/>
      <c r="C75" s="754" t="s">
        <v>643</v>
      </c>
      <c r="D75" s="754" t="s">
        <v>644</v>
      </c>
      <c r="E75" s="831">
        <v>0.2</v>
      </c>
      <c r="F75" s="818">
        <v>30</v>
      </c>
    </row>
    <row r="76" spans="1:6" s="814" customFormat="1" ht="24">
      <c r="A76" s="818">
        <v>16</v>
      </c>
      <c r="B76" s="3403" t="s">
        <v>645</v>
      </c>
      <c r="C76" s="754" t="s">
        <v>646</v>
      </c>
      <c r="D76" s="754" t="s">
        <v>647</v>
      </c>
      <c r="E76" s="831">
        <v>0.5</v>
      </c>
      <c r="F76" s="818">
        <v>80</v>
      </c>
    </row>
    <row r="77" spans="1:6" s="814" customFormat="1" ht="24">
      <c r="A77" s="818">
        <v>17</v>
      </c>
      <c r="B77" s="3403"/>
      <c r="C77" s="754" t="s">
        <v>648</v>
      </c>
      <c r="D77" s="754" t="s">
        <v>649</v>
      </c>
      <c r="E77" s="831">
        <v>0.5</v>
      </c>
      <c r="F77" s="818">
        <v>80</v>
      </c>
    </row>
    <row r="78" spans="1:6" s="814" customFormat="1" ht="24">
      <c r="A78" s="818">
        <v>18</v>
      </c>
      <c r="B78" s="3403"/>
      <c r="C78" s="754" t="s">
        <v>650</v>
      </c>
      <c r="D78" s="754" t="s">
        <v>651</v>
      </c>
      <c r="E78" s="831">
        <v>0.2</v>
      </c>
      <c r="F78" s="818">
        <v>30</v>
      </c>
    </row>
    <row r="79" spans="1:6" s="814" customFormat="1" ht="24">
      <c r="A79" s="818">
        <v>19</v>
      </c>
      <c r="B79" s="3403"/>
      <c r="C79" s="754" t="s">
        <v>652</v>
      </c>
      <c r="D79" s="754" t="s">
        <v>653</v>
      </c>
      <c r="E79" s="831">
        <v>0.5</v>
      </c>
      <c r="F79" s="818">
        <v>80</v>
      </c>
    </row>
    <row r="80" spans="1:6" s="814" customFormat="1" ht="36">
      <c r="A80" s="818">
        <v>20</v>
      </c>
      <c r="B80" s="3403"/>
      <c r="C80" s="754" t="s">
        <v>654</v>
      </c>
      <c r="D80" s="754" t="s">
        <v>655</v>
      </c>
      <c r="E80" s="831">
        <v>0.2</v>
      </c>
      <c r="F80" s="818">
        <v>30</v>
      </c>
    </row>
    <row r="81" spans="1:6" s="814" customFormat="1" ht="36">
      <c r="A81" s="818">
        <v>21</v>
      </c>
      <c r="B81" s="3403"/>
      <c r="C81" s="754" t="s">
        <v>656</v>
      </c>
      <c r="D81" s="754" t="s">
        <v>657</v>
      </c>
      <c r="E81" s="831">
        <v>0.2</v>
      </c>
      <c r="F81" s="818">
        <v>30</v>
      </c>
    </row>
    <row r="82" spans="1:6" s="814" customFormat="1" ht="48">
      <c r="A82" s="818">
        <v>22</v>
      </c>
      <c r="B82" s="3403"/>
      <c r="C82" s="754" t="s">
        <v>658</v>
      </c>
      <c r="D82" s="754" t="s">
        <v>659</v>
      </c>
      <c r="E82" s="831">
        <v>0.2</v>
      </c>
      <c r="F82" s="818">
        <v>30</v>
      </c>
    </row>
    <row r="83" spans="1:6" s="814" customFormat="1" ht="48">
      <c r="A83" s="818">
        <v>23</v>
      </c>
      <c r="B83" s="3403"/>
      <c r="C83" s="754" t="s">
        <v>660</v>
      </c>
      <c r="D83" s="754" t="s">
        <v>661</v>
      </c>
      <c r="E83" s="831">
        <v>0.2</v>
      </c>
      <c r="F83" s="818">
        <v>30</v>
      </c>
    </row>
    <row r="84" spans="1:6" s="814" customFormat="1" ht="36">
      <c r="A84" s="818">
        <v>24</v>
      </c>
      <c r="B84" s="3403"/>
      <c r="C84" s="754" t="s">
        <v>662</v>
      </c>
      <c r="D84" s="754" t="s">
        <v>663</v>
      </c>
      <c r="E84" s="831">
        <v>0.2</v>
      </c>
      <c r="F84" s="818">
        <v>30</v>
      </c>
    </row>
    <row r="85" spans="1:6" s="814" customFormat="1" ht="36">
      <c r="A85" s="818">
        <v>25</v>
      </c>
      <c r="B85" s="3403"/>
      <c r="C85" s="754" t="s">
        <v>664</v>
      </c>
      <c r="D85" s="754" t="s">
        <v>665</v>
      </c>
      <c r="E85" s="831">
        <v>0.5</v>
      </c>
      <c r="F85" s="818">
        <v>80</v>
      </c>
    </row>
    <row r="86" spans="1:6" s="814" customFormat="1" ht="36">
      <c r="A86" s="818">
        <v>26</v>
      </c>
      <c r="B86" s="3403"/>
      <c r="C86" s="754" t="s">
        <v>666</v>
      </c>
      <c r="D86" s="754" t="s">
        <v>667</v>
      </c>
      <c r="E86" s="831">
        <v>0.2</v>
      </c>
      <c r="F86" s="818">
        <v>30</v>
      </c>
    </row>
    <row r="87" spans="1:6" s="814" customFormat="1" ht="36">
      <c r="A87" s="818">
        <v>27</v>
      </c>
      <c r="B87" s="3403"/>
      <c r="C87" s="754" t="s">
        <v>668</v>
      </c>
      <c r="D87" s="754" t="s">
        <v>669</v>
      </c>
      <c r="E87" s="831">
        <v>0.2</v>
      </c>
      <c r="F87" s="818">
        <v>30</v>
      </c>
    </row>
    <row r="88" spans="1:6" s="814" customFormat="1" ht="36">
      <c r="A88" s="818">
        <v>28</v>
      </c>
      <c r="B88" s="3403"/>
      <c r="C88" s="754" t="s">
        <v>670</v>
      </c>
      <c r="D88" s="754" t="s">
        <v>671</v>
      </c>
      <c r="E88" s="831">
        <v>0.2</v>
      </c>
      <c r="F88" s="818">
        <v>30</v>
      </c>
    </row>
    <row r="89" spans="1:6" s="814" customFormat="1" ht="24">
      <c r="A89" s="818">
        <v>29</v>
      </c>
      <c r="B89" s="3403"/>
      <c r="C89" s="754" t="s">
        <v>672</v>
      </c>
      <c r="D89" s="754" t="s">
        <v>673</v>
      </c>
      <c r="E89" s="831">
        <v>0.2</v>
      </c>
      <c r="F89" s="818">
        <v>30</v>
      </c>
    </row>
    <row r="90" spans="1:6" s="814" customFormat="1" ht="24">
      <c r="A90" s="818">
        <v>30</v>
      </c>
      <c r="B90" s="3403"/>
      <c r="C90" s="754" t="s">
        <v>674</v>
      </c>
      <c r="D90" s="754" t="s">
        <v>675</v>
      </c>
      <c r="E90" s="831">
        <v>0.2</v>
      </c>
      <c r="F90" s="818">
        <v>30</v>
      </c>
    </row>
    <row r="91" spans="1:6" s="814" customFormat="1" ht="36">
      <c r="A91" s="818">
        <v>31</v>
      </c>
      <c r="B91" s="3403"/>
      <c r="C91" s="754" t="s">
        <v>676</v>
      </c>
      <c r="D91" s="754" t="s">
        <v>677</v>
      </c>
      <c r="E91" s="831">
        <v>0.2</v>
      </c>
      <c r="F91" s="818">
        <v>30</v>
      </c>
    </row>
    <row r="92" spans="1:6" s="814" customFormat="1" ht="24">
      <c r="A92" s="818">
        <v>32</v>
      </c>
      <c r="B92" s="3403" t="s">
        <v>678</v>
      </c>
      <c r="C92" s="818" t="s">
        <v>679</v>
      </c>
      <c r="D92" s="754" t="s">
        <v>680</v>
      </c>
      <c r="E92" s="831">
        <v>0.2</v>
      </c>
      <c r="F92" s="818">
        <v>30</v>
      </c>
    </row>
    <row r="93" spans="1:6" s="814" customFormat="1" ht="36">
      <c r="A93" s="818">
        <v>33</v>
      </c>
      <c r="B93" s="3403"/>
      <c r="C93" s="818" t="s">
        <v>681</v>
      </c>
      <c r="D93" s="754" t="s">
        <v>682</v>
      </c>
      <c r="E93" s="831">
        <v>0.2</v>
      </c>
      <c r="F93" s="818">
        <v>30</v>
      </c>
    </row>
    <row r="94" spans="1:6" s="814" customFormat="1" ht="48">
      <c r="A94" s="818">
        <v>34</v>
      </c>
      <c r="B94" s="3403"/>
      <c r="C94" s="818" t="s">
        <v>683</v>
      </c>
      <c r="D94" s="754" t="s">
        <v>684</v>
      </c>
      <c r="E94" s="831">
        <v>0.2</v>
      </c>
      <c r="F94" s="818">
        <v>30</v>
      </c>
    </row>
    <row r="95" spans="1:6" s="814" customFormat="1" ht="36">
      <c r="A95" s="818">
        <v>35</v>
      </c>
      <c r="B95" s="3403"/>
      <c r="C95" s="818" t="s">
        <v>685</v>
      </c>
      <c r="D95" s="754" t="s">
        <v>686</v>
      </c>
      <c r="E95" s="831">
        <v>0.2</v>
      </c>
      <c r="F95" s="818">
        <v>30</v>
      </c>
    </row>
    <row r="96" spans="1:6" s="814" customFormat="1" ht="48">
      <c r="A96" s="818">
        <v>36</v>
      </c>
      <c r="B96" s="3403"/>
      <c r="C96" s="754" t="s">
        <v>687</v>
      </c>
      <c r="D96" s="754" t="s">
        <v>688</v>
      </c>
      <c r="E96" s="831">
        <v>0.2</v>
      </c>
      <c r="F96" s="818">
        <v>30</v>
      </c>
    </row>
    <row r="97" spans="1:6" s="814" customFormat="1" ht="36">
      <c r="A97" s="818">
        <v>37</v>
      </c>
      <c r="B97" s="3403"/>
      <c r="C97" s="818" t="s">
        <v>689</v>
      </c>
      <c r="D97" s="754" t="s">
        <v>690</v>
      </c>
      <c r="E97" s="831">
        <v>0.2</v>
      </c>
      <c r="F97" s="818">
        <v>30</v>
      </c>
    </row>
    <row r="98" spans="1:6" s="814" customFormat="1" ht="36">
      <c r="A98" s="818">
        <v>38</v>
      </c>
      <c r="B98" s="3403"/>
      <c r="C98" s="818" t="s">
        <v>691</v>
      </c>
      <c r="D98" s="754" t="s">
        <v>692</v>
      </c>
      <c r="E98" s="831">
        <v>0.2</v>
      </c>
      <c r="F98" s="818">
        <v>30</v>
      </c>
    </row>
    <row r="99" spans="1:6" s="814" customFormat="1" ht="36">
      <c r="A99" s="818">
        <v>39</v>
      </c>
      <c r="B99" s="3403" t="s">
        <v>693</v>
      </c>
      <c r="C99" s="818" t="s">
        <v>694</v>
      </c>
      <c r="D99" s="754" t="s">
        <v>695</v>
      </c>
      <c r="E99" s="831">
        <v>0.3</v>
      </c>
      <c r="F99" s="818">
        <v>50</v>
      </c>
    </row>
    <row r="100" spans="1:6" s="814" customFormat="1" ht="24">
      <c r="A100" s="818">
        <v>40</v>
      </c>
      <c r="B100" s="3403"/>
      <c r="C100" s="818" t="s">
        <v>696</v>
      </c>
      <c r="D100" s="754" t="s">
        <v>697</v>
      </c>
      <c r="E100" s="831">
        <v>0.2</v>
      </c>
      <c r="F100" s="818">
        <v>30</v>
      </c>
    </row>
    <row r="101" spans="1:6" s="814" customFormat="1" ht="36">
      <c r="A101" s="818">
        <v>41</v>
      </c>
      <c r="B101" s="3403"/>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403" t="s">
        <v>708</v>
      </c>
      <c r="C105" s="818" t="s">
        <v>709</v>
      </c>
      <c r="D105" s="754" t="s">
        <v>710</v>
      </c>
      <c r="E105" s="831">
        <v>0.2</v>
      </c>
      <c r="F105" s="818">
        <v>30</v>
      </c>
    </row>
    <row r="106" spans="1:6" s="814" customFormat="1" ht="36">
      <c r="A106" s="818">
        <v>46</v>
      </c>
      <c r="B106" s="3403"/>
      <c r="C106" s="818" t="s">
        <v>711</v>
      </c>
      <c r="D106" s="754" t="s">
        <v>712</v>
      </c>
      <c r="E106" s="831">
        <v>0.2</v>
      </c>
      <c r="F106" s="818">
        <v>30</v>
      </c>
    </row>
    <row r="107" spans="1:6" s="814" customFormat="1" ht="36">
      <c r="A107" s="818">
        <v>47</v>
      </c>
      <c r="B107" s="3403" t="s">
        <v>713</v>
      </c>
      <c r="C107" s="818" t="s">
        <v>714</v>
      </c>
      <c r="D107" s="754" t="s">
        <v>715</v>
      </c>
      <c r="E107" s="831">
        <v>0.3</v>
      </c>
      <c r="F107" s="818">
        <v>50</v>
      </c>
    </row>
    <row r="108" spans="1:6" s="814" customFormat="1" ht="36">
      <c r="A108" s="818">
        <v>48</v>
      </c>
      <c r="B108" s="3403"/>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403" t="s">
        <v>724</v>
      </c>
      <c r="C111" s="818" t="s">
        <v>725</v>
      </c>
      <c r="D111" s="754" t="s">
        <v>726</v>
      </c>
      <c r="E111" s="831">
        <v>0.2</v>
      </c>
      <c r="F111" s="818">
        <v>30</v>
      </c>
    </row>
    <row r="112" spans="1:6" s="814" customFormat="1" ht="24">
      <c r="A112" s="818">
        <v>52</v>
      </c>
      <c r="B112" s="3403"/>
      <c r="C112" s="818" t="s">
        <v>727</v>
      </c>
      <c r="D112" s="754" t="s">
        <v>728</v>
      </c>
      <c r="E112" s="831">
        <v>0.2</v>
      </c>
      <c r="F112" s="818">
        <v>30</v>
      </c>
    </row>
    <row r="113" spans="1:6" s="814" customFormat="1" ht="24">
      <c r="A113" s="818">
        <v>53</v>
      </c>
      <c r="B113" s="3403"/>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403" t="s">
        <v>737</v>
      </c>
      <c r="C116" s="818" t="s">
        <v>738</v>
      </c>
      <c r="D116" s="754" t="s">
        <v>739</v>
      </c>
      <c r="E116" s="831">
        <v>0.2</v>
      </c>
      <c r="F116" s="818">
        <v>30</v>
      </c>
    </row>
    <row r="117" spans="1:6" ht="36">
      <c r="A117" s="818">
        <v>57</v>
      </c>
      <c r="B117" s="3403"/>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91"/>
      <c r="C2" s="3091"/>
      <c r="D2" s="3091"/>
      <c r="E2" s="3091"/>
    </row>
    <row r="3" spans="1:5" ht="18">
      <c r="A3" s="3092" t="str">
        <f>IF(项目基本情况!B9="房地产市场价值","估价结果一览表（市场价值不需“结果表-1”）","估价结果一览表")</f>
        <v>估价结果一览表（市场价值不需“结果表-1”）</v>
      </c>
      <c r="B3" s="3092"/>
      <c r="C3" s="3092"/>
      <c r="D3" s="3092"/>
      <c r="E3" s="3092"/>
    </row>
    <row r="4" spans="1:5" ht="19.5" thickBot="1">
      <c r="A4" s="1677"/>
      <c r="B4" s="3090" t="s">
        <v>1595</v>
      </c>
      <c r="C4" s="3090"/>
      <c r="D4" s="3090"/>
      <c r="E4" s="1677"/>
    </row>
    <row r="5" spans="1:5" ht="16.5" thickTop="1">
      <c r="A5" s="1675"/>
      <c r="B5" s="3088" t="s">
        <v>1587</v>
      </c>
      <c r="C5" s="1678" t="s">
        <v>1588</v>
      </c>
      <c r="D5" s="956">
        <f ca="1">结果表!H101</f>
        <v>559563</v>
      </c>
      <c r="E5" s="1675"/>
    </row>
    <row r="6" spans="1:5" ht="15.75">
      <c r="A6" s="1675"/>
      <c r="B6" s="3088"/>
      <c r="C6" s="1678" t="s">
        <v>1589</v>
      </c>
      <c r="D6" s="956" t="str">
        <f ca="1">NUMBERSTRING(INT(D5*10000),2)&amp;"元整"</f>
        <v>伍拾伍亿玖仟伍佰陆拾叁万元整</v>
      </c>
      <c r="E6" s="1675"/>
    </row>
    <row r="7" spans="1:5" ht="15.75">
      <c r="A7" s="1675"/>
      <c r="B7" s="3093"/>
      <c r="C7" s="1679" t="s">
        <v>1590</v>
      </c>
      <c r="D7" s="957">
        <f ca="1">结果表!H102</f>
        <v>34864</v>
      </c>
      <c r="E7" s="1675"/>
    </row>
    <row r="8" spans="1:5" ht="15.75">
      <c r="A8" s="1675"/>
      <c r="B8" s="3094" t="str">
        <f>结果表!E103</f>
        <v>2.估价师知悉的法定优先受偿款</v>
      </c>
      <c r="C8" s="1680" t="s">
        <v>1591</v>
      </c>
      <c r="D8" s="957">
        <f>结果表!H103</f>
        <v>0</v>
      </c>
      <c r="E8" s="1675"/>
    </row>
    <row r="9" spans="1:5" ht="15.75">
      <c r="A9" s="1675"/>
      <c r="B9" s="3096"/>
      <c r="C9" s="1678" t="s">
        <v>1589</v>
      </c>
      <c r="D9" s="956" t="str">
        <f>NUMBERSTRING(INT(D8*10000),2)&amp;"元整"</f>
        <v>零元整</v>
      </c>
      <c r="E9" s="1675"/>
    </row>
    <row r="10" spans="1:5" ht="15">
      <c r="A10" s="1675"/>
      <c r="B10" s="1681" t="s">
        <v>1594</v>
      </c>
      <c r="C10" s="1682" t="s">
        <v>1592</v>
      </c>
      <c r="D10" s="958">
        <f>结果表!H104</f>
        <v>0</v>
      </c>
      <c r="E10" s="1675"/>
    </row>
    <row r="11" spans="1:5" ht="15">
      <c r="A11" s="1675"/>
      <c r="B11" s="1681" t="s">
        <v>1596</v>
      </c>
      <c r="C11" s="1682" t="s">
        <v>1597</v>
      </c>
      <c r="D11" s="958">
        <f>结果表!H105</f>
        <v>0</v>
      </c>
      <c r="E11" s="1675"/>
    </row>
    <row r="12" spans="1:5" ht="15">
      <c r="A12" s="1675"/>
      <c r="B12" s="1681" t="s">
        <v>1598</v>
      </c>
      <c r="C12" s="1682" t="s">
        <v>1597</v>
      </c>
      <c r="D12" s="958">
        <f>结果表!H106</f>
        <v>0</v>
      </c>
      <c r="E12" s="1675"/>
    </row>
    <row r="13" spans="1:5" ht="15.75">
      <c r="A13" s="1675"/>
      <c r="B13" s="3087" t="str">
        <f>结果表!E107</f>
        <v>3.房地产抵押价值</v>
      </c>
      <c r="C13" s="1683" t="s">
        <v>1588</v>
      </c>
      <c r="D13" s="959">
        <f ca="1">结果表!H107</f>
        <v>559563</v>
      </c>
      <c r="E13" s="1675"/>
    </row>
    <row r="14" spans="1:5" ht="15.75">
      <c r="A14" s="1675"/>
      <c r="B14" s="3088"/>
      <c r="C14" s="1678" t="s">
        <v>1589</v>
      </c>
      <c r="D14" s="956" t="str">
        <f ca="1">NUMBERSTRING(INT(D13*10000),2)&amp;"元整"</f>
        <v>伍拾伍亿玖仟伍佰陆拾叁万元整</v>
      </c>
      <c r="E14" s="1675"/>
    </row>
    <row r="15" spans="1:5" ht="15">
      <c r="A15" s="1675"/>
      <c r="B15" s="3093"/>
      <c r="C15" s="1679" t="s">
        <v>1599</v>
      </c>
      <c r="D15" s="965">
        <f ca="1">结果表!H108</f>
        <v>34864</v>
      </c>
      <c r="E15" s="1675"/>
    </row>
    <row r="16" spans="1:5" ht="15">
      <c r="A16" s="1675"/>
      <c r="B16" s="3094" t="str">
        <f>结果表!E109</f>
        <v>——</v>
      </c>
      <c r="C16" s="1683" t="s">
        <v>1600</v>
      </c>
      <c r="D16" s="1684" t="str">
        <f>结果表!H109</f>
        <v>——</v>
      </c>
      <c r="E16" s="1675"/>
    </row>
    <row r="17" spans="1:5" ht="15.75">
      <c r="A17" s="1675"/>
      <c r="B17" s="3095"/>
      <c r="C17" s="1678" t="s">
        <v>1601</v>
      </c>
      <c r="D17" s="956" t="e">
        <f>NUMBERSTRING(INT(D16*10000),2)&amp;"元整"</f>
        <v>#VALUE!</v>
      </c>
      <c r="E17" s="1675"/>
    </row>
    <row r="18" spans="1:5" ht="15">
      <c r="A18" s="1675"/>
      <c r="B18" s="3096"/>
      <c r="C18" s="1679" t="s">
        <v>1590</v>
      </c>
      <c r="D18" s="965" t="str">
        <f>结果表!H110</f>
        <v>——</v>
      </c>
      <c r="E18" s="1675"/>
    </row>
    <row r="19" spans="1:5" ht="15.75">
      <c r="A19" s="1675"/>
      <c r="B19" s="3087" t="str">
        <f>结果表!E111</f>
        <v>——</v>
      </c>
      <c r="C19" s="1683" t="s">
        <v>1588</v>
      </c>
      <c r="D19" s="957" t="str">
        <f>结果表!H111</f>
        <v>——</v>
      </c>
      <c r="E19" s="1675"/>
    </row>
    <row r="20" spans="1:5" ht="15.75">
      <c r="A20" s="1675"/>
      <c r="B20" s="3088"/>
      <c r="C20" s="1678" t="s">
        <v>1601</v>
      </c>
      <c r="D20" s="956" t="e">
        <f>NUMBERSTRING(INT(D19*10000),2)&amp;"元整"</f>
        <v>#VALUE!</v>
      </c>
      <c r="E20" s="1675"/>
    </row>
    <row r="21" spans="1:5" ht="15.75" thickBot="1">
      <c r="A21" s="1675"/>
      <c r="B21" s="3089"/>
      <c r="C21" s="1685" t="s">
        <v>1599</v>
      </c>
      <c r="D21" s="966"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0.89259999999999995</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09" t="s">
        <v>1117</v>
      </c>
      <c r="C1" s="3409"/>
      <c r="D1" s="3409"/>
      <c r="E1" s="3409"/>
      <c r="F1" s="3409"/>
      <c r="G1" s="3405" t="s">
        <v>1118</v>
      </c>
      <c r="H1" s="3405"/>
      <c r="I1" s="3405"/>
      <c r="J1" s="3405"/>
      <c r="K1" s="3405"/>
      <c r="L1" s="3405"/>
      <c r="N1" s="3405" t="s">
        <v>1119</v>
      </c>
      <c r="O1" s="3405"/>
      <c r="P1" s="3405"/>
      <c r="Q1" s="3405"/>
      <c r="S1" s="3405" t="s">
        <v>1120</v>
      </c>
      <c r="T1" s="3405"/>
      <c r="U1" s="3405"/>
      <c r="V1" s="3405"/>
      <c r="X1" s="3404" t="s">
        <v>1121</v>
      </c>
      <c r="Y1" s="3405"/>
      <c r="Z1" s="3405"/>
      <c r="AA1" s="3405"/>
      <c r="AB1" s="3405"/>
      <c r="AD1" s="3404" t="s">
        <v>1122</v>
      </c>
      <c r="AE1" s="3405"/>
      <c r="AF1" s="3405"/>
      <c r="AG1" s="3405"/>
      <c r="AH1" s="3405"/>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2854</v>
      </c>
      <c r="B3" s="2393"/>
      <c r="C3" s="2393"/>
      <c r="D3" s="2394"/>
      <c r="E3" s="2394"/>
      <c r="F3" s="2393"/>
      <c r="G3" s="2395"/>
      <c r="H3" s="2396"/>
      <c r="I3" s="2397">
        <f>ROUND(AVERAGE($I4:$I32),2)</f>
        <v>1.74</v>
      </c>
      <c r="J3" s="2397">
        <f>ROUND(AVERAGE($J4:$J32),2)</f>
        <v>1.1399999999999999</v>
      </c>
      <c r="K3" s="2397">
        <f>ROUND(AVERAGE($K4:$K32),2)</f>
        <v>1.92</v>
      </c>
      <c r="L3" s="2397">
        <f>ROUND(AVERAGE($L4:$L32),2)</f>
        <v>1.23</v>
      </c>
      <c r="N3" s="2395"/>
      <c r="S3" s="2395"/>
      <c r="W3" s="2399"/>
      <c r="X3" s="2400">
        <f>ROUND(SUMPRODUCT(PRODUCT(1+N3:N$31)),4)</f>
        <v>1.571</v>
      </c>
      <c r="Y3" s="2400">
        <f>ROUND(SUMPRODUCT(PRODUCT(1+O3:O$31)),4)</f>
        <v>1.3420000000000001</v>
      </c>
      <c r="Z3" s="2400">
        <f t="shared" ref="Z3:Z29" si="0">Y3</f>
        <v>1.3420000000000001</v>
      </c>
      <c r="AA3" s="2400">
        <f>ROUND(SUMPRODUCT(PRODUCT(1+P3:P$31)),4)</f>
        <v>1.6415999999999999</v>
      </c>
      <c r="AB3" s="2400">
        <f>ROUND(SUMPRODUCT(PRODUCT(1+Q3:Q$31)),4)</f>
        <v>1.389</v>
      </c>
      <c r="AD3" s="2401">
        <f>ROUND(AVERAGE(I3:I$32)/100,4)</f>
        <v>1.7399999999999999E-2</v>
      </c>
      <c r="AE3" s="2401">
        <f>ROUND(AVERAGE(J3:J$32)/100,4)</f>
        <v>1.14E-2</v>
      </c>
      <c r="AF3" s="2401">
        <f t="shared" ref="AF3:AF30" si="1">AE3</f>
        <v>1.14E-2</v>
      </c>
      <c r="AG3" s="2401">
        <f>ROUND(AVERAGE(K3:K$32)/100,4)</f>
        <v>1.9199999999999998E-2</v>
      </c>
      <c r="AH3" s="2401">
        <f>ROUND(AVERAGE(L3:L$32)/100,4)</f>
        <v>1.23E-2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3059</v>
      </c>
      <c r="B5" s="2411">
        <f t="shared" ref="B5" si="2">B6*(1+N5)</f>
        <v>483.1434279321756</v>
      </c>
      <c r="C5" s="2411">
        <f t="shared" ref="C5" si="3">C6*(1+O5)</f>
        <v>345.93622669144776</v>
      </c>
      <c r="D5" s="2411">
        <f t="shared" ref="D5" si="4">C5</f>
        <v>345.93622669144776</v>
      </c>
      <c r="E5" s="2411">
        <f t="shared" ref="E5" si="5">E6*(1+P5)</f>
        <v>694.24498562544113</v>
      </c>
      <c r="F5" s="2411">
        <f t="shared" ref="F5" si="6">F6*(1+Q5)</f>
        <v>319.35475932716082</v>
      </c>
      <c r="G5" s="3038">
        <v>2020</v>
      </c>
      <c r="H5" s="2413">
        <v>4</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2855</v>
      </c>
      <c r="X5" s="2419">
        <f>ROUND(IF(项目基本情况!B6="出让",SUMPRODUCT(PRODUCT(1+N5:N$32)),SUMPRODUCT(PRODUCT(1+N5:N$31))),4)</f>
        <v>1.571</v>
      </c>
      <c r="Y5" s="2419">
        <f>ROUND(IF(项目基本情况!B6="出让",SUMPRODUCT(PRODUCT(1+O5:O$32)),SUMPRODUCT(PRODUCT(1+O5:O$31))),4)</f>
        <v>1.3420000000000001</v>
      </c>
      <c r="Z5" s="2419">
        <f t="shared" ref="Z5" si="11">Y5</f>
        <v>1.3420000000000001</v>
      </c>
      <c r="AA5" s="2419">
        <f>ROUND(IF(项目基本情况!B6="出让",SUMPRODUCT(PRODUCT(1+P5:P$32)),SUMPRODUCT(PRODUCT(1+P5:P$31))),4)</f>
        <v>1.6415999999999999</v>
      </c>
      <c r="AB5" s="2419">
        <f>ROUND(IF(项目基本情况!B6="出让",SUMPRODUCT(PRODUCT(1+Q5:Q$32)),SUMPRODUCT(PRODUCT(1+Q5:Q$31))),4)</f>
        <v>1.389</v>
      </c>
      <c r="AD5" s="2420">
        <f>ROUND(AVERAGE(I5:I$32)/100,4)</f>
        <v>1.7399999999999999E-2</v>
      </c>
      <c r="AE5" s="2420">
        <f>ROUND(AVERAGE(J5:J$32)/100,4)</f>
        <v>1.14E-2</v>
      </c>
      <c r="AF5" s="2420">
        <f t="shared" ref="AF5" si="12">AE5</f>
        <v>1.14E-2</v>
      </c>
      <c r="AG5" s="2420">
        <f>ROUND(AVERAGE(K5:K$32)/100,4)</f>
        <v>1.9199999999999998E-2</v>
      </c>
      <c r="AH5" s="2420">
        <f>ROUND(AVERAGE(L5:L$32)/100,4)</f>
        <v>1.23E-2</v>
      </c>
    </row>
    <row r="6" spans="1:34" s="2428" customFormat="1">
      <c r="A6" s="2421" t="s">
        <v>3058</v>
      </c>
      <c r="B6" s="2422">
        <f t="shared" ref="B6" si="13">B7*(1+N6)</f>
        <v>483.1434279321756</v>
      </c>
      <c r="C6" s="2422">
        <f t="shared" ref="C6" si="14">C7*(1+O6)</f>
        <v>345.93622669144776</v>
      </c>
      <c r="D6" s="2422">
        <f t="shared" ref="D6" si="15">C6</f>
        <v>345.93622669144776</v>
      </c>
      <c r="E6" s="2422">
        <f t="shared" ref="E6" si="16">E7*(1+P6)</f>
        <v>694.24498562544113</v>
      </c>
      <c r="F6" s="2422">
        <f t="shared" ref="F6" si="17">F7*(1+Q6)</f>
        <v>319.35475932716082</v>
      </c>
      <c r="G6" s="3038">
        <v>2020</v>
      </c>
      <c r="H6" s="2423">
        <v>3</v>
      </c>
      <c r="I6" s="2385">
        <v>0.36</v>
      </c>
      <c r="J6" s="2385">
        <v>-0.39</v>
      </c>
      <c r="K6" s="2385">
        <v>0.49</v>
      </c>
      <c r="L6" s="2386">
        <v>7.0000000000000007E-2</v>
      </c>
      <c r="M6" s="2408"/>
      <c r="N6" s="2424">
        <f t="shared" ref="N6" si="18">I6/100</f>
        <v>3.5999999999999999E-3</v>
      </c>
      <c r="O6" s="2409">
        <f t="shared" ref="O6" si="19">J6/100</f>
        <v>-3.9000000000000003E-3</v>
      </c>
      <c r="P6" s="2409">
        <f t="shared" ref="P6" si="20">K6/100</f>
        <v>4.8999999999999998E-3</v>
      </c>
      <c r="Q6" s="2409">
        <f t="shared" ref="Q6" si="21">L6/100</f>
        <v>7.000000000000001E-4</v>
      </c>
      <c r="R6" s="2425"/>
      <c r="S6" s="2424"/>
      <c r="T6" s="2409"/>
      <c r="U6" s="2409"/>
      <c r="V6" s="2409"/>
      <c r="W6" s="2426"/>
      <c r="X6" s="2426">
        <f>ROUND(IF(项目基本情况!B7="出让",SUMPRODUCT(PRODUCT(1+N6:N$32)),SUMPRODUCT(PRODUCT(1+N6:N$31))),4)</f>
        <v>1.571</v>
      </c>
      <c r="Y6" s="2426">
        <f>ROUND(IF(项目基本情况!B7="出让",SUMPRODUCT(PRODUCT(1+O6:O$32)),SUMPRODUCT(PRODUCT(1+O6:O$31))),4)</f>
        <v>1.3420000000000001</v>
      </c>
      <c r="Z6" s="2426">
        <f t="shared" ref="Z6" si="22">Y6</f>
        <v>1.3420000000000001</v>
      </c>
      <c r="AA6" s="2426">
        <f>ROUND(IF(项目基本情况!B7="出让",SUMPRODUCT(PRODUCT(1+P6:P$32)),SUMPRODUCT(PRODUCT(1+P6:P$31))),4)</f>
        <v>1.6415999999999999</v>
      </c>
      <c r="AB6" s="2426">
        <f>ROUND(IF(项目基本情况!B7="出让",SUMPRODUCT(PRODUCT(1+Q6:Q$32)),SUMPRODUCT(PRODUCT(1+Q6:Q$31))),4)</f>
        <v>1.389</v>
      </c>
      <c r="AC6" s="2426"/>
      <c r="AD6" s="2427">
        <f>ROUND(AVERAGE(I6:I$32)/100,4)</f>
        <v>1.8100000000000002E-2</v>
      </c>
      <c r="AE6" s="2427">
        <f>ROUND(AVERAGE(J6:J$32)/100,4)</f>
        <v>1.1900000000000001E-2</v>
      </c>
      <c r="AF6" s="2427">
        <f t="shared" ref="AF6" si="23">AE6</f>
        <v>1.1900000000000001E-2</v>
      </c>
      <c r="AG6" s="2427">
        <f>ROUND(AVERAGE(K6:K$32)/100,4)</f>
        <v>1.9900000000000001E-2</v>
      </c>
      <c r="AH6" s="2427">
        <f>ROUND(AVERAGE(L6:L$32)/100,4)</f>
        <v>1.2800000000000001E-2</v>
      </c>
    </row>
    <row r="7" spans="1:34" s="2428" customFormat="1">
      <c r="A7" s="2421" t="s">
        <v>2871</v>
      </c>
      <c r="B7" s="2422">
        <f t="shared" ref="B7" si="24">B8*(1+N7)</f>
        <v>481.4103506697644</v>
      </c>
      <c r="C7" s="2422">
        <f t="shared" ref="C7" si="25">C8*(1+O7)</f>
        <v>347.29066026648707</v>
      </c>
      <c r="D7" s="2422">
        <f t="shared" ref="D7" si="26">C7</f>
        <v>347.29066026648707</v>
      </c>
      <c r="E7" s="2422">
        <f t="shared" ref="E7" si="27">E8*(1+P7)</f>
        <v>690.85977273901995</v>
      </c>
      <c r="F7" s="2422">
        <f t="shared" ref="F7" si="28">F8*(1+Q7)</f>
        <v>319.13136737000184</v>
      </c>
      <c r="G7" s="2412">
        <v>2020</v>
      </c>
      <c r="H7" s="2423">
        <v>2</v>
      </c>
      <c r="I7" s="2385">
        <v>0.31</v>
      </c>
      <c r="J7" s="2385">
        <v>-0.78</v>
      </c>
      <c r="K7" s="2385">
        <v>0.5</v>
      </c>
      <c r="L7" s="2386">
        <v>0.47</v>
      </c>
      <c r="M7" s="2408"/>
      <c r="N7" s="2424">
        <f t="shared" ref="N7" si="29">I7/100</f>
        <v>3.0999999999999999E-3</v>
      </c>
      <c r="O7" s="2409">
        <f t="shared" ref="O7" si="30">J7/100</f>
        <v>-7.8000000000000005E-3</v>
      </c>
      <c r="P7" s="2409">
        <f t="shared" ref="P7" si="31">K7/100</f>
        <v>5.0000000000000001E-3</v>
      </c>
      <c r="Q7" s="2409">
        <f t="shared" ref="Q7" si="32">L7/100</f>
        <v>4.6999999999999993E-3</v>
      </c>
      <c r="R7" s="2425"/>
      <c r="S7" s="2424"/>
      <c r="T7" s="2409"/>
      <c r="U7" s="2409"/>
      <c r="V7" s="2409"/>
      <c r="W7" s="2426"/>
      <c r="X7" s="2426">
        <f>ROUND(IF(项目基本情况!B8="出让",SUMPRODUCT(PRODUCT(1+N7:N$32)),SUMPRODUCT(PRODUCT(1+N7:N$31))),4)</f>
        <v>1.5652999999999999</v>
      </c>
      <c r="Y7" s="2426">
        <f>ROUND(IF(项目基本情况!B8="出让",SUMPRODUCT(PRODUCT(1+O7:O$32)),SUMPRODUCT(PRODUCT(1+O7:O$31))),4)</f>
        <v>1.3472</v>
      </c>
      <c r="Z7" s="2426">
        <f t="shared" ref="Z7" si="33">Y7</f>
        <v>1.3472</v>
      </c>
      <c r="AA7" s="2426">
        <f>ROUND(IF(项目基本情况!B8="出让",SUMPRODUCT(PRODUCT(1+P7:P$32)),SUMPRODUCT(PRODUCT(1+P7:P$31))),4)</f>
        <v>1.6335999999999999</v>
      </c>
      <c r="AB7" s="2426">
        <f>ROUND(IF(项目基本情况!B8="出让",SUMPRODUCT(PRODUCT(1+Q7:Q$32)),SUMPRODUCT(PRODUCT(1+Q7:Q$31))),4)</f>
        <v>1.3880999999999999</v>
      </c>
      <c r="AC7" s="2426"/>
      <c r="AD7" s="2427">
        <f>ROUND(AVERAGE(I7:I$32)/100,4)</f>
        <v>1.8599999999999998E-2</v>
      </c>
      <c r="AE7" s="2427">
        <f>ROUND(AVERAGE(J7:J$32)/100,4)</f>
        <v>1.2500000000000001E-2</v>
      </c>
      <c r="AF7" s="2427">
        <f t="shared" ref="AF7" si="34">AE7</f>
        <v>1.2500000000000001E-2</v>
      </c>
      <c r="AG7" s="2427">
        <f>ROUND(AVERAGE(K7:K$32)/100,4)</f>
        <v>2.0400000000000001E-2</v>
      </c>
      <c r="AH7" s="2427">
        <f>ROUND(AVERAGE(L7:L$32)/100,4)</f>
        <v>1.32E-2</v>
      </c>
    </row>
    <row r="8" spans="1:34" s="2428" customFormat="1">
      <c r="A8" s="2421" t="s">
        <v>2869</v>
      </c>
      <c r="B8" s="2422">
        <f t="shared" ref="B8" si="35">B9*(1+N8)</f>
        <v>479.92259063878413</v>
      </c>
      <c r="C8" s="2422">
        <f t="shared" ref="C8" si="36">C9*(1+O8)</f>
        <v>350.02082268341775</v>
      </c>
      <c r="D8" s="2422">
        <f t="shared" ref="D8" si="37">C8</f>
        <v>350.02082268341775</v>
      </c>
      <c r="E8" s="2422">
        <f t="shared" ref="E8" si="38">E9*(1+P8)</f>
        <v>687.42265944181099</v>
      </c>
      <c r="F8" s="2422">
        <f t="shared" ref="F8" si="39">F9*(1+Q8)</f>
        <v>317.63846657708956</v>
      </c>
      <c r="G8" s="2412">
        <v>2020</v>
      </c>
      <c r="H8" s="2423">
        <v>1</v>
      </c>
      <c r="I8" s="2385">
        <v>0.12</v>
      </c>
      <c r="J8" s="2385">
        <v>-0.4</v>
      </c>
      <c r="K8" s="2385">
        <v>0.21</v>
      </c>
      <c r="L8" s="2386">
        <v>0.27</v>
      </c>
      <c r="M8" s="2408"/>
      <c r="N8" s="2424">
        <f t="shared" ref="N8" si="40">I8/100</f>
        <v>1.1999999999999999E-3</v>
      </c>
      <c r="O8" s="2409">
        <f t="shared" ref="O8" si="41">J8/100</f>
        <v>-4.0000000000000001E-3</v>
      </c>
      <c r="P8" s="2409">
        <f t="shared" ref="P8" si="42">K8/100</f>
        <v>2.0999999999999999E-3</v>
      </c>
      <c r="Q8" s="2409">
        <f t="shared" ref="Q8" si="43">L8/100</f>
        <v>2.7000000000000001E-3</v>
      </c>
      <c r="R8" s="2425"/>
      <c r="S8" s="2424">
        <f>B8/B9-1</f>
        <v>1.2000000000000899E-3</v>
      </c>
      <c r="T8" s="2409">
        <f t="shared" ref="T8" si="44">C8/C9-1</f>
        <v>-4.0000000000000036E-3</v>
      </c>
      <c r="U8" s="2409">
        <f t="shared" ref="U8" si="45">D8/D9-1</f>
        <v>-4.0000000000000036E-3</v>
      </c>
      <c r="V8" s="2409">
        <f t="shared" ref="V8" si="46">E8/E9-1</f>
        <v>2.0999999999999908E-3</v>
      </c>
      <c r="W8" s="2426"/>
      <c r="X8" s="2426">
        <f>ROUND(IF(项目基本情况!B8="出让",SUMPRODUCT(PRODUCT(1+N8:N$32)),SUMPRODUCT(PRODUCT(1+N8:N$31))),4)</f>
        <v>1.5605</v>
      </c>
      <c r="Y8" s="2426">
        <f>ROUND(IF(项目基本情况!B8="出让",SUMPRODUCT(PRODUCT(1+O8:O$32)),SUMPRODUCT(PRODUCT(1+O8:O$31))),4)</f>
        <v>1.3577999999999999</v>
      </c>
      <c r="Z8" s="2426">
        <f t="shared" ref="Z8" si="47">Y8</f>
        <v>1.3577999999999999</v>
      </c>
      <c r="AA8" s="2426">
        <f>ROUND(IF(项目基本情况!B8="出让",SUMPRODUCT(PRODUCT(1+P8:P$32)),SUMPRODUCT(PRODUCT(1+P8:P$31))),4)</f>
        <v>1.6254999999999999</v>
      </c>
      <c r="AB8" s="2426">
        <f>ROUND(IF(项目基本情况!B8="出让",SUMPRODUCT(PRODUCT(1+Q8:Q$32)),SUMPRODUCT(PRODUCT(1+Q8:Q$31))),4)</f>
        <v>1.3815999999999999</v>
      </c>
      <c r="AC8" s="2426"/>
      <c r="AD8" s="2427">
        <f>ROUND(AVERAGE(I8:I$32)/100,4)</f>
        <v>1.9199999999999998E-2</v>
      </c>
      <c r="AE8" s="2427">
        <f>ROUND(AVERAGE(J8:J$32)/100,4)</f>
        <v>1.3299999999999999E-2</v>
      </c>
      <c r="AF8" s="2427">
        <f t="shared" ref="AF8" si="48">AE8</f>
        <v>1.3299999999999999E-2</v>
      </c>
      <c r="AG8" s="2427">
        <f>ROUND(AVERAGE(K8:K$32)/100,4)</f>
        <v>2.1100000000000001E-2</v>
      </c>
      <c r="AH8" s="2427">
        <f>ROUND(AVERAGE(L8:L$32)/100,4)</f>
        <v>1.3599999999999999E-2</v>
      </c>
    </row>
    <row r="9" spans="1:34" s="2428" customFormat="1">
      <c r="A9" s="2421" t="s">
        <v>2868</v>
      </c>
      <c r="B9" s="2422">
        <f t="shared" ref="B9" si="49">B10*(1+N9)</f>
        <v>479.34737379023579</v>
      </c>
      <c r="C9" s="2422">
        <f t="shared" ref="C9" si="50">C10*(1+O9)</f>
        <v>351.4265287986122</v>
      </c>
      <c r="D9" s="2422">
        <f t="shared" ref="D9" si="51">C9</f>
        <v>351.4265287986122</v>
      </c>
      <c r="E9" s="2422">
        <f t="shared" ref="E9" si="52">E10*(1+P9)</f>
        <v>685.98209703803116</v>
      </c>
      <c r="F9" s="2422">
        <f t="shared" ref="F9" si="53">F10*(1+Q9)</f>
        <v>316.78315206651001</v>
      </c>
      <c r="G9" s="2412">
        <v>2019</v>
      </c>
      <c r="H9" s="2423">
        <v>4</v>
      </c>
      <c r="I9" s="2423">
        <v>0.45</v>
      </c>
      <c r="J9" s="2423">
        <v>-0.12</v>
      </c>
      <c r="K9" s="2423">
        <v>0.54</v>
      </c>
      <c r="L9" s="2429">
        <v>0.48</v>
      </c>
      <c r="M9" s="2408"/>
      <c r="N9" s="2424">
        <f t="shared" ref="N9:N14" si="54">I9/100</f>
        <v>4.5000000000000005E-3</v>
      </c>
      <c r="O9" s="2409">
        <f t="shared" ref="O9" si="55">J9/100</f>
        <v>-1.1999999999999999E-3</v>
      </c>
      <c r="P9" s="2409">
        <f t="shared" ref="P9" si="56">K9/100</f>
        <v>5.4000000000000003E-3</v>
      </c>
      <c r="Q9" s="2409">
        <f t="shared" ref="Q9" si="57">L9/100</f>
        <v>4.7999999999999996E-3</v>
      </c>
      <c r="R9" s="2425"/>
      <c r="S9" s="2424"/>
      <c r="T9" s="2409"/>
      <c r="U9" s="2409"/>
      <c r="V9" s="2409"/>
      <c r="W9" s="2426"/>
      <c r="X9" s="2426">
        <f>ROUND(IF(项目基本情况!B8="出让",SUMPRODUCT(PRODUCT(1+N9:N$32)),SUMPRODUCT(PRODUCT(1+N9:N$31))),4)</f>
        <v>1.5586</v>
      </c>
      <c r="Y9" s="2426">
        <f>ROUND(IF(项目基本情况!B8="出让",SUMPRODUCT(PRODUCT(1+O9:O$32)),SUMPRODUCT(PRODUCT(1+O9:O$31))),4)</f>
        <v>1.3633</v>
      </c>
      <c r="Z9" s="2426">
        <f t="shared" ref="Z9" si="58">Y9</f>
        <v>1.3633</v>
      </c>
      <c r="AA9" s="2426">
        <f>ROUND(IF(项目基本情况!B8="出让",SUMPRODUCT(PRODUCT(1+P9:P$32)),SUMPRODUCT(PRODUCT(1+P9:P$31))),4)</f>
        <v>1.6221000000000001</v>
      </c>
      <c r="AB9" s="2426">
        <f>ROUND(IF(项目基本情况!B8="出让",SUMPRODUCT(PRODUCT(1+Q9:Q$32)),SUMPRODUCT(PRODUCT(1+Q9:Q$31))),4)</f>
        <v>1.3777999999999999</v>
      </c>
      <c r="AC9" s="2426"/>
      <c r="AD9" s="2427">
        <f>ROUND(AVERAGE(I9:I$32)/100,4)</f>
        <v>0.02</v>
      </c>
      <c r="AE9" s="2427">
        <f>ROUND(AVERAGE(J9:J$32)/100,4)</f>
        <v>1.4E-2</v>
      </c>
      <c r="AF9" s="2427">
        <f t="shared" ref="AF9" si="59">AE9</f>
        <v>1.4E-2</v>
      </c>
      <c r="AG9" s="2427">
        <f>ROUND(AVERAGE(K9:K$32)/100,4)</f>
        <v>2.1899999999999999E-2</v>
      </c>
      <c r="AH9" s="2427">
        <f>ROUND(AVERAGE(L9:L$32)/100,4)</f>
        <v>1.4E-2</v>
      </c>
    </row>
    <row r="10" spans="1:34" s="2428" customFormat="1" ht="13.5" thickBot="1">
      <c r="A10" s="2421" t="s">
        <v>2867</v>
      </c>
      <c r="B10" s="2422">
        <f t="shared" ref="B10" si="60">B11*(1+N10)</f>
        <v>477.19997390765138</v>
      </c>
      <c r="C10" s="2422">
        <f t="shared" ref="C10" si="61">C11*(1+O10)</f>
        <v>351.84874729536665</v>
      </c>
      <c r="D10" s="2422">
        <f t="shared" ref="D10" si="62">C10</f>
        <v>351.84874729536665</v>
      </c>
      <c r="E10" s="2422">
        <f t="shared" ref="E10" si="63">E11*(1+P10)</f>
        <v>682.29768951465201</v>
      </c>
      <c r="F10" s="2422">
        <f t="shared" ref="F10" si="64">F11*(1+Q10)</f>
        <v>315.26985675409043</v>
      </c>
      <c r="G10" s="2412">
        <v>2019</v>
      </c>
      <c r="H10" s="2423">
        <v>3</v>
      </c>
      <c r="I10" s="2423">
        <v>0.61</v>
      </c>
      <c r="J10" s="2423">
        <v>0.67</v>
      </c>
      <c r="K10" s="2423">
        <v>0.6</v>
      </c>
      <c r="L10" s="2429">
        <v>1.03</v>
      </c>
      <c r="M10" s="2408"/>
      <c r="N10" s="2424">
        <f t="shared" si="54"/>
        <v>6.0999999999999995E-3</v>
      </c>
      <c r="O10" s="2409">
        <f t="shared" ref="O10" si="65">J10/100</f>
        <v>6.7000000000000002E-3</v>
      </c>
      <c r="P10" s="2409">
        <f t="shared" ref="P10" si="66">K10/100</f>
        <v>6.0000000000000001E-3</v>
      </c>
      <c r="Q10" s="2409">
        <f t="shared" ref="Q10" si="67">L10/100</f>
        <v>1.03E-2</v>
      </c>
      <c r="R10" s="2425"/>
      <c r="S10" s="2424"/>
      <c r="T10" s="2409"/>
      <c r="U10" s="2409"/>
      <c r="V10" s="2409"/>
      <c r="W10" s="2426"/>
      <c r="X10" s="2426">
        <f>ROUND(IF(项目基本情况!B8="出让",SUMPRODUCT(PRODUCT(1+N10:N$32)),SUMPRODUCT(PRODUCT(1+N10:N$31))),4)</f>
        <v>1.5516000000000001</v>
      </c>
      <c r="Y10" s="2426">
        <f>ROUND(IF(项目基本情况!B8="出让",SUMPRODUCT(PRODUCT(1+O10:O$32)),SUMPRODUCT(PRODUCT(1+O10:O$31))),4)</f>
        <v>1.3649</v>
      </c>
      <c r="Z10" s="2426">
        <f t="shared" ref="Z10" si="68">Y10</f>
        <v>1.3649</v>
      </c>
      <c r="AA10" s="2426">
        <f>ROUND(IF(项目基本情况!B8="出让",SUMPRODUCT(PRODUCT(1+P10:P$32)),SUMPRODUCT(PRODUCT(1+P10:P$31))),4)</f>
        <v>1.6133999999999999</v>
      </c>
      <c r="AB10" s="2426">
        <f>ROUND(IF(项目基本情况!B8="出让",SUMPRODUCT(PRODUCT(1+Q10:Q$32)),SUMPRODUCT(PRODUCT(1+Q10:Q$31))),4)</f>
        <v>1.3713</v>
      </c>
      <c r="AC10" s="2426"/>
      <c r="AD10" s="2427">
        <f>ROUND(AVERAGE(I10:I$32)/100,4)</f>
        <v>2.07E-2</v>
      </c>
      <c r="AE10" s="2427">
        <f>ROUND(AVERAGE(J10:J$32)/100,4)</f>
        <v>1.47E-2</v>
      </c>
      <c r="AF10" s="2427">
        <f t="shared" ref="AF10" si="69">AE10</f>
        <v>1.47E-2</v>
      </c>
      <c r="AG10" s="2427">
        <f>ROUND(AVERAGE(K10:K$32)/100,4)</f>
        <v>2.2599999999999999E-2</v>
      </c>
      <c r="AH10" s="2427">
        <f>ROUND(AVERAGE(L10:L$32)/100,4)</f>
        <v>1.44E-2</v>
      </c>
    </row>
    <row r="11" spans="1:34" s="2428" customFormat="1">
      <c r="A11" s="2421" t="s">
        <v>2865</v>
      </c>
      <c r="B11" s="2422">
        <f t="shared" ref="B11" si="70">B12*(1+N11)</f>
        <v>474.30670301923408</v>
      </c>
      <c r="C11" s="2422">
        <f t="shared" ref="C11" si="71">C12*(1+O11)</f>
        <v>349.50705005996491</v>
      </c>
      <c r="D11" s="2422">
        <f t="shared" ref="D11" si="72">C11</f>
        <v>349.50705005996491</v>
      </c>
      <c r="E11" s="2422">
        <f t="shared" ref="E11" si="73">E12*(1+P11)</f>
        <v>678.22831959706957</v>
      </c>
      <c r="F11" s="2422">
        <f t="shared" ref="F11" si="74">F12*(1+Q11)</f>
        <v>312.0556832169558</v>
      </c>
      <c r="G11" s="2412">
        <v>2019</v>
      </c>
      <c r="H11" s="2430">
        <v>2</v>
      </c>
      <c r="I11" s="2430">
        <v>1.53</v>
      </c>
      <c r="J11" s="2430">
        <v>1.01</v>
      </c>
      <c r="K11" s="2430">
        <v>1.62</v>
      </c>
      <c r="L11" s="2431">
        <v>1.25</v>
      </c>
      <c r="M11" s="2408"/>
      <c r="N11" s="2424">
        <f t="shared" si="54"/>
        <v>1.5300000000000001E-2</v>
      </c>
      <c r="O11" s="2409">
        <f t="shared" ref="O11" si="75">J11/100</f>
        <v>1.01E-2</v>
      </c>
      <c r="P11" s="2409">
        <f t="shared" ref="P11" si="76">K11/100</f>
        <v>1.6200000000000003E-2</v>
      </c>
      <c r="Q11" s="2409">
        <f t="shared" ref="Q11" si="77">L11/100</f>
        <v>1.2500000000000001E-2</v>
      </c>
      <c r="R11" s="2425"/>
      <c r="S11" s="2424"/>
      <c r="T11" s="2409"/>
      <c r="U11" s="2409"/>
      <c r="V11" s="2409"/>
      <c r="W11" s="2426"/>
      <c r="X11" s="2426">
        <f>ROUND(IF(项目基本情况!B8="出让",SUMPRODUCT(PRODUCT(1+N11:N$32)),SUMPRODUCT(PRODUCT(1+N11:N$31))),4)</f>
        <v>1.5422</v>
      </c>
      <c r="Y11" s="2426">
        <f>ROUND(IF(项目基本情况!B8="出让",SUMPRODUCT(PRODUCT(1+O11:O$32)),SUMPRODUCT(PRODUCT(1+O11:O$31))),4)</f>
        <v>1.3557999999999999</v>
      </c>
      <c r="Z11" s="2426">
        <f t="shared" ref="Z11" si="78">Y11</f>
        <v>1.3557999999999999</v>
      </c>
      <c r="AA11" s="2426">
        <f>ROUND(IF(项目基本情况!B8="出让",SUMPRODUCT(PRODUCT(1+P11:P$32)),SUMPRODUCT(PRODUCT(1+P11:P$31))),4)</f>
        <v>1.6036999999999999</v>
      </c>
      <c r="AB11" s="2426">
        <f>ROUND(IF(项目基本情况!B8="出让",SUMPRODUCT(PRODUCT(1+Q11:Q$32)),SUMPRODUCT(PRODUCT(1+Q11:Q$31))),4)</f>
        <v>1.3573</v>
      </c>
      <c r="AC11" s="2426"/>
      <c r="AD11" s="2427">
        <f>ROUND(AVERAGE(I11:I$32)/100,4)</f>
        <v>2.1299999999999999E-2</v>
      </c>
      <c r="AE11" s="2427">
        <f>ROUND(AVERAGE(J11:J$32)/100,4)</f>
        <v>1.4999999999999999E-2</v>
      </c>
      <c r="AF11" s="2427">
        <f t="shared" ref="AF11" si="79">AE11</f>
        <v>1.4999999999999999E-2</v>
      </c>
      <c r="AG11" s="2427">
        <f>ROUND(AVERAGE(K11:K$32)/100,4)</f>
        <v>2.3300000000000001E-2</v>
      </c>
      <c r="AH11" s="2427">
        <f>ROUND(AVERAGE(L11:L$32)/100,4)</f>
        <v>1.46E-2</v>
      </c>
    </row>
    <row r="12" spans="1:34" s="2428" customFormat="1" ht="13.5" thickBot="1">
      <c r="A12" s="2421" t="s">
        <v>2863</v>
      </c>
      <c r="B12" s="2422">
        <f t="shared" ref="B12" si="80">B13*(1+N12)</f>
        <v>467.15916775261894</v>
      </c>
      <c r="C12" s="2422">
        <f t="shared" ref="C12" si="81">C13*(1+O12)</f>
        <v>346.01232557169084</v>
      </c>
      <c r="D12" s="2422">
        <f t="shared" ref="D12" si="82">C12</f>
        <v>346.01232557169084</v>
      </c>
      <c r="E12" s="2422">
        <f t="shared" ref="E12" si="83">E13*(1+P12)</f>
        <v>667.41617752122568</v>
      </c>
      <c r="F12" s="2422">
        <f t="shared" ref="F12" si="84">F13*(1+Q12)</f>
        <v>308.20314391798104</v>
      </c>
      <c r="G12" s="2412">
        <v>2019</v>
      </c>
      <c r="H12" s="2423">
        <v>1</v>
      </c>
      <c r="I12" s="2423">
        <v>0.6</v>
      </c>
      <c r="J12" s="2423">
        <v>0.37</v>
      </c>
      <c r="K12" s="2423">
        <v>0.63</v>
      </c>
      <c r="L12" s="2429">
        <v>1.1299999999999999</v>
      </c>
      <c r="M12" s="2408"/>
      <c r="N12" s="2424">
        <f t="shared" si="54"/>
        <v>6.0000000000000001E-3</v>
      </c>
      <c r="O12" s="2409">
        <f t="shared" ref="O12" si="85">J12/100</f>
        <v>3.7000000000000002E-3</v>
      </c>
      <c r="P12" s="2409">
        <f t="shared" ref="P12" si="86">K12/100</f>
        <v>6.3E-3</v>
      </c>
      <c r="Q12" s="2409">
        <f t="shared" ref="Q12" si="87">L12/100</f>
        <v>1.1299999999999999E-2</v>
      </c>
      <c r="R12" s="2425"/>
      <c r="S12" s="2424">
        <f>B12/B13-1</f>
        <v>6.0000000000000053E-3</v>
      </c>
      <c r="T12" s="2409">
        <f t="shared" ref="T12" si="88">C12/C13-1</f>
        <v>3.7000000000000366E-3</v>
      </c>
      <c r="U12" s="2409">
        <f t="shared" ref="U12" si="89">D12/D13-1</f>
        <v>3.7000000000000366E-3</v>
      </c>
      <c r="V12" s="2409">
        <f t="shared" ref="V12" si="90">E12/E13-1</f>
        <v>6.2999999999999723E-3</v>
      </c>
      <c r="W12" s="2426"/>
      <c r="X12" s="2426">
        <f>ROUND(IF(项目基本情况!B8="出让",SUMPRODUCT(PRODUCT(1+N12:N$32)),SUMPRODUCT(PRODUCT(1+N12:N$31))),4)</f>
        <v>1.5189999999999999</v>
      </c>
      <c r="Y12" s="2426">
        <f>ROUND(IF(项目基本情况!B8="出让",SUMPRODUCT(PRODUCT(1+O12:O$32)),SUMPRODUCT(PRODUCT(1+O12:O$31))),4)</f>
        <v>1.3423</v>
      </c>
      <c r="Z12" s="2426">
        <f t="shared" ref="Z12" si="91">Y12</f>
        <v>1.3423</v>
      </c>
      <c r="AA12" s="2426">
        <f>ROUND(IF(项目基本情况!B8="出让",SUMPRODUCT(PRODUCT(1+P12:P$32)),SUMPRODUCT(PRODUCT(1+P12:P$31))),4)</f>
        <v>1.5782</v>
      </c>
      <c r="AB12" s="2426">
        <f>ROUND(IF(项目基本情况!B8="出让",SUMPRODUCT(PRODUCT(1+Q12:Q$32)),SUMPRODUCT(PRODUCT(1+Q12:Q$31))),4)</f>
        <v>1.3405</v>
      </c>
      <c r="AC12" s="2426"/>
      <c r="AD12" s="2427">
        <f>ROUND(AVERAGE(I12:I$32)/100,4)</f>
        <v>2.1600000000000001E-2</v>
      </c>
      <c r="AE12" s="2427">
        <f>ROUND(AVERAGE(J12:J$32)/100,4)</f>
        <v>1.5299999999999999E-2</v>
      </c>
      <c r="AF12" s="2427">
        <f t="shared" ref="AF12" si="92">AE12</f>
        <v>1.5299999999999999E-2</v>
      </c>
      <c r="AG12" s="2427">
        <f>ROUND(AVERAGE(K12:K$32)/100,4)</f>
        <v>2.3699999999999999E-2</v>
      </c>
      <c r="AH12" s="2427">
        <f>ROUND(AVERAGE(L12:L$32)/100,4)</f>
        <v>1.47E-2</v>
      </c>
    </row>
    <row r="13" spans="1:34" s="2428" customFormat="1">
      <c r="A13" s="2421" t="s">
        <v>2866</v>
      </c>
      <c r="B13" s="2432">
        <f t="shared" ref="B13" si="93">B14*(1+N13)</f>
        <v>464.37293017158942</v>
      </c>
      <c r="C13" s="2432">
        <f t="shared" ref="C13" si="94">C14*(1+O13)</f>
        <v>344.73679941385956</v>
      </c>
      <c r="D13" s="2432">
        <f t="shared" ref="D13" si="95">C13</f>
        <v>344.73679941385956</v>
      </c>
      <c r="E13" s="2432">
        <f t="shared" ref="E13" si="96">E14*(1+P13)</f>
        <v>663.2377795103107</v>
      </c>
      <c r="F13" s="2433">
        <f t="shared" ref="F13" si="97">F14*(1+Q13)</f>
        <v>304.75936311478398</v>
      </c>
      <c r="G13" s="3407">
        <v>2018</v>
      </c>
      <c r="H13" s="2430">
        <v>4</v>
      </c>
      <c r="I13" s="2430">
        <v>0.96</v>
      </c>
      <c r="J13" s="2430">
        <v>1.03</v>
      </c>
      <c r="K13" s="2430">
        <v>0.92</v>
      </c>
      <c r="L13" s="2431">
        <v>1.29</v>
      </c>
      <c r="M13" s="2408"/>
      <c r="N13" s="2424">
        <f t="shared" si="54"/>
        <v>9.5999999999999992E-3</v>
      </c>
      <c r="O13" s="2409">
        <f t="shared" ref="O13" si="98">J13/100</f>
        <v>1.03E-2</v>
      </c>
      <c r="P13" s="2409">
        <f t="shared" ref="P13" si="99">K13/100</f>
        <v>9.1999999999999998E-3</v>
      </c>
      <c r="Q13" s="2409">
        <f t="shared" ref="Q13" si="100">L13/100</f>
        <v>1.29E-2</v>
      </c>
      <c r="R13" s="2425"/>
      <c r="S13" s="2424"/>
      <c r="T13" s="2409"/>
      <c r="U13" s="2409"/>
      <c r="V13" s="2409"/>
      <c r="W13" s="2426"/>
      <c r="X13" s="2426">
        <f>ROUND(SUMPRODUCT(PRODUCT(1+N13:N$31)),4)</f>
        <v>1.5099</v>
      </c>
      <c r="Y13" s="2426">
        <f>ROUND(SUMPRODUCT(PRODUCT(1+O13:O$31)),4)</f>
        <v>1.3372999999999999</v>
      </c>
      <c r="Z13" s="2426">
        <f t="shared" ref="Z13" si="101">Y13</f>
        <v>1.3372999999999999</v>
      </c>
      <c r="AA13" s="2426">
        <f>ROUND(SUMPRODUCT(PRODUCT(1+P13:P$31)),4)</f>
        <v>1.5683</v>
      </c>
      <c r="AB13" s="2426">
        <f>ROUND(SUMPRODUCT(PRODUCT(1+Q13:Q$31)),4)</f>
        <v>1.3255999999999999</v>
      </c>
      <c r="AC13" s="2426"/>
      <c r="AD13" s="2427">
        <f>ROUND(AVERAGE(I13:I$32)/100,4)</f>
        <v>2.24E-2</v>
      </c>
      <c r="AE13" s="2427">
        <f>ROUND(AVERAGE(J13:J$32)/100,4)</f>
        <v>1.5800000000000002E-2</v>
      </c>
      <c r="AF13" s="2427">
        <f t="shared" ref="AF13" si="102">AE13</f>
        <v>1.5800000000000002E-2</v>
      </c>
      <c r="AG13" s="2427">
        <f>ROUND(AVERAGE(K13:K$32)/100,4)</f>
        <v>2.4500000000000001E-2</v>
      </c>
      <c r="AH13" s="2427">
        <f>ROUND(AVERAGE(L13:L$32)/100,4)</f>
        <v>1.49E-2</v>
      </c>
    </row>
    <row r="14" spans="1:34" s="2428" customFormat="1" ht="14.45" customHeight="1">
      <c r="A14" s="2421" t="s">
        <v>2861</v>
      </c>
      <c r="B14" s="2422">
        <f t="shared" ref="B14" si="103">B15*(1+N14)</f>
        <v>459.95733971036987</v>
      </c>
      <c r="C14" s="2422">
        <f t="shared" ref="C14" si="104">C15*(1+O14)</f>
        <v>341.22221064422405</v>
      </c>
      <c r="D14" s="2422">
        <f t="shared" ref="D14" si="105">C14</f>
        <v>341.22221064422405</v>
      </c>
      <c r="E14" s="2422">
        <f t="shared" ref="E14" si="106">E15*(1+P14)</f>
        <v>657.19161663724799</v>
      </c>
      <c r="F14" s="2422">
        <f t="shared" ref="F14" si="107">F15*(1+Q14)</f>
        <v>300.87803644464805</v>
      </c>
      <c r="G14" s="3407"/>
      <c r="H14" s="2423">
        <v>3</v>
      </c>
      <c r="I14" s="2423">
        <v>1.51</v>
      </c>
      <c r="J14" s="2423">
        <v>1.41</v>
      </c>
      <c r="K14" s="2423">
        <v>1.52</v>
      </c>
      <c r="L14" s="2429">
        <v>1.74</v>
      </c>
      <c r="M14" s="2408"/>
      <c r="N14" s="2424">
        <f t="shared" si="54"/>
        <v>1.5100000000000001E-2</v>
      </c>
      <c r="O14" s="2409">
        <f t="shared" ref="O14" si="108">J14/100</f>
        <v>1.41E-2</v>
      </c>
      <c r="P14" s="2409">
        <f t="shared" ref="P14" si="109">K14/100</f>
        <v>1.52E-2</v>
      </c>
      <c r="Q14" s="2409">
        <f t="shared" ref="Q14" si="110">L14/100</f>
        <v>1.7399999999999999E-2</v>
      </c>
      <c r="R14" s="2425"/>
      <c r="S14" s="2424"/>
      <c r="T14" s="2409"/>
      <c r="U14" s="2409"/>
      <c r="V14" s="2409"/>
      <c r="W14" s="2426"/>
      <c r="X14" s="2426">
        <f>ROUND(SUMPRODUCT(PRODUCT(1+N14:N$31)),4)</f>
        <v>1.4956</v>
      </c>
      <c r="Y14" s="2426">
        <f>ROUND(SUMPRODUCT(PRODUCT(1+O14:O$31)),4)</f>
        <v>1.3237000000000001</v>
      </c>
      <c r="Z14" s="2426">
        <f t="shared" ref="Z14" si="111">Y14</f>
        <v>1.3237000000000001</v>
      </c>
      <c r="AA14" s="2426">
        <f>ROUND(SUMPRODUCT(PRODUCT(1+P14:P$31)),4)</f>
        <v>1.554</v>
      </c>
      <c r="AB14" s="2426">
        <f>ROUND(SUMPRODUCT(PRODUCT(1+Q14:Q$31)),4)</f>
        <v>1.3087</v>
      </c>
      <c r="AC14" s="2426"/>
      <c r="AD14" s="2427">
        <f>ROUND(AVERAGE(I14:I$32)/100,4)</f>
        <v>2.3099999999999999E-2</v>
      </c>
      <c r="AE14" s="2427">
        <f>ROUND(AVERAGE(J14:J$32)/100,4)</f>
        <v>1.61E-2</v>
      </c>
      <c r="AF14" s="2427">
        <f t="shared" ref="AF14" si="112">AE14</f>
        <v>1.61E-2</v>
      </c>
      <c r="AG14" s="2427">
        <f>ROUND(AVERAGE(K14:K$32)/100,4)</f>
        <v>2.53E-2</v>
      </c>
      <c r="AH14" s="2427">
        <f>ROUND(AVERAGE(L14:L$32)/100,4)</f>
        <v>1.4999999999999999E-2</v>
      </c>
    </row>
    <row r="15" spans="1:34" s="2428" customFormat="1" ht="14.45" customHeight="1">
      <c r="A15" s="2421" t="s">
        <v>2860</v>
      </c>
      <c r="B15" s="2422">
        <f t="shared" ref="B15" si="113">B16*(1+N15)</f>
        <v>453.11529869999993</v>
      </c>
      <c r="C15" s="2422">
        <f t="shared" ref="C15" si="114">C16*(1+O15)</f>
        <v>336.47787264000004</v>
      </c>
      <c r="D15" s="2422">
        <f t="shared" ref="D15" si="115">C15</f>
        <v>336.47787264000004</v>
      </c>
      <c r="E15" s="2422">
        <f t="shared" ref="E15" si="116">E16*(1+P15)</f>
        <v>647.35186823999993</v>
      </c>
      <c r="F15" s="2422">
        <f t="shared" ref="F15" si="117">F16*(1+Q15)</f>
        <v>295.73229452000004</v>
      </c>
      <c r="G15" s="3407"/>
      <c r="H15" s="2434">
        <v>2</v>
      </c>
      <c r="I15" s="2434">
        <v>1.49</v>
      </c>
      <c r="J15" s="2434">
        <v>0.96</v>
      </c>
      <c r="K15" s="2434">
        <v>1.58</v>
      </c>
      <c r="L15" s="2435">
        <v>2.44</v>
      </c>
      <c r="M15" s="2408"/>
      <c r="N15" s="2424">
        <f t="shared" ref="N15" si="118">I15/100</f>
        <v>1.49E-2</v>
      </c>
      <c r="O15" s="2409">
        <f t="shared" ref="O15" si="119">J15/100</f>
        <v>9.5999999999999992E-3</v>
      </c>
      <c r="P15" s="2409">
        <f t="shared" ref="P15" si="120">K15/100</f>
        <v>1.5800000000000002E-2</v>
      </c>
      <c r="Q15" s="2409">
        <f t="shared" ref="Q15" si="121">L15/100</f>
        <v>2.4399999999999998E-2</v>
      </c>
      <c r="R15" s="2425"/>
      <c r="S15" s="2424"/>
      <c r="T15" s="2409"/>
      <c r="U15" s="2409"/>
      <c r="V15" s="2409"/>
      <c r="W15" s="2426"/>
      <c r="X15" s="2426">
        <f>ROUND(SUMPRODUCT(PRODUCT(1+N15:N$31)),4)</f>
        <v>1.4733000000000001</v>
      </c>
      <c r="Y15" s="2426">
        <f>ROUND(SUMPRODUCT(PRODUCT(1+O15:O$31)),4)</f>
        <v>1.3052999999999999</v>
      </c>
      <c r="Z15" s="2426">
        <f t="shared" ref="Z15" si="122">Y15</f>
        <v>1.3052999999999999</v>
      </c>
      <c r="AA15" s="2426">
        <f>ROUND(SUMPRODUCT(PRODUCT(1+P15:P$31)),4)</f>
        <v>1.5306999999999999</v>
      </c>
      <c r="AB15" s="2426">
        <f>ROUND(SUMPRODUCT(PRODUCT(1+Q15:Q$31)),4)</f>
        <v>1.2863</v>
      </c>
      <c r="AC15" s="2426"/>
      <c r="AD15" s="2427">
        <f>ROUND(AVERAGE(I15:I$32)/100,4)</f>
        <v>2.35E-2</v>
      </c>
      <c r="AE15" s="2427">
        <f>ROUND(AVERAGE(J15:J$32)/100,4)</f>
        <v>1.6199999999999999E-2</v>
      </c>
      <c r="AF15" s="2427">
        <f t="shared" ref="AF15" si="123">AE15</f>
        <v>1.6199999999999999E-2</v>
      </c>
      <c r="AG15" s="2427">
        <f>ROUND(AVERAGE(K15:K$32)/100,4)</f>
        <v>2.5899999999999999E-2</v>
      </c>
      <c r="AH15" s="2427">
        <f>ROUND(AVERAGE(L15:L$32)/100,4)</f>
        <v>1.49E-2</v>
      </c>
    </row>
    <row r="16" spans="1:34" s="2428" customFormat="1" ht="15" customHeight="1" thickBot="1">
      <c r="A16" s="2421" t="s">
        <v>2853</v>
      </c>
      <c r="B16" s="2422">
        <f t="shared" ref="B16" si="124">B17*(1+N16)</f>
        <v>446.46299999999997</v>
      </c>
      <c r="C16" s="2422">
        <f t="shared" ref="C16" si="125">C17*(1+O16)</f>
        <v>333.27840000000003</v>
      </c>
      <c r="D16" s="2422">
        <f t="shared" ref="D16" si="126">C16</f>
        <v>333.27840000000003</v>
      </c>
      <c r="E16" s="2422">
        <f t="shared" ref="E16" si="127">E17*(1+P16)</f>
        <v>637.28279999999995</v>
      </c>
      <c r="F16" s="2422">
        <f t="shared" ref="F16" si="128">F17*(1+Q16)</f>
        <v>288.68830000000003</v>
      </c>
      <c r="G16" s="3414"/>
      <c r="H16" s="2423">
        <v>1</v>
      </c>
      <c r="I16" s="2423">
        <v>1.7</v>
      </c>
      <c r="J16" s="2423">
        <v>1.92</v>
      </c>
      <c r="K16" s="2423">
        <v>1.64</v>
      </c>
      <c r="L16" s="2429">
        <v>2.0099999999999998</v>
      </c>
      <c r="M16" s="2408"/>
      <c r="N16" s="2424">
        <f t="shared" ref="N16:N21" si="129">I16/100</f>
        <v>1.7000000000000001E-2</v>
      </c>
      <c r="O16" s="2409">
        <f t="shared" ref="O16" si="130">J16/100</f>
        <v>1.9199999999999998E-2</v>
      </c>
      <c r="P16" s="2409">
        <f t="shared" ref="P16" si="131">K16/100</f>
        <v>1.6399999999999998E-2</v>
      </c>
      <c r="Q16" s="2409">
        <f t="shared" ref="Q16" si="132">L16/100</f>
        <v>2.0099999999999996E-2</v>
      </c>
      <c r="R16" s="2425"/>
      <c r="S16" s="2424">
        <f>B16/B17-1</f>
        <v>1.6999999999999904E-2</v>
      </c>
      <c r="T16" s="2409">
        <f t="shared" ref="T16" si="133">C16/C17-1</f>
        <v>1.9200000000000106E-2</v>
      </c>
      <c r="U16" s="2409">
        <f t="shared" ref="U16" si="134">D16/D17-1</f>
        <v>1.9200000000000106E-2</v>
      </c>
      <c r="V16" s="2409">
        <f t="shared" ref="V16" si="135">E16/E17-1</f>
        <v>1.639999999999997E-2</v>
      </c>
      <c r="W16" s="2426"/>
      <c r="X16" s="2426">
        <f>ROUND(SUMPRODUCT(PRODUCT(1+N16:N$31)),4)</f>
        <v>1.4517</v>
      </c>
      <c r="Y16" s="2426">
        <f>ROUND(SUMPRODUCT(PRODUCT(1+O16:O$31)),4)</f>
        <v>1.2928999999999999</v>
      </c>
      <c r="Z16" s="2426">
        <f t="shared" ref="Z16" si="136">Y16</f>
        <v>1.2928999999999999</v>
      </c>
      <c r="AA16" s="2426">
        <f>ROUND(SUMPRODUCT(PRODUCT(1+P16:P$31)),4)</f>
        <v>1.5068999999999999</v>
      </c>
      <c r="AB16" s="2426">
        <f>ROUND(SUMPRODUCT(PRODUCT(1+Q16:Q$31)),4)</f>
        <v>1.2557</v>
      </c>
      <c r="AC16" s="2426"/>
      <c r="AD16" s="2427">
        <f>ROUND(AVERAGE(I16:I$32)/100,4)</f>
        <v>2.4E-2</v>
      </c>
      <c r="AE16" s="2427">
        <f>ROUND(AVERAGE(J16:J$32)/100,4)</f>
        <v>1.66E-2</v>
      </c>
      <c r="AF16" s="2427">
        <f t="shared" ref="AF16" si="137">AE16</f>
        <v>1.66E-2</v>
      </c>
      <c r="AG16" s="2427">
        <f>ROUND(AVERAGE(K16:K$32)/100,4)</f>
        <v>2.6499999999999999E-2</v>
      </c>
      <c r="AH16" s="2427">
        <f>ROUND(AVERAGE(L16:L$32)/100,4)</f>
        <v>1.43E-2</v>
      </c>
    </row>
    <row r="17" spans="1:34">
      <c r="A17" s="2421" t="s">
        <v>2851</v>
      </c>
      <c r="B17" s="2436">
        <v>439</v>
      </c>
      <c r="C17" s="2436">
        <v>327</v>
      </c>
      <c r="D17" s="2436">
        <f>C17</f>
        <v>327</v>
      </c>
      <c r="E17" s="2436">
        <v>627</v>
      </c>
      <c r="F17" s="2437">
        <v>283</v>
      </c>
      <c r="G17" s="3410">
        <v>2017</v>
      </c>
      <c r="H17" s="2430">
        <v>4</v>
      </c>
      <c r="I17" s="2430">
        <v>1.71</v>
      </c>
      <c r="J17" s="2430">
        <v>1.78</v>
      </c>
      <c r="K17" s="2430">
        <v>1.71</v>
      </c>
      <c r="L17" s="2431">
        <v>1.43</v>
      </c>
      <c r="N17" s="2424">
        <f t="shared" si="129"/>
        <v>1.7100000000000001E-2</v>
      </c>
      <c r="O17" s="2409">
        <f t="shared" ref="O17" si="138">J17/100</f>
        <v>1.78E-2</v>
      </c>
      <c r="P17" s="2409">
        <f t="shared" ref="P17" si="139">K17/100</f>
        <v>1.7100000000000001E-2</v>
      </c>
      <c r="Q17" s="2409">
        <f t="shared" ref="Q17" si="140">L17/100</f>
        <v>1.43E-2</v>
      </c>
      <c r="R17" s="2425"/>
      <c r="S17" s="2438"/>
      <c r="T17" s="2439"/>
      <c r="U17" s="2439"/>
      <c r="V17" s="2439"/>
      <c r="X17" s="2408">
        <f>ROUND(SUMPRODUCT(PRODUCT(1+N17:N$31)),4)</f>
        <v>1.4274</v>
      </c>
      <c r="Y17" s="2408">
        <f>ROUND(SUMPRODUCT(PRODUCT(1+O17:O$31)),4)</f>
        <v>1.2685</v>
      </c>
      <c r="Z17" s="2408">
        <f t="shared" si="0"/>
        <v>1.2685</v>
      </c>
      <c r="AA17" s="2408">
        <f>ROUND(SUMPRODUCT(PRODUCT(1+P17:P$31)),4)</f>
        <v>1.4825999999999999</v>
      </c>
      <c r="AB17" s="2408">
        <f>ROUND(SUMPRODUCT(PRODUCT(1+Q17:Q$31)),4)</f>
        <v>1.2309000000000001</v>
      </c>
      <c r="AD17" s="2409">
        <f>ROUND(AVERAGE(I17:I$32)/100,4)</f>
        <v>2.4500000000000001E-2</v>
      </c>
      <c r="AE17" s="2409">
        <f>ROUND(AVERAGE(J17:J$32)/100,4)</f>
        <v>1.6500000000000001E-2</v>
      </c>
      <c r="AF17" s="2409">
        <f t="shared" si="1"/>
        <v>1.6500000000000001E-2</v>
      </c>
      <c r="AG17" s="2409">
        <f>ROUND(AVERAGE(K17:K$32)/100,4)</f>
        <v>2.7099999999999999E-2</v>
      </c>
      <c r="AH17" s="2409">
        <f>ROUND(AVERAGE(L17:L$32)/100,4)</f>
        <v>1.3899999999999999E-2</v>
      </c>
    </row>
    <row r="18" spans="1:34" s="2428" customFormat="1" ht="14.45" customHeight="1">
      <c r="A18" s="2421" t="s">
        <v>2852</v>
      </c>
      <c r="B18" s="2422">
        <f t="shared" ref="B18:B19" si="141">B19*(1+N18)</f>
        <v>431.80730811680002</v>
      </c>
      <c r="C18" s="2422">
        <f t="shared" ref="C18:C19" si="142">C19*(1+O18)</f>
        <v>320.57880516480003</v>
      </c>
      <c r="D18" s="2422">
        <f t="shared" ref="D18:D19" si="143">C18</f>
        <v>320.57880516480003</v>
      </c>
      <c r="E18" s="2422">
        <f t="shared" ref="E18:E19" si="144">E19*(1+P18)</f>
        <v>615.96110553196797</v>
      </c>
      <c r="F18" s="2422">
        <f t="shared" ref="F18:F19" si="145">F19*(1+Q18)</f>
        <v>279.46777300108801</v>
      </c>
      <c r="G18" s="3407"/>
      <c r="H18" s="2423">
        <v>3</v>
      </c>
      <c r="I18" s="2423">
        <v>2.98</v>
      </c>
      <c r="J18" s="2423">
        <v>2.11</v>
      </c>
      <c r="K18" s="2423">
        <v>3.24</v>
      </c>
      <c r="L18" s="2429">
        <v>1.72</v>
      </c>
      <c r="M18" s="2408"/>
      <c r="N18" s="2424">
        <f t="shared" si="129"/>
        <v>2.98E-2</v>
      </c>
      <c r="O18" s="2409">
        <f t="shared" ref="O18" si="146">J18/100</f>
        <v>2.1099999999999997E-2</v>
      </c>
      <c r="P18" s="2409">
        <f t="shared" ref="P18" si="147">K18/100</f>
        <v>3.2400000000000005E-2</v>
      </c>
      <c r="Q18" s="2409">
        <f t="shared" ref="Q18" si="148">L18/100</f>
        <v>1.72E-2</v>
      </c>
      <c r="R18" s="2425"/>
      <c r="S18" s="2424"/>
      <c r="T18" s="2409"/>
      <c r="U18" s="2409"/>
      <c r="V18" s="2409"/>
      <c r="W18" s="2426"/>
      <c r="X18" s="2426">
        <f>ROUND(SUMPRODUCT(PRODUCT(1+N18:N$31)),4)</f>
        <v>1.4034</v>
      </c>
      <c r="Y18" s="2426">
        <f>ROUND(SUMPRODUCT(PRODUCT(1+O18:O$31)),4)</f>
        <v>1.2463</v>
      </c>
      <c r="Z18" s="2426">
        <f t="shared" si="0"/>
        <v>1.2463</v>
      </c>
      <c r="AA18" s="2426">
        <f>ROUND(SUMPRODUCT(PRODUCT(1+P18:P$31)),4)</f>
        <v>1.4577</v>
      </c>
      <c r="AB18" s="2426">
        <f>ROUND(SUMPRODUCT(PRODUCT(1+Q18:Q$31)),4)</f>
        <v>1.2136</v>
      </c>
      <c r="AC18" s="2426"/>
      <c r="AD18" s="2427">
        <f>ROUND(AVERAGE(I18:I$32)/100,4)</f>
        <v>2.4899999999999999E-2</v>
      </c>
      <c r="AE18" s="2427">
        <f>ROUND(AVERAGE(J18:J$32)/100,4)</f>
        <v>1.6400000000000001E-2</v>
      </c>
      <c r="AF18" s="2427">
        <f t="shared" si="1"/>
        <v>1.6400000000000001E-2</v>
      </c>
      <c r="AG18" s="2427">
        <f>ROUND(AVERAGE(K18:K$32)/100,4)</f>
        <v>2.7799999999999998E-2</v>
      </c>
      <c r="AH18" s="2427">
        <f>ROUND(AVERAGE(L18:L$32)/100,4)</f>
        <v>1.3899999999999999E-2</v>
      </c>
    </row>
    <row r="19" spans="1:34" s="2415" customFormat="1" ht="14.45" customHeight="1">
      <c r="A19" s="2421" t="s">
        <v>1351</v>
      </c>
      <c r="B19" s="2422">
        <f t="shared" si="141"/>
        <v>419.31181600000002</v>
      </c>
      <c r="C19" s="2422">
        <f t="shared" si="142"/>
        <v>313.95436800000004</v>
      </c>
      <c r="D19" s="2422">
        <f t="shared" si="143"/>
        <v>313.95436800000004</v>
      </c>
      <c r="E19" s="2422">
        <f t="shared" si="144"/>
        <v>596.63028431999999</v>
      </c>
      <c r="F19" s="2422">
        <f t="shared" si="145"/>
        <v>274.74220703999998</v>
      </c>
      <c r="G19" s="3407"/>
      <c r="H19" s="2434">
        <v>2</v>
      </c>
      <c r="I19" s="2434">
        <v>3.4</v>
      </c>
      <c r="J19" s="2434">
        <v>2</v>
      </c>
      <c r="K19" s="2434">
        <v>3.82</v>
      </c>
      <c r="L19" s="2435">
        <v>1.68</v>
      </c>
      <c r="M19" s="2408"/>
      <c r="N19" s="2424">
        <f t="shared" si="129"/>
        <v>3.4000000000000002E-2</v>
      </c>
      <c r="O19" s="2409">
        <f t="shared" ref="O19" si="149">J19/100</f>
        <v>0.02</v>
      </c>
      <c r="P19" s="2409">
        <f t="shared" ref="P19" si="150">K19/100</f>
        <v>3.8199999999999998E-2</v>
      </c>
      <c r="Q19" s="2409">
        <f t="shared" ref="Q19" si="151">L19/100</f>
        <v>1.6799999999999999E-2</v>
      </c>
      <c r="R19" s="2425"/>
      <c r="S19" s="2438"/>
      <c r="T19" s="2439"/>
      <c r="U19" s="2439"/>
      <c r="V19" s="2439"/>
      <c r="W19" s="2402"/>
      <c r="X19" s="2426">
        <f>ROUND(SUMPRODUCT(PRODUCT(1+N19:N$31)),4)</f>
        <v>1.3628</v>
      </c>
      <c r="Y19" s="2426">
        <f>ROUND(SUMPRODUCT(PRODUCT(1+O19:O$31)),4)</f>
        <v>1.2205999999999999</v>
      </c>
      <c r="Z19" s="2426">
        <f t="shared" si="0"/>
        <v>1.2205999999999999</v>
      </c>
      <c r="AA19" s="2426">
        <f>ROUND(SUMPRODUCT(PRODUCT(1+P19:P$31)),4)</f>
        <v>1.4118999999999999</v>
      </c>
      <c r="AB19" s="2426">
        <f>ROUND(SUMPRODUCT(PRODUCT(1+Q19:Q$31)),4)</f>
        <v>1.1930000000000001</v>
      </c>
      <c r="AC19" s="2402"/>
      <c r="AD19" s="2427">
        <f>ROUND(AVERAGE(I19:I$32)/100,4)</f>
        <v>2.46E-2</v>
      </c>
      <c r="AE19" s="2427">
        <f>ROUND(AVERAGE(J19:J$32)/100,4)</f>
        <v>1.6E-2</v>
      </c>
      <c r="AF19" s="2427">
        <f t="shared" si="1"/>
        <v>1.6E-2</v>
      </c>
      <c r="AG19" s="2427">
        <f>ROUND(AVERAGE(K19:K$32)/100,4)</f>
        <v>2.75E-2</v>
      </c>
      <c r="AH19" s="2427">
        <f>ROUND(AVERAGE(L19:L$32)/100,4)</f>
        <v>1.37E-2</v>
      </c>
    </row>
    <row r="20" spans="1:34" s="2428" customFormat="1" ht="15" customHeight="1" thickBot="1">
      <c r="A20" s="2421" t="s">
        <v>1128</v>
      </c>
      <c r="B20" s="2422">
        <f>B21*(1+N20)</f>
        <v>405.524</v>
      </c>
      <c r="C20" s="2422">
        <f>C21*(1+O20)</f>
        <v>307.79840000000002</v>
      </c>
      <c r="D20" s="2422">
        <f>C20</f>
        <v>307.79840000000002</v>
      </c>
      <c r="E20" s="2422">
        <f>E21*(1+P20)</f>
        <v>574.67759999999998</v>
      </c>
      <c r="F20" s="2422">
        <f>F21*(1+Q20)</f>
        <v>270.20280000000002</v>
      </c>
      <c r="G20" s="3414"/>
      <c r="H20" s="2423">
        <v>1</v>
      </c>
      <c r="I20" s="2423">
        <v>3.45</v>
      </c>
      <c r="J20" s="2423">
        <v>1.92</v>
      </c>
      <c r="K20" s="2423">
        <v>3.92</v>
      </c>
      <c r="L20" s="2429">
        <v>1.58</v>
      </c>
      <c r="M20" s="2408"/>
      <c r="N20" s="2424">
        <f t="shared" si="129"/>
        <v>3.4500000000000003E-2</v>
      </c>
      <c r="O20" s="2409">
        <f t="shared" ref="O20:Q35" si="152">J20/100</f>
        <v>1.9199999999999998E-2</v>
      </c>
      <c r="P20" s="2409">
        <f t="shared" si="152"/>
        <v>3.9199999999999999E-2</v>
      </c>
      <c r="Q20" s="2409">
        <f t="shared" si="152"/>
        <v>1.5800000000000002E-2</v>
      </c>
      <c r="R20" s="2425"/>
      <c r="S20" s="2424">
        <f>B20/B21-1</f>
        <v>3.4499999999999975E-2</v>
      </c>
      <c r="T20" s="2409">
        <f t="shared" ref="T20:V20" si="153">C20/C21-1</f>
        <v>1.9200000000000106E-2</v>
      </c>
      <c r="U20" s="2409">
        <f t="shared" si="153"/>
        <v>1.9200000000000106E-2</v>
      </c>
      <c r="V20" s="2409">
        <f t="shared" si="153"/>
        <v>3.9199999999999902E-2</v>
      </c>
      <c r="W20" s="2426"/>
      <c r="X20" s="2426">
        <f>ROUND(SUMPRODUCT(PRODUCT(1+N20:N$31)),4)</f>
        <v>1.3180000000000001</v>
      </c>
      <c r="Y20" s="2426">
        <f>ROUND(SUMPRODUCT(PRODUCT(1+O20:O$31)),4)</f>
        <v>1.1966000000000001</v>
      </c>
      <c r="Z20" s="2426">
        <f t="shared" si="0"/>
        <v>1.1966000000000001</v>
      </c>
      <c r="AA20" s="2426">
        <f>ROUND(SUMPRODUCT(PRODUCT(1+P20:P$31)),4)</f>
        <v>1.36</v>
      </c>
      <c r="AB20" s="2426">
        <f>ROUND(SUMPRODUCT(PRODUCT(1+Q20:Q$31)),4)</f>
        <v>1.1733</v>
      </c>
      <c r="AC20" s="2426"/>
      <c r="AD20" s="2427">
        <f>ROUND(AVERAGE(I20:I$32)/100,4)</f>
        <v>2.3900000000000001E-2</v>
      </c>
      <c r="AE20" s="2427">
        <f>ROUND(AVERAGE(J20:J$32)/100,4)</f>
        <v>1.5699999999999999E-2</v>
      </c>
      <c r="AF20" s="2427">
        <f t="shared" si="1"/>
        <v>1.5699999999999999E-2</v>
      </c>
      <c r="AG20" s="2427">
        <f>ROUND(AVERAGE(K20:K$32)/100,4)</f>
        <v>2.6599999999999999E-2</v>
      </c>
      <c r="AH20" s="2427">
        <f>ROUND(AVERAGE(L20:L$32)/100,4)</f>
        <v>1.34E-2</v>
      </c>
    </row>
    <row r="21" spans="1:34">
      <c r="A21" s="2421" t="s">
        <v>154</v>
      </c>
      <c r="B21" s="2436">
        <v>392</v>
      </c>
      <c r="C21" s="2436">
        <v>302</v>
      </c>
      <c r="D21" s="2436">
        <f>C21</f>
        <v>302</v>
      </c>
      <c r="E21" s="2436">
        <v>553</v>
      </c>
      <c r="F21" s="2437">
        <v>266</v>
      </c>
      <c r="G21" s="3410">
        <v>2016</v>
      </c>
      <c r="H21" s="2430">
        <v>4</v>
      </c>
      <c r="I21" s="2430">
        <v>4.5599999999999996</v>
      </c>
      <c r="J21" s="2430">
        <v>2.15</v>
      </c>
      <c r="K21" s="2430">
        <v>5.32</v>
      </c>
      <c r="L21" s="2431">
        <v>1.57</v>
      </c>
      <c r="N21" s="2424">
        <f t="shared" si="129"/>
        <v>4.5599999999999995E-2</v>
      </c>
      <c r="O21" s="2409">
        <f t="shared" si="152"/>
        <v>2.1499999999999998E-2</v>
      </c>
      <c r="P21" s="2409">
        <f t="shared" si="152"/>
        <v>5.3200000000000004E-2</v>
      </c>
      <c r="Q21" s="2409">
        <f t="shared" si="152"/>
        <v>1.5700000000000002E-2</v>
      </c>
      <c r="R21" s="2425"/>
      <c r="S21" s="2438"/>
      <c r="T21" s="2439"/>
      <c r="U21" s="2439"/>
      <c r="V21" s="2439"/>
      <c r="X21" s="2408">
        <f>ROUND(SUMPRODUCT(PRODUCT(1+N21:N$31)),4)</f>
        <v>1.274</v>
      </c>
      <c r="Y21" s="2408">
        <f>ROUND(SUMPRODUCT(PRODUCT(1+O21:O$31)),4)</f>
        <v>1.1740999999999999</v>
      </c>
      <c r="Z21" s="2408">
        <f t="shared" si="0"/>
        <v>1.1740999999999999</v>
      </c>
      <c r="AA21" s="2408">
        <f>ROUND(SUMPRODUCT(PRODUCT(1+P21:P$31)),4)</f>
        <v>1.3087</v>
      </c>
      <c r="AB21" s="2408">
        <f>ROUND(SUMPRODUCT(PRODUCT(1+Q21:Q$31)),4)</f>
        <v>1.1551</v>
      </c>
      <c r="AD21" s="2409">
        <f>ROUND(AVERAGE(I21:I$32)/100,4)</f>
        <v>2.3E-2</v>
      </c>
      <c r="AE21" s="2409">
        <f>ROUND(AVERAGE(J21:J$32)/100,4)</f>
        <v>1.55E-2</v>
      </c>
      <c r="AF21" s="2409">
        <f t="shared" si="1"/>
        <v>1.55E-2</v>
      </c>
      <c r="AG21" s="2409">
        <f>ROUND(AVERAGE(K21:K$32)/100,4)</f>
        <v>2.5600000000000001E-2</v>
      </c>
      <c r="AH21" s="2409">
        <f>ROUND(AVERAGE(L21:L$32)/100,4)</f>
        <v>1.32E-2</v>
      </c>
    </row>
    <row r="22" spans="1:34">
      <c r="A22" s="2421" t="s">
        <v>153</v>
      </c>
      <c r="B22" s="2422">
        <f t="shared" ref="B22:C24" si="154">B21/(1+N21)</f>
        <v>374.90436113236416</v>
      </c>
      <c r="C22" s="2422">
        <f t="shared" si="154"/>
        <v>295.64366128242779</v>
      </c>
      <c r="D22" s="2422">
        <f t="shared" ref="D22:D81" si="155">C22</f>
        <v>295.64366128242779</v>
      </c>
      <c r="E22" s="2422">
        <f t="shared" ref="E22:F24" si="156">E21/(1+P21)</f>
        <v>525.06646410938095</v>
      </c>
      <c r="F22" s="2422">
        <f t="shared" si="156"/>
        <v>261.88835286009646</v>
      </c>
      <c r="G22" s="3407"/>
      <c r="H22" s="2423">
        <v>3</v>
      </c>
      <c r="I22" s="2423">
        <v>4.12</v>
      </c>
      <c r="J22" s="2423">
        <v>2</v>
      </c>
      <c r="K22" s="2423">
        <v>4.79</v>
      </c>
      <c r="L22" s="2429">
        <v>1.97</v>
      </c>
      <c r="N22" s="2424">
        <f t="shared" ref="N22:Q56" si="157">I22/100</f>
        <v>4.1200000000000001E-2</v>
      </c>
      <c r="O22" s="2409">
        <f t="shared" si="152"/>
        <v>0.02</v>
      </c>
      <c r="P22" s="2409">
        <f t="shared" si="152"/>
        <v>4.7899999999999998E-2</v>
      </c>
      <c r="Q22" s="2409">
        <f t="shared" si="152"/>
        <v>1.9699999999999999E-2</v>
      </c>
      <c r="R22" s="2425"/>
      <c r="S22" s="2424"/>
      <c r="T22" s="2409"/>
      <c r="U22" s="2409"/>
      <c r="V22" s="2409"/>
      <c r="X22" s="2408">
        <f>ROUND(SUMPRODUCT(PRODUCT(1+N22:N$31)),4)</f>
        <v>1.2184999999999999</v>
      </c>
      <c r="Y22" s="2408">
        <f>ROUND(SUMPRODUCT(PRODUCT(1+O22:O$31)),4)</f>
        <v>1.1494</v>
      </c>
      <c r="Z22" s="2408">
        <f t="shared" si="0"/>
        <v>1.1494</v>
      </c>
      <c r="AA22" s="2408">
        <f>ROUND(SUMPRODUCT(PRODUCT(1+P22:P$31)),4)</f>
        <v>1.2425999999999999</v>
      </c>
      <c r="AB22" s="2408">
        <f>ROUND(SUMPRODUCT(PRODUCT(1+Q22:Q$31)),4)</f>
        <v>1.1372</v>
      </c>
      <c r="AD22" s="2409">
        <f>ROUND(AVERAGE(I22:I$32)/100,4)</f>
        <v>2.0899999999999998E-2</v>
      </c>
      <c r="AE22" s="2409">
        <f>ROUND(AVERAGE(J22:J$32)/100,4)</f>
        <v>1.49E-2</v>
      </c>
      <c r="AF22" s="2409">
        <f t="shared" si="1"/>
        <v>1.49E-2</v>
      </c>
      <c r="AG22" s="2409">
        <f>ROUND(AVERAGE(K22:K$32)/100,4)</f>
        <v>2.3099999999999999E-2</v>
      </c>
      <c r="AH22" s="2409">
        <f>ROUND(AVERAGE(L22:L$32)/100,4)</f>
        <v>1.2999999999999999E-2</v>
      </c>
    </row>
    <row r="23" spans="1:34">
      <c r="A23" s="2421" t="s">
        <v>143</v>
      </c>
      <c r="B23" s="2422">
        <f t="shared" si="154"/>
        <v>360.06949782209392</v>
      </c>
      <c r="C23" s="2422">
        <f t="shared" si="154"/>
        <v>289.84672674747821</v>
      </c>
      <c r="D23" s="2422">
        <f t="shared" si="155"/>
        <v>289.84672674747821</v>
      </c>
      <c r="E23" s="2422">
        <f t="shared" si="156"/>
        <v>501.06543001181495</v>
      </c>
      <c r="F23" s="2422">
        <f t="shared" si="156"/>
        <v>256.82882500744967</v>
      </c>
      <c r="G23" s="3407"/>
      <c r="H23" s="2434">
        <v>2</v>
      </c>
      <c r="I23" s="2434">
        <v>3.85</v>
      </c>
      <c r="J23" s="2434">
        <v>1.95</v>
      </c>
      <c r="K23" s="2434">
        <v>4.4800000000000004</v>
      </c>
      <c r="L23" s="2435">
        <v>1.41</v>
      </c>
      <c r="N23" s="2424">
        <f t="shared" si="157"/>
        <v>3.85E-2</v>
      </c>
      <c r="O23" s="2409">
        <f t="shared" si="152"/>
        <v>1.95E-2</v>
      </c>
      <c r="P23" s="2409">
        <f t="shared" si="152"/>
        <v>4.4800000000000006E-2</v>
      </c>
      <c r="Q23" s="2409">
        <f t="shared" si="152"/>
        <v>1.41E-2</v>
      </c>
      <c r="R23" s="2425"/>
      <c r="S23" s="2424"/>
      <c r="T23" s="2409"/>
      <c r="U23" s="2409"/>
      <c r="V23" s="2409"/>
      <c r="X23" s="2408">
        <f>ROUND(SUMPRODUCT(PRODUCT(1+N23:N$31)),4)</f>
        <v>1.1702999999999999</v>
      </c>
      <c r="Y23" s="2408">
        <f>ROUND(SUMPRODUCT(PRODUCT(1+O23:O$31)),4)</f>
        <v>1.1269</v>
      </c>
      <c r="Z23" s="2408">
        <f t="shared" si="0"/>
        <v>1.1269</v>
      </c>
      <c r="AA23" s="2408">
        <f>ROUND(SUMPRODUCT(PRODUCT(1+P23:P$31)),4)</f>
        <v>1.1858</v>
      </c>
      <c r="AB23" s="2408">
        <f>ROUND(SUMPRODUCT(PRODUCT(1+Q23:Q$31)),4)</f>
        <v>1.1152</v>
      </c>
      <c r="AD23" s="2409">
        <f>ROUND(AVERAGE(I23:I$32)/100,4)</f>
        <v>1.89E-2</v>
      </c>
      <c r="AE23" s="2409">
        <f>ROUND(AVERAGE(J23:J$32)/100,4)</f>
        <v>1.44E-2</v>
      </c>
      <c r="AF23" s="2409">
        <f t="shared" si="1"/>
        <v>1.44E-2</v>
      </c>
      <c r="AG23" s="2409">
        <f>ROUND(AVERAGE(K23:K$32)/100,4)</f>
        <v>2.06E-2</v>
      </c>
      <c r="AH23" s="2409">
        <f>ROUND(AVERAGE(L23:L$32)/100,4)</f>
        <v>1.23E-2</v>
      </c>
    </row>
    <row r="24" spans="1:34" ht="13.5" thickBot="1">
      <c r="A24" s="2421" t="s">
        <v>152</v>
      </c>
      <c r="B24" s="2422">
        <f t="shared" si="154"/>
        <v>346.720748986128</v>
      </c>
      <c r="C24" s="2422">
        <f t="shared" si="154"/>
        <v>284.30282172386285</v>
      </c>
      <c r="D24" s="2422">
        <f t="shared" si="155"/>
        <v>284.30282172386285</v>
      </c>
      <c r="E24" s="2422">
        <f t="shared" si="156"/>
        <v>479.58023546306947</v>
      </c>
      <c r="F24" s="2422">
        <f t="shared" si="156"/>
        <v>253.25788877571213</v>
      </c>
      <c r="G24" s="3408"/>
      <c r="H24" s="2423">
        <v>1</v>
      </c>
      <c r="I24" s="2423">
        <v>4.09</v>
      </c>
      <c r="J24" s="2423">
        <v>2.93</v>
      </c>
      <c r="K24" s="2423">
        <v>4.54</v>
      </c>
      <c r="L24" s="2429">
        <v>1.48</v>
      </c>
      <c r="N24" s="2424">
        <f t="shared" si="157"/>
        <v>4.0899999999999999E-2</v>
      </c>
      <c r="O24" s="2409">
        <f t="shared" si="152"/>
        <v>2.9300000000000003E-2</v>
      </c>
      <c r="P24" s="2409">
        <f t="shared" si="152"/>
        <v>4.5400000000000003E-2</v>
      </c>
      <c r="Q24" s="2409">
        <f t="shared" si="152"/>
        <v>1.4800000000000001E-2</v>
      </c>
      <c r="R24" s="2425"/>
      <c r="S24" s="2440">
        <f>B24/B25-1</f>
        <v>4.1203450408792808E-2</v>
      </c>
      <c r="T24" s="2441">
        <f>C24/C25-1</f>
        <v>2.6363977342465095E-2</v>
      </c>
      <c r="U24" s="2441">
        <f>E24/E25-1</f>
        <v>4.4837114298626357E-2</v>
      </c>
      <c r="V24" s="2441">
        <f>F24/F25-1</f>
        <v>1.7099954922538574E-2</v>
      </c>
      <c r="X24" s="2408">
        <f>ROUND(SUMPRODUCT(PRODUCT(1+N24:N$31)),4)</f>
        <v>1.1269</v>
      </c>
      <c r="Y24" s="2408">
        <f>ROUND(SUMPRODUCT(PRODUCT(1+O24:O$31)),4)</f>
        <v>1.1052999999999999</v>
      </c>
      <c r="Z24" s="2408">
        <f t="shared" si="0"/>
        <v>1.1052999999999999</v>
      </c>
      <c r="AA24" s="2408">
        <f>ROUND(SUMPRODUCT(PRODUCT(1+P24:P$31)),4)</f>
        <v>1.1349</v>
      </c>
      <c r="AB24" s="2408">
        <f>ROUND(SUMPRODUCT(PRODUCT(1+Q24:Q$31)),4)</f>
        <v>1.0996999999999999</v>
      </c>
      <c r="AD24" s="2409">
        <f>ROUND(AVERAGE(I24:I$32)/100,4)</f>
        <v>1.67E-2</v>
      </c>
      <c r="AE24" s="2409">
        <f>ROUND(AVERAGE(J24:J$32)/100,4)</f>
        <v>1.38E-2</v>
      </c>
      <c r="AF24" s="2409">
        <f t="shared" si="1"/>
        <v>1.38E-2</v>
      </c>
      <c r="AG24" s="2409">
        <f>ROUND(AVERAGE(K24:K$32)/100,4)</f>
        <v>1.7899999999999999E-2</v>
      </c>
      <c r="AH24" s="2409">
        <f>ROUND(AVERAGE(L24:L$32)/100,4)</f>
        <v>1.21E-2</v>
      </c>
    </row>
    <row r="25" spans="1:34" ht="13.5" thickBot="1">
      <c r="A25" s="2421" t="s">
        <v>151</v>
      </c>
      <c r="B25" s="2436">
        <v>333</v>
      </c>
      <c r="C25" s="2436">
        <v>277</v>
      </c>
      <c r="D25" s="2436">
        <f t="shared" si="155"/>
        <v>277</v>
      </c>
      <c r="E25" s="2436">
        <v>459</v>
      </c>
      <c r="F25" s="2437">
        <v>249</v>
      </c>
      <c r="G25" s="3406">
        <v>2015</v>
      </c>
      <c r="H25" s="2442">
        <v>4</v>
      </c>
      <c r="I25" s="2442">
        <v>1.63</v>
      </c>
      <c r="J25" s="2442">
        <v>1.1100000000000001</v>
      </c>
      <c r="K25" s="2442">
        <v>1.77</v>
      </c>
      <c r="L25" s="2443">
        <v>1.89</v>
      </c>
      <c r="N25" s="2444">
        <f t="shared" si="157"/>
        <v>1.6299999999999999E-2</v>
      </c>
      <c r="O25" s="2445">
        <f t="shared" si="152"/>
        <v>1.11E-2</v>
      </c>
      <c r="P25" s="2445">
        <f t="shared" si="152"/>
        <v>1.77E-2</v>
      </c>
      <c r="Q25" s="2445">
        <f t="shared" si="152"/>
        <v>1.89E-2</v>
      </c>
      <c r="R25" s="2425"/>
      <c r="X25" s="2408">
        <f>ROUND(SUMPRODUCT(PRODUCT(1+N25:N$31)),4)</f>
        <v>1.0826</v>
      </c>
      <c r="Y25" s="2408">
        <f>ROUND(SUMPRODUCT(PRODUCT(1+O25:O$31)),4)</f>
        <v>1.0738000000000001</v>
      </c>
      <c r="Z25" s="2408">
        <f t="shared" si="0"/>
        <v>1.0738000000000001</v>
      </c>
      <c r="AA25" s="2408">
        <f>ROUND(SUMPRODUCT(PRODUCT(1+P25:P$31)),4)</f>
        <v>1.0855999999999999</v>
      </c>
      <c r="AB25" s="2408">
        <f>ROUND(SUMPRODUCT(PRODUCT(1+Q25:Q$31)),4)</f>
        <v>1.0837000000000001</v>
      </c>
      <c r="AD25" s="2409">
        <f>ROUND(AVERAGE(I25:I$32)/100,4)</f>
        <v>1.37E-2</v>
      </c>
      <c r="AE25" s="2409">
        <f>ROUND(AVERAGE(J25:J$32)/100,4)</f>
        <v>1.1900000000000001E-2</v>
      </c>
      <c r="AF25" s="2409">
        <f t="shared" si="1"/>
        <v>1.1900000000000001E-2</v>
      </c>
      <c r="AG25" s="2409">
        <f>ROUND(AVERAGE(K25:K$32)/100,4)</f>
        <v>1.4500000000000001E-2</v>
      </c>
      <c r="AH25" s="2409">
        <f>ROUND(AVERAGE(L25:L$32)/100,4)</f>
        <v>1.18E-2</v>
      </c>
    </row>
    <row r="26" spans="1:34">
      <c r="A26" s="2421" t="s">
        <v>150</v>
      </c>
      <c r="B26" s="2422">
        <f t="shared" ref="B26:C28" si="158">B25/(1+N25)</f>
        <v>327.65915576109415</v>
      </c>
      <c r="C26" s="2422">
        <f t="shared" si="158"/>
        <v>273.95905449510434</v>
      </c>
      <c r="D26" s="2422">
        <f t="shared" si="155"/>
        <v>273.95905449510434</v>
      </c>
      <c r="E26" s="2422">
        <f t="shared" ref="E26:F28" si="159">E25/(1+P25)</f>
        <v>451.01699911565294</v>
      </c>
      <c r="F26" s="2422">
        <f t="shared" si="159"/>
        <v>244.38119540681129</v>
      </c>
      <c r="G26" s="3407"/>
      <c r="H26" s="2447">
        <v>3</v>
      </c>
      <c r="I26" s="2447">
        <v>1.65</v>
      </c>
      <c r="J26" s="2447">
        <v>0.92</v>
      </c>
      <c r="K26" s="2447">
        <v>1.88</v>
      </c>
      <c r="L26" s="2448">
        <v>1.26</v>
      </c>
      <c r="N26" s="2424">
        <f t="shared" si="157"/>
        <v>1.6500000000000001E-2</v>
      </c>
      <c r="O26" s="2449">
        <f t="shared" si="152"/>
        <v>9.1999999999999998E-3</v>
      </c>
      <c r="P26" s="2449">
        <f t="shared" si="152"/>
        <v>1.8799999999999997E-2</v>
      </c>
      <c r="Q26" s="2449">
        <f t="shared" si="152"/>
        <v>1.26E-2</v>
      </c>
      <c r="R26" s="2425"/>
      <c r="S26" s="2424"/>
      <c r="T26" s="2409"/>
      <c r="U26" s="2409"/>
      <c r="V26" s="2409"/>
      <c r="X26" s="2408">
        <f>ROUND(SUMPRODUCT(PRODUCT(1+N26:N$31)),4)</f>
        <v>1.0651999999999999</v>
      </c>
      <c r="Y26" s="2408">
        <f>ROUND(SUMPRODUCT(PRODUCT(1+O26:O$31)),4)</f>
        <v>1.0621</v>
      </c>
      <c r="Z26" s="2408">
        <f t="shared" si="0"/>
        <v>1.0621</v>
      </c>
      <c r="AA26" s="2408">
        <f>ROUND(SUMPRODUCT(PRODUCT(1+P26:P$31)),4)</f>
        <v>1.0668</v>
      </c>
      <c r="AB26" s="2408">
        <f>ROUND(SUMPRODUCT(PRODUCT(1+Q26:Q$31)),4)</f>
        <v>1.0636000000000001</v>
      </c>
      <c r="AD26" s="2409">
        <f>ROUND(AVERAGE(I26:I$32)/100,4)</f>
        <v>1.3299999999999999E-2</v>
      </c>
      <c r="AE26" s="2409">
        <f>ROUND(AVERAGE(J26:J$32)/100,4)</f>
        <v>1.2E-2</v>
      </c>
      <c r="AF26" s="2409">
        <f t="shared" si="1"/>
        <v>1.2E-2</v>
      </c>
      <c r="AG26" s="2409">
        <f>ROUND(AVERAGE(K26:K$32)/100,4)</f>
        <v>1.4E-2</v>
      </c>
      <c r="AH26" s="2409">
        <f>ROUND(AVERAGE(L26:L$32)/100,4)</f>
        <v>1.0800000000000001E-2</v>
      </c>
    </row>
    <row r="27" spans="1:34">
      <c r="A27" s="2421" t="s">
        <v>149</v>
      </c>
      <c r="B27" s="2422">
        <f t="shared" si="158"/>
        <v>322.34053690220776</v>
      </c>
      <c r="C27" s="2422">
        <f t="shared" si="158"/>
        <v>271.46160770422546</v>
      </c>
      <c r="D27" s="2422">
        <f t="shared" si="155"/>
        <v>271.46160770422546</v>
      </c>
      <c r="E27" s="2422">
        <f t="shared" si="159"/>
        <v>442.69434542172456</v>
      </c>
      <c r="F27" s="2422">
        <f t="shared" si="159"/>
        <v>241.34030753190925</v>
      </c>
      <c r="G27" s="3407"/>
      <c r="H27" s="2434">
        <v>2</v>
      </c>
      <c r="I27" s="2434">
        <v>0.77</v>
      </c>
      <c r="J27" s="2434">
        <v>0.69</v>
      </c>
      <c r="K27" s="2434">
        <v>0.8</v>
      </c>
      <c r="L27" s="2435">
        <v>0.88</v>
      </c>
      <c r="N27" s="2424">
        <f t="shared" si="157"/>
        <v>7.7000000000000002E-3</v>
      </c>
      <c r="O27" s="2449">
        <f t="shared" si="152"/>
        <v>6.8999999999999999E-3</v>
      </c>
      <c r="P27" s="2449">
        <f t="shared" si="152"/>
        <v>8.0000000000000002E-3</v>
      </c>
      <c r="Q27" s="2449">
        <f t="shared" si="152"/>
        <v>8.8000000000000005E-3</v>
      </c>
      <c r="R27" s="2425"/>
      <c r="S27" s="2424"/>
      <c r="T27" s="2409"/>
      <c r="U27" s="2409"/>
      <c r="V27" s="2409"/>
      <c r="X27" s="2408">
        <f>ROUND(SUMPRODUCT(PRODUCT(1+N27:N$31)),4)</f>
        <v>1.048</v>
      </c>
      <c r="Y27" s="2408">
        <f>ROUND(SUMPRODUCT(PRODUCT(1+O27:O$31)),4)</f>
        <v>1.0524</v>
      </c>
      <c r="Z27" s="2408">
        <f t="shared" si="0"/>
        <v>1.0524</v>
      </c>
      <c r="AA27" s="2408">
        <f>ROUND(SUMPRODUCT(PRODUCT(1+P27:P$31)),4)</f>
        <v>1.0470999999999999</v>
      </c>
      <c r="AB27" s="2408">
        <f>ROUND(SUMPRODUCT(PRODUCT(1+Q27:Q$31)),4)</f>
        <v>1.0504</v>
      </c>
      <c r="AD27" s="2409">
        <f>ROUND(AVERAGE(I27:I$32)/100,4)</f>
        <v>1.2800000000000001E-2</v>
      </c>
      <c r="AE27" s="2409">
        <f>ROUND(AVERAGE(J27:J$32)/100,4)</f>
        <v>1.2500000000000001E-2</v>
      </c>
      <c r="AF27" s="2409">
        <f t="shared" si="1"/>
        <v>1.2500000000000001E-2</v>
      </c>
      <c r="AG27" s="2409">
        <f>ROUND(AVERAGE(K27:K$32)/100,4)</f>
        <v>1.32E-2</v>
      </c>
      <c r="AH27" s="2409">
        <f>ROUND(AVERAGE(L27:L$32)/100,4)</f>
        <v>1.0500000000000001E-2</v>
      </c>
    </row>
    <row r="28" spans="1:34">
      <c r="A28" s="2421" t="s">
        <v>148</v>
      </c>
      <c r="B28" s="2422">
        <f t="shared" si="158"/>
        <v>319.87748030386797</v>
      </c>
      <c r="C28" s="2422">
        <f t="shared" si="158"/>
        <v>269.60135833173649</v>
      </c>
      <c r="D28" s="2422">
        <f t="shared" si="155"/>
        <v>269.60135833173649</v>
      </c>
      <c r="E28" s="2422">
        <f t="shared" si="159"/>
        <v>439.18089823583784</v>
      </c>
      <c r="F28" s="2422">
        <f t="shared" si="159"/>
        <v>239.23503918706311</v>
      </c>
      <c r="G28" s="3408"/>
      <c r="H28" s="2423">
        <v>1</v>
      </c>
      <c r="I28" s="2423">
        <v>0.51</v>
      </c>
      <c r="J28" s="2423">
        <v>0.54</v>
      </c>
      <c r="K28" s="2423">
        <v>0.48</v>
      </c>
      <c r="L28" s="2429">
        <v>0.93</v>
      </c>
      <c r="N28" s="2440">
        <f t="shared" si="157"/>
        <v>5.1000000000000004E-3</v>
      </c>
      <c r="O28" s="2441">
        <f t="shared" si="152"/>
        <v>5.4000000000000003E-3</v>
      </c>
      <c r="P28" s="2441">
        <f t="shared" si="152"/>
        <v>4.7999999999999996E-3</v>
      </c>
      <c r="Q28" s="2441">
        <f t="shared" si="152"/>
        <v>9.300000000000001E-3</v>
      </c>
      <c r="R28" s="2425"/>
      <c r="S28" s="2440">
        <f>B28/B29-1</f>
        <v>5.9040261127922822E-3</v>
      </c>
      <c r="T28" s="2441">
        <f>C28/C29-1</f>
        <v>5.9752176557332781E-3</v>
      </c>
      <c r="U28" s="2441">
        <f>E28/E29-1</f>
        <v>4.9906138119859556E-3</v>
      </c>
      <c r="V28" s="2441">
        <f>F28/F29-1</f>
        <v>9.4305450930933787E-3</v>
      </c>
      <c r="X28" s="2408">
        <f>ROUND(SUMPRODUCT(PRODUCT(1+N28:N$31)),4)</f>
        <v>1.0399</v>
      </c>
      <c r="Y28" s="2408">
        <f>ROUND(SUMPRODUCT(PRODUCT(1+O28:O$31)),4)</f>
        <v>1.0451999999999999</v>
      </c>
      <c r="Z28" s="2408">
        <f t="shared" si="0"/>
        <v>1.0451999999999999</v>
      </c>
      <c r="AA28" s="2408">
        <f>ROUND(SUMPRODUCT(PRODUCT(1+P28:P$31)),4)</f>
        <v>1.0387999999999999</v>
      </c>
      <c r="AB28" s="2408">
        <f>ROUND(SUMPRODUCT(PRODUCT(1+Q28:Q$31)),4)</f>
        <v>1.0411999999999999</v>
      </c>
      <c r="AD28" s="2409">
        <f>ROUND(AVERAGE(I28:I$32)/100,4)</f>
        <v>1.38E-2</v>
      </c>
      <c r="AE28" s="2409">
        <f>ROUND(AVERAGE(J28:J$32)/100,4)</f>
        <v>1.3599999999999999E-2</v>
      </c>
      <c r="AF28" s="2409">
        <f t="shared" si="1"/>
        <v>1.3599999999999999E-2</v>
      </c>
      <c r="AG28" s="2409">
        <f>ROUND(AVERAGE(K28:K$32)/100,4)</f>
        <v>1.4200000000000001E-2</v>
      </c>
      <c r="AH28" s="2409">
        <f>ROUND(AVERAGE(L28:L$32)/100,4)</f>
        <v>1.0800000000000001E-2</v>
      </c>
    </row>
    <row r="29" spans="1:34" ht="13.5" thickBot="1">
      <c r="A29" s="2421" t="s">
        <v>147</v>
      </c>
      <c r="B29" s="2450">
        <v>318</v>
      </c>
      <c r="C29" s="2450">
        <v>268</v>
      </c>
      <c r="D29" s="2450">
        <f t="shared" si="155"/>
        <v>268</v>
      </c>
      <c r="E29" s="2450">
        <v>437</v>
      </c>
      <c r="F29" s="2451">
        <v>237</v>
      </c>
      <c r="G29" s="3406">
        <v>2014</v>
      </c>
      <c r="H29" s="2442">
        <v>4</v>
      </c>
      <c r="I29" s="2442">
        <v>0.21</v>
      </c>
      <c r="J29" s="2442">
        <v>0.41</v>
      </c>
      <c r="K29" s="2442">
        <v>0.12</v>
      </c>
      <c r="L29" s="2443">
        <v>0.89</v>
      </c>
      <c r="N29" s="2424">
        <f t="shared" si="157"/>
        <v>2.0999999999999999E-3</v>
      </c>
      <c r="O29" s="2409">
        <f t="shared" si="152"/>
        <v>4.0999999999999995E-3</v>
      </c>
      <c r="P29" s="2409">
        <f t="shared" si="152"/>
        <v>1.1999999999999999E-3</v>
      </c>
      <c r="Q29" s="2409">
        <f t="shared" si="152"/>
        <v>8.8999999999999999E-3</v>
      </c>
      <c r="R29" s="2425"/>
      <c r="S29" s="2438"/>
      <c r="T29" s="2439"/>
      <c r="U29" s="2439"/>
      <c r="V29" s="2439"/>
      <c r="X29" s="2408">
        <f>ROUND(SUMPRODUCT(PRODUCT(1+N29:N$31)),4)</f>
        <v>1.0347</v>
      </c>
      <c r="Y29" s="2408">
        <f>ROUND(SUMPRODUCT(PRODUCT(1+O29:O$31)),4)</f>
        <v>1.0395000000000001</v>
      </c>
      <c r="Z29" s="2408">
        <f t="shared" si="0"/>
        <v>1.0395000000000001</v>
      </c>
      <c r="AA29" s="2408">
        <f>ROUND(SUMPRODUCT(PRODUCT(1+P29:P$31)),4)</f>
        <v>1.0338000000000001</v>
      </c>
      <c r="AB29" s="2408">
        <f>ROUND(SUMPRODUCT(PRODUCT(1+Q29:Q$31)),4)</f>
        <v>1.0316000000000001</v>
      </c>
      <c r="AD29" s="2409">
        <f>ROUND(AVERAGE(I29:I$32)/100,4)</f>
        <v>1.6E-2</v>
      </c>
      <c r="AE29" s="2409">
        <f>ROUND(AVERAGE(J29:J$32)/100,4)</f>
        <v>1.5599999999999999E-2</v>
      </c>
      <c r="AF29" s="2409">
        <f t="shared" si="1"/>
        <v>1.5599999999999999E-2</v>
      </c>
      <c r="AG29" s="2409">
        <f>ROUND(AVERAGE(K29:K$32)/100,4)</f>
        <v>1.66E-2</v>
      </c>
      <c r="AH29" s="2409">
        <f>ROUND(AVERAGE(L29:L$32)/100,4)</f>
        <v>1.12E-2</v>
      </c>
    </row>
    <row r="30" spans="1:34">
      <c r="A30" s="2421" t="s">
        <v>146</v>
      </c>
      <c r="B30" s="2422">
        <f t="shared" ref="B30:C32" si="160">B29/(1+N29)</f>
        <v>317.33359944117353</v>
      </c>
      <c r="C30" s="2422">
        <f t="shared" si="160"/>
        <v>266.90568668459315</v>
      </c>
      <c r="D30" s="2422">
        <f t="shared" si="155"/>
        <v>266.90568668459315</v>
      </c>
      <c r="E30" s="2422">
        <f t="shared" ref="E30:F32" si="161">E29/(1+P29)</f>
        <v>436.47622852576905</v>
      </c>
      <c r="F30" s="2422">
        <f t="shared" si="161"/>
        <v>234.90930716622066</v>
      </c>
      <c r="G30" s="3407"/>
      <c r="H30" s="2452">
        <v>3</v>
      </c>
      <c r="I30" s="2452">
        <v>0.83</v>
      </c>
      <c r="J30" s="2452">
        <v>1.47</v>
      </c>
      <c r="K30" s="2452">
        <v>0.65</v>
      </c>
      <c r="L30" s="2453">
        <v>0.72</v>
      </c>
      <c r="N30" s="2424">
        <f t="shared" si="157"/>
        <v>8.3000000000000001E-3</v>
      </c>
      <c r="O30" s="2409">
        <f t="shared" si="152"/>
        <v>1.47E-2</v>
      </c>
      <c r="P30" s="2409">
        <f t="shared" si="152"/>
        <v>6.5000000000000006E-3</v>
      </c>
      <c r="Q30" s="2409">
        <f t="shared" si="152"/>
        <v>7.1999999999999998E-3</v>
      </c>
      <c r="R30" s="2425"/>
      <c r="S30" s="2424"/>
      <c r="T30" s="2409"/>
      <c r="U30" s="2409"/>
      <c r="V30" s="2409"/>
      <c r="X30" s="2408">
        <f>ROUND(SUMPRODUCT(PRODUCT(1+N30:N$31)),4)</f>
        <v>1.0325</v>
      </c>
      <c r="Y30" s="2408">
        <f>ROUND(SUMPRODUCT(PRODUCT(1+O30:O$31)),4)</f>
        <v>1.0353000000000001</v>
      </c>
      <c r="Z30" s="2408">
        <f t="shared" ref="Z30:Z31" si="162">Y30</f>
        <v>1.0353000000000001</v>
      </c>
      <c r="AA30" s="2408">
        <f>ROUND(SUMPRODUCT(PRODUCT(1+P30:P$31)),4)</f>
        <v>1.0326</v>
      </c>
      <c r="AB30" s="2408">
        <f>ROUND(SUMPRODUCT(PRODUCT(1+Q30:Q$31)),4)</f>
        <v>1.0225</v>
      </c>
      <c r="AD30" s="2409">
        <f>ROUND(AVERAGE(I30:I$32)/100,4)</f>
        <v>2.07E-2</v>
      </c>
      <c r="AE30" s="2409">
        <f>ROUND(AVERAGE(J30:J$32)/100,4)</f>
        <v>1.95E-2</v>
      </c>
      <c r="AF30" s="2409">
        <f t="shared" si="1"/>
        <v>1.95E-2</v>
      </c>
      <c r="AG30" s="2409">
        <f>ROUND(AVERAGE(K30:K$32)/100,4)</f>
        <v>2.1700000000000001E-2</v>
      </c>
      <c r="AH30" s="2409">
        <f>ROUND(AVERAGE(L30:L$32)/100,4)</f>
        <v>1.2E-2</v>
      </c>
    </row>
    <row r="31" spans="1:34" ht="13.5" thickBot="1">
      <c r="A31" s="2421" t="s">
        <v>145</v>
      </c>
      <c r="B31" s="2422">
        <f t="shared" si="160"/>
        <v>314.72141172386546</v>
      </c>
      <c r="C31" s="2422">
        <f t="shared" si="160"/>
        <v>263.03901319069001</v>
      </c>
      <c r="D31" s="2422">
        <f t="shared" si="155"/>
        <v>263.03901319069001</v>
      </c>
      <c r="E31" s="2422">
        <f t="shared" si="161"/>
        <v>433.65745506782821</v>
      </c>
      <c r="F31" s="2422">
        <f t="shared" si="161"/>
        <v>233.23005080045735</v>
      </c>
      <c r="G31" s="3407"/>
      <c r="H31" s="2442">
        <v>2</v>
      </c>
      <c r="I31" s="2442">
        <v>2.4</v>
      </c>
      <c r="J31" s="2442">
        <v>2.0299999999999998</v>
      </c>
      <c r="K31" s="2442">
        <v>2.59</v>
      </c>
      <c r="L31" s="2443">
        <v>1.52</v>
      </c>
      <c r="N31" s="2424">
        <f t="shared" si="157"/>
        <v>2.4E-2</v>
      </c>
      <c r="O31" s="2409">
        <f t="shared" si="152"/>
        <v>2.0299999999999999E-2</v>
      </c>
      <c r="P31" s="2409">
        <f t="shared" si="152"/>
        <v>2.5899999999999999E-2</v>
      </c>
      <c r="Q31" s="2409">
        <f t="shared" si="152"/>
        <v>1.52E-2</v>
      </c>
      <c r="R31" s="2425"/>
      <c r="S31" s="2424"/>
      <c r="T31" s="2409"/>
      <c r="U31" s="2409"/>
      <c r="V31" s="2409"/>
      <c r="X31" s="2408">
        <f>1+N31</f>
        <v>1.024</v>
      </c>
      <c r="Y31" s="2408">
        <f>1+O31</f>
        <v>1.0203</v>
      </c>
      <c r="Z31" s="2408">
        <f t="shared" si="162"/>
        <v>1.0203</v>
      </c>
      <c r="AA31" s="2408">
        <f>1+P31</f>
        <v>1.0259</v>
      </c>
      <c r="AB31" s="2408">
        <f>1+Q31</f>
        <v>1.0152000000000001</v>
      </c>
      <c r="AD31" s="2409">
        <f>ROUND(AVERAGE(I31:I$32)/100,4)</f>
        <v>2.69E-2</v>
      </c>
      <c r="AE31" s="2409">
        <f>ROUND(AVERAGE(J31:J$32)/100,4)</f>
        <v>2.1899999999999999E-2</v>
      </c>
      <c r="AF31" s="2409">
        <f t="shared" ref="AF31" si="163">AE31</f>
        <v>2.1899999999999999E-2</v>
      </c>
      <c r="AG31" s="2409">
        <f>ROUND(AVERAGE(K31:K$32)/100,4)</f>
        <v>2.9399999999999999E-2</v>
      </c>
      <c r="AH31" s="2409">
        <f>ROUND(AVERAGE(L31:L$32)/100,4)</f>
        <v>1.44E-2</v>
      </c>
    </row>
    <row r="32" spans="1:34" s="2458" customFormat="1" ht="13.5" thickBot="1">
      <c r="A32" s="2454" t="s">
        <v>144</v>
      </c>
      <c r="B32" s="2455">
        <f t="shared" si="160"/>
        <v>307.34512863658733</v>
      </c>
      <c r="C32" s="2455">
        <f t="shared" si="160"/>
        <v>257.80556031626975</v>
      </c>
      <c r="D32" s="2455">
        <f t="shared" si="155"/>
        <v>257.80556031626975</v>
      </c>
      <c r="E32" s="2455">
        <f t="shared" si="161"/>
        <v>422.70928459677179</v>
      </c>
      <c r="F32" s="2455">
        <f t="shared" si="161"/>
        <v>229.73803270336617</v>
      </c>
      <c r="G32" s="3408"/>
      <c r="H32" s="2456">
        <v>1</v>
      </c>
      <c r="I32" s="2456">
        <v>2.97</v>
      </c>
      <c r="J32" s="2456">
        <v>2.34</v>
      </c>
      <c r="K32" s="2456">
        <v>3.28</v>
      </c>
      <c r="L32" s="2457">
        <v>1.36</v>
      </c>
      <c r="N32" s="2459">
        <f t="shared" si="157"/>
        <v>2.9700000000000001E-2</v>
      </c>
      <c r="O32" s="2460">
        <f t="shared" si="152"/>
        <v>2.3399999999999997E-2</v>
      </c>
      <c r="P32" s="2460">
        <f t="shared" si="152"/>
        <v>3.2799999999999996E-2</v>
      </c>
      <c r="Q32" s="2460">
        <f t="shared" si="152"/>
        <v>1.3600000000000001E-2</v>
      </c>
      <c r="R32" s="2461"/>
      <c r="S32" s="2462">
        <f>B32/B33-1</f>
        <v>2.7910129219355539E-2</v>
      </c>
      <c r="T32" s="2463">
        <f>C32/C33-1</f>
        <v>2.3037937762975247E-2</v>
      </c>
      <c r="U32" s="2463">
        <f>E32/E33-1</f>
        <v>3.3519033243940788E-2</v>
      </c>
      <c r="V32" s="2463">
        <f>F32/F33-1</f>
        <v>1.2061818076502862E-2</v>
      </c>
      <c r="W32" s="2464" t="s">
        <v>1129</v>
      </c>
      <c r="X32" s="2465">
        <v>1</v>
      </c>
      <c r="Y32" s="2465">
        <v>1</v>
      </c>
      <c r="Z32" s="2465">
        <v>1</v>
      </c>
      <c r="AA32" s="2465">
        <v>1</v>
      </c>
      <c r="AB32" s="2465">
        <v>1</v>
      </c>
      <c r="AD32" s="2460">
        <f>I32/100</f>
        <v>2.9700000000000001E-2</v>
      </c>
      <c r="AE32" s="2460">
        <f>J32/100</f>
        <v>2.3399999999999997E-2</v>
      </c>
      <c r="AF32" s="2460">
        <f>AE32</f>
        <v>2.3399999999999997E-2</v>
      </c>
      <c r="AG32" s="2460">
        <f>K32/100</f>
        <v>3.2799999999999996E-2</v>
      </c>
      <c r="AH32" s="2460">
        <f>L32/100</f>
        <v>1.3600000000000001E-2</v>
      </c>
    </row>
    <row r="33" spans="1:26" ht="13.5" thickBot="1">
      <c r="A33" s="2421" t="s">
        <v>1130</v>
      </c>
      <c r="B33" s="2436">
        <v>299</v>
      </c>
      <c r="C33" s="2436">
        <v>252</v>
      </c>
      <c r="D33" s="2436">
        <f t="shared" si="155"/>
        <v>252</v>
      </c>
      <c r="E33" s="2436">
        <v>409</v>
      </c>
      <c r="F33" s="2437">
        <v>227</v>
      </c>
      <c r="G33" s="3411">
        <v>2013</v>
      </c>
      <c r="H33" s="2466">
        <v>4</v>
      </c>
      <c r="I33" s="2466">
        <v>1.83</v>
      </c>
      <c r="J33" s="2466">
        <v>1.68</v>
      </c>
      <c r="K33" s="2466">
        <v>1.97</v>
      </c>
      <c r="L33" s="2467">
        <v>0.87</v>
      </c>
      <c r="N33" s="2444">
        <f t="shared" si="157"/>
        <v>1.83E-2</v>
      </c>
      <c r="O33" s="2445">
        <f t="shared" si="152"/>
        <v>1.6799999999999999E-2</v>
      </c>
      <c r="P33" s="2445">
        <f t="shared" si="152"/>
        <v>1.9699999999999999E-2</v>
      </c>
      <c r="Q33" s="2445">
        <f t="shared" si="152"/>
        <v>8.6999999999999994E-3</v>
      </c>
      <c r="R33" s="2425"/>
      <c r="S33" s="2438"/>
      <c r="T33" s="2439"/>
      <c r="U33" s="2439"/>
      <c r="V33" s="2439"/>
      <c r="X33" s="2439"/>
      <c r="Y33" s="2439"/>
      <c r="Z33" s="2439"/>
    </row>
    <row r="34" spans="1:26">
      <c r="A34" s="2421" t="s">
        <v>1131</v>
      </c>
      <c r="B34" s="2422">
        <f t="shared" ref="B34:C36" si="164">B33/(1+N33)</f>
        <v>293.62663262299913</v>
      </c>
      <c r="C34" s="2422">
        <f t="shared" si="164"/>
        <v>247.83634933123525</v>
      </c>
      <c r="D34" s="2422">
        <f t="shared" si="155"/>
        <v>247.83634933123525</v>
      </c>
      <c r="E34" s="2422">
        <f t="shared" ref="E34:F36" si="165">E33/(1+P33)</f>
        <v>401.09836226341076</v>
      </c>
      <c r="F34" s="2422">
        <f t="shared" si="165"/>
        <v>225.04213343908003</v>
      </c>
      <c r="G34" s="3412"/>
      <c r="H34" s="2447">
        <v>3</v>
      </c>
      <c r="I34" s="2447">
        <v>1.86</v>
      </c>
      <c r="J34" s="2447">
        <v>1.72</v>
      </c>
      <c r="K34" s="2447">
        <v>1.98</v>
      </c>
      <c r="L34" s="2448">
        <v>0.88</v>
      </c>
      <c r="N34" s="2424">
        <f t="shared" si="157"/>
        <v>1.8600000000000002E-2</v>
      </c>
      <c r="O34" s="2449">
        <f t="shared" si="152"/>
        <v>1.72E-2</v>
      </c>
      <c r="P34" s="2449">
        <f t="shared" si="152"/>
        <v>1.9799999999999998E-2</v>
      </c>
      <c r="Q34" s="2449">
        <f t="shared" si="152"/>
        <v>8.8000000000000005E-3</v>
      </c>
      <c r="R34" s="2425"/>
      <c r="S34" s="2424"/>
      <c r="T34" s="2409"/>
      <c r="U34" s="2409"/>
      <c r="V34" s="2409"/>
    </row>
    <row r="35" spans="1:26">
      <c r="A35" s="2421" t="s">
        <v>1132</v>
      </c>
      <c r="B35" s="2422">
        <f t="shared" si="164"/>
        <v>288.2649053828776</v>
      </c>
      <c r="C35" s="2422">
        <f t="shared" si="164"/>
        <v>243.64564425013293</v>
      </c>
      <c r="D35" s="2422">
        <f t="shared" si="155"/>
        <v>243.64564425013293</v>
      </c>
      <c r="E35" s="2422">
        <f t="shared" si="165"/>
        <v>393.31080825986544</v>
      </c>
      <c r="F35" s="2422">
        <f t="shared" si="165"/>
        <v>223.07903790551154</v>
      </c>
      <c r="G35" s="3412"/>
      <c r="H35" s="2434">
        <v>2</v>
      </c>
      <c r="I35" s="2434">
        <v>2.04</v>
      </c>
      <c r="J35" s="2434">
        <v>2.33</v>
      </c>
      <c r="K35" s="2434">
        <v>2.0699999999999998</v>
      </c>
      <c r="L35" s="2435">
        <v>0.69</v>
      </c>
      <c r="N35" s="2424">
        <f t="shared" si="157"/>
        <v>2.0400000000000001E-2</v>
      </c>
      <c r="O35" s="2449">
        <f t="shared" si="152"/>
        <v>2.3300000000000001E-2</v>
      </c>
      <c r="P35" s="2449">
        <f t="shared" si="152"/>
        <v>2.07E-2</v>
      </c>
      <c r="Q35" s="2449">
        <f t="shared" si="152"/>
        <v>6.8999999999999999E-3</v>
      </c>
      <c r="R35" s="2425"/>
      <c r="S35" s="2424"/>
      <c r="T35" s="2409"/>
      <c r="U35" s="2409"/>
      <c r="V35" s="2409"/>
      <c r="X35" s="2468"/>
      <c r="Y35" s="2469"/>
    </row>
    <row r="36" spans="1:26">
      <c r="A36" s="2421" t="s">
        <v>1133</v>
      </c>
      <c r="B36" s="2422">
        <f t="shared" si="164"/>
        <v>282.50186729015837</v>
      </c>
      <c r="C36" s="2422">
        <f t="shared" si="164"/>
        <v>238.09796174155468</v>
      </c>
      <c r="D36" s="2422">
        <f t="shared" si="155"/>
        <v>238.09796174155468</v>
      </c>
      <c r="E36" s="2422">
        <f t="shared" si="165"/>
        <v>385.33438646014054</v>
      </c>
      <c r="F36" s="2422">
        <f t="shared" si="165"/>
        <v>221.55034055567739</v>
      </c>
      <c r="G36" s="3413"/>
      <c r="H36" s="2423">
        <v>1</v>
      </c>
      <c r="I36" s="2423">
        <v>1.67</v>
      </c>
      <c r="J36" s="2423">
        <v>1.31</v>
      </c>
      <c r="K36" s="2423">
        <v>1.85</v>
      </c>
      <c r="L36" s="2429">
        <v>0.96</v>
      </c>
      <c r="N36" s="2440">
        <f t="shared" si="157"/>
        <v>1.67E-2</v>
      </c>
      <c r="O36" s="2441">
        <f t="shared" si="157"/>
        <v>1.3100000000000001E-2</v>
      </c>
      <c r="P36" s="2441">
        <f t="shared" si="157"/>
        <v>1.8500000000000003E-2</v>
      </c>
      <c r="Q36" s="2441">
        <f t="shared" si="157"/>
        <v>9.5999999999999992E-3</v>
      </c>
      <c r="R36" s="2425"/>
      <c r="S36" s="2440">
        <f>B36/B37-1</f>
        <v>1.6193767230785472E-2</v>
      </c>
      <c r="T36" s="2441">
        <f>C36/C37-1</f>
        <v>1.7512657015190891E-2</v>
      </c>
      <c r="U36" s="2441">
        <f>E36/E37-1</f>
        <v>1.6713420739157048E-2</v>
      </c>
      <c r="V36" s="2441">
        <f>F36/F37-1</f>
        <v>7.0470025258062563E-3</v>
      </c>
      <c r="X36" s="2470"/>
      <c r="Y36" s="2409"/>
      <c r="Z36" s="2409"/>
    </row>
    <row r="37" spans="1:26" ht="13.5" thickBot="1">
      <c r="A37" s="2421" t="s">
        <v>1134</v>
      </c>
      <c r="B37" s="2471">
        <v>278</v>
      </c>
      <c r="C37" s="2471">
        <v>234</v>
      </c>
      <c r="D37" s="2471">
        <f t="shared" si="155"/>
        <v>234</v>
      </c>
      <c r="E37" s="2471">
        <v>379</v>
      </c>
      <c r="F37" s="2472">
        <v>220</v>
      </c>
      <c r="G37" s="3406">
        <v>2012</v>
      </c>
      <c r="H37" s="2442">
        <v>4</v>
      </c>
      <c r="I37" s="2442">
        <v>0.91</v>
      </c>
      <c r="J37" s="2442">
        <v>0.68</v>
      </c>
      <c r="K37" s="2442">
        <v>0.98</v>
      </c>
      <c r="L37" s="2443">
        <v>0.9</v>
      </c>
      <c r="N37" s="2424">
        <f t="shared" si="157"/>
        <v>9.1000000000000004E-3</v>
      </c>
      <c r="O37" s="2409">
        <f t="shared" si="157"/>
        <v>6.8000000000000005E-3</v>
      </c>
      <c r="P37" s="2409">
        <f t="shared" si="157"/>
        <v>9.7999999999999997E-3</v>
      </c>
      <c r="Q37" s="2409">
        <f t="shared" si="157"/>
        <v>9.0000000000000011E-3</v>
      </c>
      <c r="R37" s="2425"/>
      <c r="S37" s="2438"/>
      <c r="T37" s="2439"/>
      <c r="U37" s="2439"/>
      <c r="V37" s="2439"/>
      <c r="X37" s="2439"/>
      <c r="Y37" s="2439"/>
      <c r="Z37" s="2439"/>
    </row>
    <row r="38" spans="1:26">
      <c r="A38" s="2421" t="s">
        <v>1135</v>
      </c>
      <c r="B38" s="2422">
        <f>B37/(1+N37)</f>
        <v>275.49301357645425</v>
      </c>
      <c r="C38" s="2422">
        <f>C37/(1+O37)</f>
        <v>232.41954707985698</v>
      </c>
      <c r="D38" s="2422">
        <f t="shared" si="155"/>
        <v>232.41954707985698</v>
      </c>
      <c r="E38" s="2422">
        <f t="shared" ref="E38:F40" si="166">E37/(1+P37)</f>
        <v>375.32184591008121</v>
      </c>
      <c r="F38" s="2422">
        <f t="shared" si="166"/>
        <v>218.03766105054513</v>
      </c>
      <c r="G38" s="3407"/>
      <c r="H38" s="2447">
        <v>3</v>
      </c>
      <c r="I38" s="2447">
        <v>0.09</v>
      </c>
      <c r="J38" s="2447">
        <v>0.28999999999999998</v>
      </c>
      <c r="K38" s="2447">
        <v>-0.01</v>
      </c>
      <c r="L38" s="2448">
        <v>0.57999999999999996</v>
      </c>
      <c r="N38" s="2424">
        <f t="shared" si="157"/>
        <v>8.9999999999999998E-4</v>
      </c>
      <c r="O38" s="2409">
        <f t="shared" si="157"/>
        <v>2.8999999999999998E-3</v>
      </c>
      <c r="P38" s="2409">
        <f t="shared" si="157"/>
        <v>-1E-4</v>
      </c>
      <c r="Q38" s="2409">
        <f t="shared" si="157"/>
        <v>5.7999999999999996E-3</v>
      </c>
      <c r="R38" s="2425"/>
      <c r="S38" s="2424"/>
      <c r="T38" s="2409"/>
      <c r="U38" s="2409"/>
      <c r="V38" s="2409"/>
    </row>
    <row r="39" spans="1:26">
      <c r="A39" s="2421" t="s">
        <v>1136</v>
      </c>
      <c r="B39" s="2422">
        <f>B38/(1+N38)</f>
        <v>275.24529281292263</v>
      </c>
      <c r="C39" s="2422">
        <f>C38/(1+O38)</f>
        <v>231.74747938962707</v>
      </c>
      <c r="D39" s="2422">
        <f t="shared" si="155"/>
        <v>231.74747938962707</v>
      </c>
      <c r="E39" s="2422">
        <f t="shared" si="166"/>
        <v>375.35938184826603</v>
      </c>
      <c r="F39" s="2422">
        <f t="shared" si="166"/>
        <v>216.78033510692495</v>
      </c>
      <c r="G39" s="3407"/>
      <c r="H39" s="2434">
        <v>2</v>
      </c>
      <c r="I39" s="2434">
        <v>0.02</v>
      </c>
      <c r="J39" s="2434">
        <v>0.12</v>
      </c>
      <c r="K39" s="2434">
        <v>-0.08</v>
      </c>
      <c r="L39" s="2435">
        <v>1.24</v>
      </c>
      <c r="N39" s="2424">
        <f t="shared" si="157"/>
        <v>2.0000000000000001E-4</v>
      </c>
      <c r="O39" s="2409">
        <f t="shared" si="157"/>
        <v>1.1999999999999999E-3</v>
      </c>
      <c r="P39" s="2409">
        <f t="shared" si="157"/>
        <v>-8.0000000000000004E-4</v>
      </c>
      <c r="Q39" s="2409">
        <f t="shared" si="157"/>
        <v>1.24E-2</v>
      </c>
      <c r="R39" s="2425"/>
      <c r="S39" s="2424"/>
      <c r="T39" s="2409"/>
      <c r="U39" s="2409"/>
      <c r="V39" s="2409"/>
    </row>
    <row r="40" spans="1:26" ht="13.5" thickBot="1">
      <c r="A40" s="2421" t="s">
        <v>1137</v>
      </c>
      <c r="B40" s="2422">
        <f>B39/(1+N39)</f>
        <v>275.19025476197027</v>
      </c>
      <c r="C40" s="2473">
        <v>232</v>
      </c>
      <c r="D40" s="2473">
        <f t="shared" si="155"/>
        <v>232</v>
      </c>
      <c r="E40" s="2422">
        <f t="shared" si="166"/>
        <v>375.65990977608692</v>
      </c>
      <c r="F40" s="2422">
        <f t="shared" si="166"/>
        <v>214.12518283971252</v>
      </c>
      <c r="G40" s="3408"/>
      <c r="H40" s="2423">
        <v>1</v>
      </c>
      <c r="I40" s="2423">
        <v>0.02</v>
      </c>
      <c r="J40" s="2423">
        <v>0.13</v>
      </c>
      <c r="K40" s="2423">
        <v>-0.04</v>
      </c>
      <c r="L40" s="2429">
        <v>0.46</v>
      </c>
      <c r="N40" s="2424">
        <f t="shared" si="157"/>
        <v>2.0000000000000001E-4</v>
      </c>
      <c r="O40" s="2409">
        <f t="shared" si="157"/>
        <v>1.2999999999999999E-3</v>
      </c>
      <c r="P40" s="2409">
        <f t="shared" si="157"/>
        <v>-4.0000000000000002E-4</v>
      </c>
      <c r="Q40" s="2409">
        <f t="shared" si="157"/>
        <v>4.5999999999999999E-3</v>
      </c>
      <c r="R40" s="2425"/>
      <c r="S40" s="2440">
        <f>B40/B41-1</f>
        <v>6.9183549807361189E-4</v>
      </c>
      <c r="T40" s="2441">
        <f>C40/C41-1</f>
        <v>0</v>
      </c>
      <c r="U40" s="2441">
        <f>E40/E41-1</f>
        <v>-9.0449527636460303E-4</v>
      </c>
      <c r="V40" s="2441">
        <f>F40/F41-1</f>
        <v>5.2825485432512753E-3</v>
      </c>
      <c r="X40" s="2409"/>
      <c r="Y40" s="2409"/>
      <c r="Z40" s="2409"/>
    </row>
    <row r="41" spans="1:26" ht="13.5" thickBot="1">
      <c r="A41" s="2421" t="s">
        <v>1138</v>
      </c>
      <c r="B41" s="2436">
        <v>275</v>
      </c>
      <c r="C41" s="2436">
        <v>232</v>
      </c>
      <c r="D41" s="2436">
        <f t="shared" si="155"/>
        <v>232</v>
      </c>
      <c r="E41" s="2436">
        <v>376</v>
      </c>
      <c r="F41" s="2437">
        <v>213</v>
      </c>
      <c r="G41" s="3406">
        <v>2011</v>
      </c>
      <c r="H41" s="2442">
        <v>4</v>
      </c>
      <c r="I41" s="2442">
        <v>-0.2</v>
      </c>
      <c r="J41" s="2442">
        <v>0.04</v>
      </c>
      <c r="K41" s="2442">
        <v>-0.34</v>
      </c>
      <c r="L41" s="2443">
        <v>0.46</v>
      </c>
      <c r="N41" s="2444">
        <f t="shared" si="157"/>
        <v>-2E-3</v>
      </c>
      <c r="O41" s="2445">
        <f t="shared" si="157"/>
        <v>4.0000000000000002E-4</v>
      </c>
      <c r="P41" s="2445">
        <f t="shared" si="157"/>
        <v>-3.4000000000000002E-3</v>
      </c>
      <c r="Q41" s="2445">
        <f t="shared" si="157"/>
        <v>4.5999999999999999E-3</v>
      </c>
      <c r="R41" s="2425"/>
      <c r="S41" s="2438"/>
      <c r="T41" s="2439"/>
      <c r="U41" s="2439"/>
      <c r="V41" s="2439"/>
      <c r="X41" s="2439"/>
      <c r="Y41" s="2439"/>
      <c r="Z41" s="2439"/>
    </row>
    <row r="42" spans="1:26">
      <c r="A42" s="2421" t="s">
        <v>1139</v>
      </c>
      <c r="B42" s="2422">
        <f t="shared" ref="B42:C44" si="167">B41/(1+N41)</f>
        <v>275.55110220440883</v>
      </c>
      <c r="C42" s="2422">
        <f t="shared" si="167"/>
        <v>231.90723710515795</v>
      </c>
      <c r="D42" s="2422">
        <f t="shared" si="155"/>
        <v>231.90723710515795</v>
      </c>
      <c r="E42" s="2422">
        <f t="shared" ref="E42:F44" si="168">E41/(1+P41)</f>
        <v>377.28276138872161</v>
      </c>
      <c r="F42" s="2422">
        <f t="shared" si="168"/>
        <v>212.02468644236512</v>
      </c>
      <c r="G42" s="3407">
        <v>2011</v>
      </c>
      <c r="H42" s="2447">
        <v>3</v>
      </c>
      <c r="I42" s="2447">
        <v>0.13</v>
      </c>
      <c r="J42" s="2447">
        <v>0.75</v>
      </c>
      <c r="K42" s="2447">
        <v>-0.08</v>
      </c>
      <c r="L42" s="2448">
        <v>0.53</v>
      </c>
      <c r="N42" s="2424">
        <f t="shared" si="157"/>
        <v>1.2999999999999999E-3</v>
      </c>
      <c r="O42" s="2449">
        <f t="shared" si="157"/>
        <v>7.4999999999999997E-3</v>
      </c>
      <c r="P42" s="2449">
        <f t="shared" si="157"/>
        <v>-8.0000000000000004E-4</v>
      </c>
      <c r="Q42" s="2449">
        <f t="shared" si="157"/>
        <v>5.3E-3</v>
      </c>
      <c r="R42" s="2425"/>
      <c r="S42" s="2424"/>
      <c r="T42" s="2409"/>
      <c r="U42" s="2409"/>
      <c r="V42" s="2409"/>
    </row>
    <row r="43" spans="1:26">
      <c r="A43" s="2421" t="s">
        <v>1140</v>
      </c>
      <c r="B43" s="2422">
        <f t="shared" si="167"/>
        <v>275.19335084830601</v>
      </c>
      <c r="C43" s="2422">
        <f t="shared" si="167"/>
        <v>230.18088050139744</v>
      </c>
      <c r="D43" s="2422">
        <f t="shared" si="155"/>
        <v>230.18088050139744</v>
      </c>
      <c r="E43" s="2422">
        <f t="shared" si="168"/>
        <v>377.58482925212331</v>
      </c>
      <c r="F43" s="2422">
        <f t="shared" si="168"/>
        <v>210.90687997847917</v>
      </c>
      <c r="G43" s="3407">
        <v>2011</v>
      </c>
      <c r="H43" s="2434">
        <v>2</v>
      </c>
      <c r="I43" s="2434">
        <v>-0.4</v>
      </c>
      <c r="J43" s="2434">
        <v>0.17</v>
      </c>
      <c r="K43" s="2434">
        <v>-0.57999999999999996</v>
      </c>
      <c r="L43" s="2435">
        <v>-0.2</v>
      </c>
      <c r="N43" s="2424">
        <f t="shared" si="157"/>
        <v>-4.0000000000000001E-3</v>
      </c>
      <c r="O43" s="2449">
        <f t="shared" si="157"/>
        <v>1.7000000000000001E-3</v>
      </c>
      <c r="P43" s="2449">
        <f t="shared" si="157"/>
        <v>-5.7999999999999996E-3</v>
      </c>
      <c r="Q43" s="2449">
        <f t="shared" si="157"/>
        <v>-2E-3</v>
      </c>
      <c r="R43" s="2425"/>
      <c r="S43" s="2424"/>
      <c r="T43" s="2409"/>
      <c r="U43" s="2409"/>
      <c r="V43" s="2409"/>
    </row>
    <row r="44" spans="1:26" ht="13.5" thickBot="1">
      <c r="A44" s="2421" t="s">
        <v>1141</v>
      </c>
      <c r="B44" s="2422">
        <f t="shared" si="167"/>
        <v>276.29854502841971</v>
      </c>
      <c r="C44" s="2422">
        <f t="shared" si="167"/>
        <v>229.79023709833027</v>
      </c>
      <c r="D44" s="2422">
        <f t="shared" si="155"/>
        <v>229.79023709833027</v>
      </c>
      <c r="E44" s="2422">
        <f t="shared" si="168"/>
        <v>379.78759731655936</v>
      </c>
      <c r="F44" s="2422">
        <f t="shared" si="168"/>
        <v>211.32953905659235</v>
      </c>
      <c r="G44" s="3408">
        <v>2011</v>
      </c>
      <c r="H44" s="2423">
        <v>1</v>
      </c>
      <c r="I44" s="2423">
        <v>2.65</v>
      </c>
      <c r="J44" s="2423">
        <v>3.76</v>
      </c>
      <c r="K44" s="2423">
        <v>1.89</v>
      </c>
      <c r="L44" s="2429">
        <v>7.95</v>
      </c>
      <c r="N44" s="2440">
        <f t="shared" si="157"/>
        <v>2.6499999999999999E-2</v>
      </c>
      <c r="O44" s="2441">
        <f t="shared" si="157"/>
        <v>3.7599999999999995E-2</v>
      </c>
      <c r="P44" s="2441">
        <f t="shared" si="157"/>
        <v>1.89E-2</v>
      </c>
      <c r="Q44" s="2441">
        <f t="shared" si="157"/>
        <v>7.9500000000000001E-2</v>
      </c>
      <c r="R44" s="2425"/>
      <c r="S44" s="2440">
        <f>B44/B45-1</f>
        <v>2.713213765211786E-2</v>
      </c>
      <c r="T44" s="2441">
        <f>C44/C45-1</f>
        <v>3.9774828499231862E-2</v>
      </c>
      <c r="U44" s="2441">
        <f>E44/E45-1</f>
        <v>1.8197311840641772E-2</v>
      </c>
      <c r="V44" s="2441">
        <f>F44/F45-1</f>
        <v>7.8211933962205826E-2</v>
      </c>
      <c r="X44" s="2409"/>
      <c r="Y44" s="2409"/>
      <c r="Z44" s="2409"/>
    </row>
    <row r="45" spans="1:26" ht="13.5" thickBot="1">
      <c r="A45" s="2421" t="s">
        <v>1142</v>
      </c>
      <c r="B45" s="2436">
        <v>269</v>
      </c>
      <c r="C45" s="2436">
        <v>221</v>
      </c>
      <c r="D45" s="2436">
        <f t="shared" si="155"/>
        <v>221</v>
      </c>
      <c r="E45" s="2436">
        <v>373</v>
      </c>
      <c r="F45" s="2437">
        <v>196</v>
      </c>
      <c r="G45" s="3406">
        <v>2010</v>
      </c>
      <c r="H45" s="2442">
        <v>4</v>
      </c>
      <c r="I45" s="2442">
        <v>5.72</v>
      </c>
      <c r="J45" s="2442">
        <v>6.57</v>
      </c>
      <c r="K45" s="2442">
        <v>5.72</v>
      </c>
      <c r="L45" s="2443">
        <v>2.72</v>
      </c>
      <c r="N45" s="2424">
        <f t="shared" si="157"/>
        <v>5.7200000000000001E-2</v>
      </c>
      <c r="O45" s="2409">
        <f t="shared" si="157"/>
        <v>6.5700000000000008E-2</v>
      </c>
      <c r="P45" s="2409">
        <f t="shared" si="157"/>
        <v>5.7200000000000001E-2</v>
      </c>
      <c r="Q45" s="2409">
        <f t="shared" si="157"/>
        <v>2.7200000000000002E-2</v>
      </c>
      <c r="R45" s="2425"/>
      <c r="S45" s="2438"/>
      <c r="T45" s="2439"/>
      <c r="U45" s="2439"/>
      <c r="V45" s="2439"/>
      <c r="X45" s="2439"/>
      <c r="Y45" s="2439"/>
      <c r="Z45" s="2439"/>
    </row>
    <row r="46" spans="1:26">
      <c r="A46" s="2421" t="s">
        <v>1143</v>
      </c>
      <c r="B46" s="2422">
        <f t="shared" ref="B46:C48" si="169">B45/(1+N45)</f>
        <v>254.44570563753314</v>
      </c>
      <c r="C46" s="2422">
        <f t="shared" si="169"/>
        <v>207.37543398705074</v>
      </c>
      <c r="D46" s="2422">
        <f t="shared" si="155"/>
        <v>207.37543398705074</v>
      </c>
      <c r="E46" s="2422">
        <f t="shared" ref="E46:F48" si="170">E45/(1+P45)</f>
        <v>352.81876655315932</v>
      </c>
      <c r="F46" s="2422">
        <f t="shared" si="170"/>
        <v>190.809968847352</v>
      </c>
      <c r="G46" s="3407">
        <v>2010</v>
      </c>
      <c r="H46" s="2447">
        <v>3</v>
      </c>
      <c r="I46" s="2447">
        <v>4.7300000000000004</v>
      </c>
      <c r="J46" s="2447">
        <v>3.9</v>
      </c>
      <c r="K46" s="2447">
        <v>5.03</v>
      </c>
      <c r="L46" s="2448">
        <v>4.21</v>
      </c>
      <c r="N46" s="2424">
        <f t="shared" si="157"/>
        <v>4.7300000000000002E-2</v>
      </c>
      <c r="O46" s="2409">
        <f t="shared" si="157"/>
        <v>3.9E-2</v>
      </c>
      <c r="P46" s="2409">
        <f t="shared" si="157"/>
        <v>5.0300000000000004E-2</v>
      </c>
      <c r="Q46" s="2409">
        <f t="shared" si="157"/>
        <v>4.2099999999999999E-2</v>
      </c>
      <c r="R46" s="2425"/>
      <c r="S46" s="2424"/>
      <c r="T46" s="2409"/>
      <c r="U46" s="2409"/>
      <c r="V46" s="2409"/>
    </row>
    <row r="47" spans="1:26">
      <c r="A47" s="2421" t="s">
        <v>1144</v>
      </c>
      <c r="B47" s="2422">
        <f t="shared" si="169"/>
        <v>242.95398227588385</v>
      </c>
      <c r="C47" s="2422">
        <f t="shared" si="169"/>
        <v>199.59137053614126</v>
      </c>
      <c r="D47" s="2422">
        <f t="shared" si="155"/>
        <v>199.59137053614126</v>
      </c>
      <c r="E47" s="2422">
        <f t="shared" si="170"/>
        <v>335.92189522342125</v>
      </c>
      <c r="F47" s="2422">
        <f t="shared" si="170"/>
        <v>183.10139991109489</v>
      </c>
      <c r="G47" s="3407">
        <v>2010</v>
      </c>
      <c r="H47" s="2434">
        <v>2</v>
      </c>
      <c r="I47" s="2434">
        <v>4.6900000000000004</v>
      </c>
      <c r="J47" s="2434">
        <v>3.55</v>
      </c>
      <c r="K47" s="2434">
        <v>5.07</v>
      </c>
      <c r="L47" s="2435">
        <v>4.2300000000000004</v>
      </c>
      <c r="N47" s="2424">
        <f t="shared" si="157"/>
        <v>4.6900000000000004E-2</v>
      </c>
      <c r="O47" s="2409">
        <f t="shared" si="157"/>
        <v>3.5499999999999997E-2</v>
      </c>
      <c r="P47" s="2409">
        <f t="shared" si="157"/>
        <v>5.0700000000000002E-2</v>
      </c>
      <c r="Q47" s="2409">
        <f t="shared" si="157"/>
        <v>4.2300000000000004E-2</v>
      </c>
      <c r="R47" s="2425"/>
      <c r="S47" s="2424"/>
      <c r="T47" s="2409"/>
      <c r="U47" s="2409"/>
      <c r="V47" s="2409"/>
    </row>
    <row r="48" spans="1:26" ht="13.5" thickBot="1">
      <c r="A48" s="2421" t="s">
        <v>1145</v>
      </c>
      <c r="B48" s="2422">
        <f t="shared" si="169"/>
        <v>232.06990378821649</v>
      </c>
      <c r="C48" s="2422">
        <f t="shared" si="169"/>
        <v>192.74878854286936</v>
      </c>
      <c r="D48" s="2422">
        <f t="shared" si="155"/>
        <v>192.74878854286936</v>
      </c>
      <c r="E48" s="2422">
        <f t="shared" si="170"/>
        <v>319.71247284992984</v>
      </c>
      <c r="F48" s="2422">
        <f t="shared" si="170"/>
        <v>175.67053622862409</v>
      </c>
      <c r="G48" s="3408">
        <v>2010</v>
      </c>
      <c r="H48" s="2423">
        <v>1</v>
      </c>
      <c r="I48" s="2423">
        <v>5.4</v>
      </c>
      <c r="J48" s="2423">
        <v>3.2</v>
      </c>
      <c r="K48" s="2423">
        <v>6.16</v>
      </c>
      <c r="L48" s="2429">
        <v>4.51</v>
      </c>
      <c r="N48" s="2424">
        <f t="shared" si="157"/>
        <v>5.4000000000000006E-2</v>
      </c>
      <c r="O48" s="2409">
        <f t="shared" si="157"/>
        <v>3.2000000000000001E-2</v>
      </c>
      <c r="P48" s="2409">
        <f t="shared" si="157"/>
        <v>6.1600000000000002E-2</v>
      </c>
      <c r="Q48" s="2409">
        <f t="shared" si="157"/>
        <v>4.5100000000000001E-2</v>
      </c>
      <c r="R48" s="2425"/>
      <c r="S48" s="2440">
        <f>B48/B49-1</f>
        <v>5.4863199037347599E-2</v>
      </c>
      <c r="T48" s="2441">
        <f>C48/C49-1</f>
        <v>3.0742184721226584E-2</v>
      </c>
      <c r="U48" s="2441">
        <f>E48/E49-1</f>
        <v>6.2167683886810154E-2</v>
      </c>
      <c r="V48" s="2441">
        <f>F48/F49-1</f>
        <v>4.5657953741810031E-2</v>
      </c>
      <c r="X48" s="2409"/>
      <c r="Y48" s="2409"/>
      <c r="Z48" s="2409"/>
    </row>
    <row r="49" spans="1:26" ht="13.5" thickBot="1">
      <c r="A49" s="2421" t="s">
        <v>1146</v>
      </c>
      <c r="B49" s="2436">
        <v>220</v>
      </c>
      <c r="C49" s="2436">
        <v>187</v>
      </c>
      <c r="D49" s="2436">
        <f t="shared" si="155"/>
        <v>187</v>
      </c>
      <c r="E49" s="2436">
        <v>301</v>
      </c>
      <c r="F49" s="2437">
        <v>168</v>
      </c>
      <c r="G49" s="3406">
        <v>2009</v>
      </c>
      <c r="H49" s="2442">
        <v>4</v>
      </c>
      <c r="I49" s="2442">
        <v>2.2999999999999998</v>
      </c>
      <c r="J49" s="2442">
        <v>1.04</v>
      </c>
      <c r="K49" s="2442">
        <v>2.84</v>
      </c>
      <c r="L49" s="2443">
        <v>0.67</v>
      </c>
      <c r="N49" s="2444">
        <f t="shared" si="157"/>
        <v>2.3E-2</v>
      </c>
      <c r="O49" s="2445">
        <f t="shared" si="157"/>
        <v>1.04E-2</v>
      </c>
      <c r="P49" s="2445">
        <f t="shared" si="157"/>
        <v>2.8399999999999998E-2</v>
      </c>
      <c r="Q49" s="2445">
        <f t="shared" si="157"/>
        <v>6.7000000000000002E-3</v>
      </c>
      <c r="R49" s="2425"/>
      <c r="S49" s="2438"/>
      <c r="T49" s="2439"/>
      <c r="U49" s="2439"/>
      <c r="V49" s="2439"/>
      <c r="X49" s="2439"/>
      <c r="Y49" s="2439"/>
      <c r="Z49" s="2439"/>
    </row>
    <row r="50" spans="1:26">
      <c r="A50" s="2421" t="s">
        <v>1147</v>
      </c>
      <c r="B50" s="2422">
        <f t="shared" ref="B50:C52" si="171">B49/(1+N49)</f>
        <v>215.05376344086022</v>
      </c>
      <c r="C50" s="2422">
        <f t="shared" si="171"/>
        <v>185.0752177355503</v>
      </c>
      <c r="D50" s="2422">
        <f t="shared" si="155"/>
        <v>185.0752177355503</v>
      </c>
      <c r="E50" s="2422">
        <f t="shared" ref="E50:F52" si="172">E49/(1+P49)</f>
        <v>292.68767016725008</v>
      </c>
      <c r="F50" s="2422">
        <f t="shared" si="172"/>
        <v>166.88189132810174</v>
      </c>
      <c r="G50" s="3407">
        <v>2009</v>
      </c>
      <c r="H50" s="2447">
        <v>3</v>
      </c>
      <c r="I50" s="2447">
        <v>2.1</v>
      </c>
      <c r="J50" s="2447">
        <v>1.86</v>
      </c>
      <c r="K50" s="2447">
        <v>2.29</v>
      </c>
      <c r="L50" s="2448">
        <v>0.85</v>
      </c>
      <c r="N50" s="2424">
        <f t="shared" si="157"/>
        <v>2.1000000000000001E-2</v>
      </c>
      <c r="O50" s="2449">
        <f t="shared" si="157"/>
        <v>1.8600000000000002E-2</v>
      </c>
      <c r="P50" s="2449">
        <f t="shared" si="157"/>
        <v>2.29E-2</v>
      </c>
      <c r="Q50" s="2449">
        <f t="shared" si="157"/>
        <v>8.5000000000000006E-3</v>
      </c>
      <c r="R50" s="2425"/>
      <c r="S50" s="2424"/>
      <c r="T50" s="2409"/>
      <c r="U50" s="2409"/>
      <c r="V50" s="2409"/>
    </row>
    <row r="51" spans="1:26">
      <c r="A51" s="2421" t="s">
        <v>1148</v>
      </c>
      <c r="B51" s="2422">
        <f t="shared" si="171"/>
        <v>210.630522469011</v>
      </c>
      <c r="C51" s="2422">
        <f t="shared" si="171"/>
        <v>181.69567812247232</v>
      </c>
      <c r="D51" s="2422">
        <f t="shared" si="155"/>
        <v>181.69567812247232</v>
      </c>
      <c r="E51" s="2422">
        <f t="shared" si="172"/>
        <v>286.13517466736738</v>
      </c>
      <c r="F51" s="2422">
        <f t="shared" si="172"/>
        <v>165.47535084591149</v>
      </c>
      <c r="G51" s="3407">
        <v>2009</v>
      </c>
      <c r="H51" s="2434">
        <v>2</v>
      </c>
      <c r="I51" s="2434">
        <v>0.86</v>
      </c>
      <c r="J51" s="2434">
        <v>-1.1299999999999999</v>
      </c>
      <c r="K51" s="2434">
        <v>1.79</v>
      </c>
      <c r="L51" s="2435">
        <v>-2.0699999999999998</v>
      </c>
      <c r="N51" s="2424">
        <f t="shared" si="157"/>
        <v>8.6E-3</v>
      </c>
      <c r="O51" s="2449">
        <f t="shared" si="157"/>
        <v>-1.1299999999999999E-2</v>
      </c>
      <c r="P51" s="2449">
        <f t="shared" si="157"/>
        <v>1.7899999999999999E-2</v>
      </c>
      <c r="Q51" s="2449">
        <f t="shared" si="157"/>
        <v>-2.07E-2</v>
      </c>
      <c r="R51" s="2425"/>
      <c r="S51" s="2424"/>
      <c r="T51" s="2409"/>
      <c r="U51" s="2409"/>
      <c r="V51" s="2409"/>
    </row>
    <row r="52" spans="1:26">
      <c r="A52" s="2421" t="s">
        <v>1149</v>
      </c>
      <c r="B52" s="2422">
        <f t="shared" si="171"/>
        <v>208.83454537875372</v>
      </c>
      <c r="C52" s="2422">
        <f t="shared" si="171"/>
        <v>183.77230517090351</v>
      </c>
      <c r="D52" s="2422">
        <f t="shared" si="155"/>
        <v>183.77230517090351</v>
      </c>
      <c r="E52" s="2422">
        <f t="shared" si="172"/>
        <v>281.10342338870947</v>
      </c>
      <c r="F52" s="2422">
        <f t="shared" si="172"/>
        <v>168.97309388942256</v>
      </c>
      <c r="G52" s="3408">
        <v>2009</v>
      </c>
      <c r="H52" s="2423">
        <v>1</v>
      </c>
      <c r="I52" s="2423">
        <v>-2.64</v>
      </c>
      <c r="J52" s="2423">
        <v>-2.5299999999999998</v>
      </c>
      <c r="K52" s="2423">
        <v>-3.02</v>
      </c>
      <c r="L52" s="2429">
        <v>1.52</v>
      </c>
      <c r="N52" s="2440">
        <f t="shared" si="157"/>
        <v>-2.64E-2</v>
      </c>
      <c r="O52" s="2441">
        <f t="shared" si="157"/>
        <v>-2.53E-2</v>
      </c>
      <c r="P52" s="2441">
        <f t="shared" si="157"/>
        <v>-3.0200000000000001E-2</v>
      </c>
      <c r="Q52" s="2441">
        <f t="shared" si="157"/>
        <v>1.52E-2</v>
      </c>
      <c r="R52" s="2425"/>
      <c r="S52" s="2440">
        <f>B52/B53-1</f>
        <v>-2.4137638417038754E-2</v>
      </c>
      <c r="T52" s="2441">
        <f>C52/C53-1</f>
        <v>-2.248773845264096E-2</v>
      </c>
      <c r="U52" s="2441">
        <f>E52/E53-1</f>
        <v>-2.7323794502735366E-2</v>
      </c>
      <c r="V52" s="2441">
        <f>F52/F53-1</f>
        <v>1.7910204153148035E-2</v>
      </c>
      <c r="X52" s="2409"/>
      <c r="Y52" s="2409"/>
      <c r="Z52" s="2409"/>
    </row>
    <row r="53" spans="1:26" ht="13.5" thickBot="1">
      <c r="A53" s="2421" t="s">
        <v>1150</v>
      </c>
      <c r="B53" s="2471">
        <v>214</v>
      </c>
      <c r="C53" s="2471">
        <v>188</v>
      </c>
      <c r="D53" s="2471">
        <f t="shared" si="155"/>
        <v>188</v>
      </c>
      <c r="E53" s="2471">
        <v>289</v>
      </c>
      <c r="F53" s="2472">
        <v>166</v>
      </c>
      <c r="G53" s="3406">
        <v>2008</v>
      </c>
      <c r="H53" s="2442">
        <v>4</v>
      </c>
      <c r="I53" s="2442">
        <v>1.73</v>
      </c>
      <c r="J53" s="2442">
        <v>0.03</v>
      </c>
      <c r="K53" s="2442">
        <v>2.59</v>
      </c>
      <c r="L53" s="2443">
        <v>-1.66</v>
      </c>
      <c r="N53" s="2424">
        <f t="shared" si="157"/>
        <v>1.7299999999999999E-2</v>
      </c>
      <c r="O53" s="2409">
        <f t="shared" si="157"/>
        <v>2.9999999999999997E-4</v>
      </c>
      <c r="P53" s="2409">
        <f t="shared" si="157"/>
        <v>2.5899999999999999E-2</v>
      </c>
      <c r="Q53" s="2409">
        <f t="shared" si="157"/>
        <v>-1.66E-2</v>
      </c>
      <c r="R53" s="2425"/>
      <c r="S53" s="2438"/>
      <c r="T53" s="2439"/>
      <c r="U53" s="2439"/>
      <c r="V53" s="2439"/>
      <c r="X53" s="2439"/>
      <c r="Y53" s="2439"/>
      <c r="Z53" s="2439"/>
    </row>
    <row r="54" spans="1:26">
      <c r="A54" s="2421" t="s">
        <v>1151</v>
      </c>
      <c r="B54" s="2422">
        <f t="shared" ref="B54:C56" si="173">B53/(1+N53)</f>
        <v>210.36075887152265</v>
      </c>
      <c r="C54" s="2422">
        <f t="shared" si="173"/>
        <v>187.94361691492554</v>
      </c>
      <c r="D54" s="2422">
        <f t="shared" si="155"/>
        <v>187.94361691492554</v>
      </c>
      <c r="E54" s="2422">
        <f t="shared" ref="E54:F56" si="174">E53/(1+P53)</f>
        <v>281.70386977288234</v>
      </c>
      <c r="F54" s="2422">
        <f t="shared" si="174"/>
        <v>168.80211511083994</v>
      </c>
      <c r="G54" s="3407">
        <v>2008</v>
      </c>
      <c r="H54" s="2447">
        <v>3</v>
      </c>
      <c r="I54" s="2447">
        <v>1.96</v>
      </c>
      <c r="J54" s="2447">
        <v>2.36</v>
      </c>
      <c r="K54" s="2447">
        <v>1.82</v>
      </c>
      <c r="L54" s="2448">
        <v>2.2200000000000002</v>
      </c>
      <c r="N54" s="2424">
        <f t="shared" si="157"/>
        <v>1.9599999999999999E-2</v>
      </c>
      <c r="O54" s="2409">
        <f t="shared" si="157"/>
        <v>2.3599999999999999E-2</v>
      </c>
      <c r="P54" s="2409">
        <f t="shared" si="157"/>
        <v>1.8200000000000001E-2</v>
      </c>
      <c r="Q54" s="2409">
        <f t="shared" si="157"/>
        <v>2.2200000000000001E-2</v>
      </c>
      <c r="R54" s="2425"/>
      <c r="S54" s="2424"/>
      <c r="T54" s="2409"/>
      <c r="U54" s="2409"/>
      <c r="V54" s="2409"/>
    </row>
    <row r="55" spans="1:26">
      <c r="A55" s="2421" t="s">
        <v>1152</v>
      </c>
      <c r="B55" s="2422">
        <f t="shared" si="173"/>
        <v>206.31694671589116</v>
      </c>
      <c r="C55" s="2422">
        <f t="shared" si="173"/>
        <v>183.61041121036101</v>
      </c>
      <c r="D55" s="2422">
        <f t="shared" si="155"/>
        <v>183.61041121036101</v>
      </c>
      <c r="E55" s="2422">
        <f t="shared" si="174"/>
        <v>276.66850301795557</v>
      </c>
      <c r="F55" s="2422">
        <f t="shared" si="174"/>
        <v>165.1360938278614</v>
      </c>
      <c r="G55" s="3407">
        <v>2008</v>
      </c>
      <c r="H55" s="2434">
        <v>2</v>
      </c>
      <c r="I55" s="2434">
        <v>4.93</v>
      </c>
      <c r="J55" s="2434">
        <v>7.38</v>
      </c>
      <c r="K55" s="2434">
        <v>3.98</v>
      </c>
      <c r="L55" s="2435">
        <v>6.86</v>
      </c>
      <c r="N55" s="2424">
        <f t="shared" si="157"/>
        <v>4.9299999999999997E-2</v>
      </c>
      <c r="O55" s="2409">
        <f t="shared" si="157"/>
        <v>7.3800000000000004E-2</v>
      </c>
      <c r="P55" s="2409">
        <f t="shared" si="157"/>
        <v>3.9800000000000002E-2</v>
      </c>
      <c r="Q55" s="2409">
        <f t="shared" si="157"/>
        <v>6.8600000000000008E-2</v>
      </c>
      <c r="R55" s="2425"/>
      <c r="S55" s="2424"/>
      <c r="T55" s="2409"/>
      <c r="U55" s="2409"/>
      <c r="V55" s="2409"/>
    </row>
    <row r="56" spans="1:26" s="2477" customFormat="1" ht="13.5" thickBot="1">
      <c r="A56" s="2421" t="s">
        <v>1153</v>
      </c>
      <c r="B56" s="2474">
        <f t="shared" si="173"/>
        <v>196.62341248059772</v>
      </c>
      <c r="C56" s="2474">
        <f t="shared" si="173"/>
        <v>170.99125648199012</v>
      </c>
      <c r="D56" s="2474">
        <f t="shared" si="155"/>
        <v>170.99125648199012</v>
      </c>
      <c r="E56" s="2474">
        <f t="shared" si="174"/>
        <v>266.07857570490052</v>
      </c>
      <c r="F56" s="2474">
        <f t="shared" si="174"/>
        <v>154.53499328828505</v>
      </c>
      <c r="G56" s="3408">
        <v>2008</v>
      </c>
      <c r="H56" s="2475">
        <v>1</v>
      </c>
      <c r="I56" s="2475">
        <v>4.1399999999999997</v>
      </c>
      <c r="J56" s="2475">
        <v>3.45</v>
      </c>
      <c r="K56" s="2475">
        <v>4.95</v>
      </c>
      <c r="L56" s="2476">
        <v>4.82</v>
      </c>
      <c r="N56" s="2478">
        <f t="shared" si="157"/>
        <v>4.1399999999999999E-2</v>
      </c>
      <c r="O56" s="2479">
        <f t="shared" si="157"/>
        <v>3.4500000000000003E-2</v>
      </c>
      <c r="P56" s="2479">
        <f t="shared" si="157"/>
        <v>4.9500000000000002E-2</v>
      </c>
      <c r="Q56" s="2479">
        <f t="shared" si="157"/>
        <v>4.82E-2</v>
      </c>
      <c r="R56" s="2480"/>
      <c r="S56" s="2478">
        <f>B56/B57-1</f>
        <v>4.5869215322328349E-2</v>
      </c>
      <c r="T56" s="2479">
        <f>C56/C57-1</f>
        <v>3.6310645345394743E-2</v>
      </c>
      <c r="U56" s="2479">
        <f>E56/E57-1</f>
        <v>4.7553447657088688E-2</v>
      </c>
      <c r="V56" s="2479">
        <f>F56/F57-1</f>
        <v>4.4155360055980086E-2</v>
      </c>
      <c r="X56" s="2479"/>
      <c r="Y56" s="2479"/>
      <c r="Z56" s="2479"/>
    </row>
    <row r="57" spans="1:26" ht="13.5" thickBot="1">
      <c r="A57" s="2421" t="s">
        <v>1154</v>
      </c>
      <c r="B57" s="2436">
        <v>188</v>
      </c>
      <c r="C57" s="2436">
        <v>165</v>
      </c>
      <c r="D57" s="2436">
        <f t="shared" si="155"/>
        <v>165</v>
      </c>
      <c r="E57" s="2436">
        <v>254</v>
      </c>
      <c r="F57" s="2437">
        <v>148</v>
      </c>
      <c r="G57" s="3406">
        <v>2007</v>
      </c>
      <c r="H57" s="2481">
        <v>4</v>
      </c>
      <c r="I57" s="2481">
        <v>5.51</v>
      </c>
      <c r="J57" s="2481">
        <v>4.8899999999999997</v>
      </c>
      <c r="K57" s="2481">
        <v>6.43</v>
      </c>
      <c r="L57" s="2482">
        <v>5.36</v>
      </c>
      <c r="N57" s="2483">
        <f t="shared" ref="N57:O60" si="175">B57/B58-1</f>
        <v>4.1339718365245526E-2</v>
      </c>
      <c r="O57" s="2484">
        <f t="shared" si="175"/>
        <v>4.0324492593776018E-2</v>
      </c>
      <c r="P57" s="2484">
        <f t="shared" ref="P57:Q60" si="176">E57/E58-1</f>
        <v>6.1625555347990968E-2</v>
      </c>
      <c r="Q57" s="2484">
        <f t="shared" si="176"/>
        <v>4.6757569250590603E-2</v>
      </c>
      <c r="R57" s="2425"/>
      <c r="S57" s="2438"/>
      <c r="T57" s="2439"/>
      <c r="U57" s="2439"/>
      <c r="V57" s="2439"/>
      <c r="X57" s="2439"/>
      <c r="Y57" s="2439"/>
      <c r="Z57" s="2439"/>
    </row>
    <row r="58" spans="1:26">
      <c r="A58" s="2421" t="s">
        <v>1155</v>
      </c>
      <c r="B58" s="2422">
        <f t="shared" ref="B58:C60" si="177">B59+(B$57-B$61)*I58/SUM(I$57:I$60)</f>
        <v>180.5366651097618</v>
      </c>
      <c r="C58" s="2422">
        <f t="shared" si="177"/>
        <v>158.60435967302453</v>
      </c>
      <c r="D58" s="2422">
        <f t="shared" si="155"/>
        <v>158.60435967302453</v>
      </c>
      <c r="E58" s="2422">
        <f t="shared" ref="E58:F60" si="178">E59+(E$57-E$61)*K58/SUM(K$57:K$60)</f>
        <v>239.25573260785075</v>
      </c>
      <c r="F58" s="2422">
        <f t="shared" si="178"/>
        <v>141.38899430740037</v>
      </c>
      <c r="G58" s="3407">
        <v>2007</v>
      </c>
      <c r="H58" s="2447">
        <v>3</v>
      </c>
      <c r="I58" s="2447">
        <v>8.65</v>
      </c>
      <c r="J58" s="2447">
        <v>8.06</v>
      </c>
      <c r="K58" s="2447">
        <v>9.94</v>
      </c>
      <c r="L58" s="2448">
        <v>5.8</v>
      </c>
      <c r="N58" s="2483">
        <f t="shared" si="175"/>
        <v>6.940217571740015E-2</v>
      </c>
      <c r="O58" s="2484">
        <f t="shared" si="175"/>
        <v>7.1197482471153428E-2</v>
      </c>
      <c r="P58" s="2484">
        <f t="shared" si="176"/>
        <v>0.10529679922579582</v>
      </c>
      <c r="Q58" s="2484">
        <f t="shared" si="176"/>
        <v>5.3292245059512133E-2</v>
      </c>
      <c r="R58" s="2425"/>
      <c r="S58" s="2424"/>
      <c r="T58" s="2409"/>
      <c r="U58" s="2409"/>
      <c r="V58" s="2409"/>
      <c r="X58" s="2485"/>
      <c r="Y58" s="2485"/>
      <c r="Z58" s="2485"/>
    </row>
    <row r="59" spans="1:26">
      <c r="A59" s="2421" t="s">
        <v>1156</v>
      </c>
      <c r="B59" s="2422">
        <f t="shared" si="177"/>
        <v>168.82017748715555</v>
      </c>
      <c r="C59" s="2422">
        <f t="shared" si="177"/>
        <v>148.06267029972753</v>
      </c>
      <c r="D59" s="2422">
        <f t="shared" si="155"/>
        <v>148.06267029972753</v>
      </c>
      <c r="E59" s="2422">
        <f t="shared" si="178"/>
        <v>216.46288379323747</v>
      </c>
      <c r="F59" s="2422">
        <f t="shared" si="178"/>
        <v>134.23529411764704</v>
      </c>
      <c r="G59" s="3407">
        <v>2007</v>
      </c>
      <c r="H59" s="2434">
        <v>2</v>
      </c>
      <c r="I59" s="2434">
        <v>3.67</v>
      </c>
      <c r="J59" s="2434">
        <v>2.3199999999999998</v>
      </c>
      <c r="K59" s="2434">
        <v>5.0199999999999996</v>
      </c>
      <c r="L59" s="2435">
        <v>6.71</v>
      </c>
      <c r="N59" s="2483">
        <f t="shared" si="175"/>
        <v>3.0339138143848032E-2</v>
      </c>
      <c r="O59" s="2484">
        <f t="shared" si="175"/>
        <v>2.0922341588790472E-2</v>
      </c>
      <c r="P59" s="2484">
        <f t="shared" si="176"/>
        <v>5.6164796592717003E-2</v>
      </c>
      <c r="Q59" s="2484">
        <f t="shared" si="176"/>
        <v>6.5704536723887319E-2</v>
      </c>
      <c r="R59" s="2425"/>
      <c r="S59" s="2424"/>
      <c r="T59" s="2409"/>
      <c r="U59" s="2409"/>
      <c r="V59" s="2409"/>
      <c r="X59" s="2485"/>
      <c r="Y59" s="2485"/>
      <c r="Z59" s="2485"/>
    </row>
    <row r="60" spans="1:26">
      <c r="A60" s="2421" t="s">
        <v>1157</v>
      </c>
      <c r="B60" s="2422">
        <f t="shared" si="177"/>
        <v>163.84913591779542</v>
      </c>
      <c r="C60" s="2422">
        <f t="shared" si="177"/>
        <v>145.0283378746594</v>
      </c>
      <c r="D60" s="2422">
        <f t="shared" si="155"/>
        <v>145.0283378746594</v>
      </c>
      <c r="E60" s="2422">
        <f t="shared" si="178"/>
        <v>204.95180722891567</v>
      </c>
      <c r="F60" s="2422">
        <f t="shared" si="178"/>
        <v>125.95920303605313</v>
      </c>
      <c r="G60" s="3408">
        <v>2007</v>
      </c>
      <c r="H60" s="2423">
        <v>1</v>
      </c>
      <c r="I60" s="2423">
        <v>3.58</v>
      </c>
      <c r="J60" s="2423">
        <v>3.08</v>
      </c>
      <c r="K60" s="2423">
        <v>4.34</v>
      </c>
      <c r="L60" s="2429">
        <v>3.21</v>
      </c>
      <c r="N60" s="2486">
        <f t="shared" si="175"/>
        <v>3.0497710174814063E-2</v>
      </c>
      <c r="O60" s="2487">
        <f t="shared" si="175"/>
        <v>2.8569772160704998E-2</v>
      </c>
      <c r="P60" s="2487">
        <f t="shared" si="176"/>
        <v>5.1034908866234296E-2</v>
      </c>
      <c r="Q60" s="2487">
        <f t="shared" si="176"/>
        <v>3.245248390207478E-2</v>
      </c>
      <c r="R60" s="2425"/>
      <c r="S60" s="2440">
        <f>B60/B61-1</f>
        <v>3.0497710174814063E-2</v>
      </c>
      <c r="T60" s="2441">
        <f>C60/C61-1</f>
        <v>2.8569772160704998E-2</v>
      </c>
      <c r="U60" s="2441">
        <f>E60/E61-1</f>
        <v>5.1034908866234296E-2</v>
      </c>
      <c r="V60" s="2441">
        <f>F60/F61-1</f>
        <v>3.245248390207478E-2</v>
      </c>
      <c r="X60" s="2485"/>
      <c r="Y60" s="2485"/>
      <c r="Z60" s="2485"/>
    </row>
    <row r="61" spans="1:26" ht="13.5" thickBot="1">
      <c r="A61" s="2421" t="s">
        <v>1158</v>
      </c>
      <c r="B61" s="2450">
        <v>159</v>
      </c>
      <c r="C61" s="2450">
        <v>141</v>
      </c>
      <c r="D61" s="2450">
        <f t="shared" si="155"/>
        <v>141</v>
      </c>
      <c r="E61" s="2450">
        <v>195</v>
      </c>
      <c r="F61" s="2451">
        <v>122</v>
      </c>
      <c r="G61" s="3406">
        <v>2006</v>
      </c>
      <c r="H61" s="2442">
        <v>4</v>
      </c>
      <c r="I61" s="2442">
        <v>3.79</v>
      </c>
      <c r="J61" s="2442">
        <v>2.21</v>
      </c>
      <c r="K61" s="2442">
        <v>5.65</v>
      </c>
      <c r="L61" s="2443">
        <v>5.41</v>
      </c>
      <c r="N61" s="2483">
        <f t="shared" ref="N61:O64" si="179">I61/SUM(I$61:I$64)*(B$61/B$65-1)</f>
        <v>7.245466462748526E-2</v>
      </c>
      <c r="O61" s="2484">
        <f t="shared" si="179"/>
        <v>2.3237230038062766E-2</v>
      </c>
      <c r="P61" s="2484">
        <f t="shared" ref="P61:Q64" si="180">K61/SUM(K$61:K$64)*(E$61/E$65-1)</f>
        <v>0.16146893866323722</v>
      </c>
      <c r="Q61" s="2484">
        <f t="shared" si="180"/>
        <v>5.0755230321793784E-2</v>
      </c>
      <c r="R61" s="2425"/>
      <c r="S61" s="2438"/>
      <c r="T61" s="2439"/>
      <c r="U61" s="2439"/>
      <c r="V61" s="2439"/>
      <c r="X61" s="2485"/>
      <c r="Y61" s="2485"/>
      <c r="Z61" s="2485"/>
    </row>
    <row r="62" spans="1:26">
      <c r="A62" s="2421" t="s">
        <v>1159</v>
      </c>
      <c r="B62" s="2422">
        <f t="shared" ref="B62:C64" si="181">B63+(B$61-B$65)*I62/SUM(I$61:I$64)</f>
        <v>149.00125628140702</v>
      </c>
      <c r="C62" s="2422">
        <f t="shared" si="181"/>
        <v>137.95592286501378</v>
      </c>
      <c r="D62" s="2422">
        <f t="shared" si="155"/>
        <v>137.95592286501378</v>
      </c>
      <c r="E62" s="2422">
        <f t="shared" ref="E62:F64" si="182">E63+(E$61-E$65)*K62/SUM(K$61:K$64)</f>
        <v>169.97231450719823</v>
      </c>
      <c r="F62" s="2422">
        <f t="shared" si="182"/>
        <v>116.21390374331551</v>
      </c>
      <c r="G62" s="3407">
        <v>2006</v>
      </c>
      <c r="H62" s="2447">
        <v>3</v>
      </c>
      <c r="I62" s="2447">
        <v>0.92</v>
      </c>
      <c r="J62" s="2447">
        <v>1.08</v>
      </c>
      <c r="K62" s="2447">
        <v>0.73</v>
      </c>
      <c r="L62" s="2448">
        <v>1.08</v>
      </c>
      <c r="N62" s="2483">
        <f t="shared" si="179"/>
        <v>1.7587939698492462E-2</v>
      </c>
      <c r="O62" s="2484">
        <f t="shared" si="179"/>
        <v>1.1355750425840628E-2</v>
      </c>
      <c r="P62" s="2484">
        <f t="shared" si="180"/>
        <v>2.0862358446754544E-2</v>
      </c>
      <c r="Q62" s="2484">
        <f t="shared" si="180"/>
        <v>1.0132282578103011E-2</v>
      </c>
      <c r="R62" s="2425"/>
      <c r="S62" s="2424"/>
      <c r="T62" s="2409"/>
      <c r="U62" s="2409"/>
      <c r="V62" s="2409"/>
      <c r="X62" s="2485"/>
      <c r="Y62" s="2485"/>
      <c r="Z62" s="2485"/>
    </row>
    <row r="63" spans="1:26">
      <c r="A63" s="2421" t="s">
        <v>1160</v>
      </c>
      <c r="B63" s="2422">
        <f t="shared" si="181"/>
        <v>146.57412060301507</v>
      </c>
      <c r="C63" s="2422">
        <f t="shared" si="181"/>
        <v>136.46831955922866</v>
      </c>
      <c r="D63" s="2422">
        <f t="shared" si="155"/>
        <v>136.46831955922866</v>
      </c>
      <c r="E63" s="2422">
        <f t="shared" si="182"/>
        <v>166.73864894795128</v>
      </c>
      <c r="F63" s="2422">
        <f t="shared" si="182"/>
        <v>115.05882352941177</v>
      </c>
      <c r="G63" s="3407">
        <v>2006</v>
      </c>
      <c r="H63" s="2434">
        <v>2</v>
      </c>
      <c r="I63" s="2434">
        <v>0.96</v>
      </c>
      <c r="J63" s="2434">
        <v>0.25</v>
      </c>
      <c r="K63" s="2434">
        <v>1.9</v>
      </c>
      <c r="L63" s="2435">
        <v>0.95</v>
      </c>
      <c r="N63" s="2483">
        <f t="shared" si="179"/>
        <v>1.8352632728861701E-2</v>
      </c>
      <c r="O63" s="2484">
        <f t="shared" si="179"/>
        <v>2.6286459319075526E-3</v>
      </c>
      <c r="P63" s="2484">
        <f t="shared" si="180"/>
        <v>5.4299289107991269E-2</v>
      </c>
      <c r="Q63" s="2484">
        <f t="shared" si="180"/>
        <v>8.9126559714794995E-3</v>
      </c>
      <c r="R63" s="2425"/>
      <c r="S63" s="2424"/>
      <c r="T63" s="2409"/>
      <c r="U63" s="2409"/>
      <c r="V63" s="2409"/>
      <c r="X63" s="2485"/>
      <c r="Y63" s="2485"/>
      <c r="Z63" s="2485"/>
    </row>
    <row r="64" spans="1:26">
      <c r="A64" s="2421" t="s">
        <v>1161</v>
      </c>
      <c r="B64" s="2422">
        <f t="shared" si="181"/>
        <v>144.04145728643215</v>
      </c>
      <c r="C64" s="2422">
        <f t="shared" si="181"/>
        <v>136.12396694214877</v>
      </c>
      <c r="D64" s="2422">
        <f t="shared" si="155"/>
        <v>136.12396694214877</v>
      </c>
      <c r="E64" s="2422">
        <f t="shared" si="182"/>
        <v>158.32225913621264</v>
      </c>
      <c r="F64" s="2422">
        <f t="shared" si="182"/>
        <v>114.04278074866311</v>
      </c>
      <c r="G64" s="3408">
        <v>2006</v>
      </c>
      <c r="H64" s="2423">
        <v>1</v>
      </c>
      <c r="I64" s="2423">
        <v>2.29</v>
      </c>
      <c r="J64" s="2423">
        <v>3.72</v>
      </c>
      <c r="K64" s="2423">
        <v>0.75</v>
      </c>
      <c r="L64" s="2429">
        <v>0.04</v>
      </c>
      <c r="N64" s="2486">
        <f t="shared" si="179"/>
        <v>4.3778675988638847E-2</v>
      </c>
      <c r="O64" s="2487">
        <f t="shared" si="179"/>
        <v>3.9114251466784385E-2</v>
      </c>
      <c r="P64" s="2487">
        <f t="shared" si="180"/>
        <v>2.1433929911049188E-2</v>
      </c>
      <c r="Q64" s="2487">
        <f t="shared" si="180"/>
        <v>3.7526972511492629E-4</v>
      </c>
      <c r="R64" s="2425"/>
      <c r="S64" s="2440">
        <f>B64/B65-1</f>
        <v>4.3778675988638716E-2</v>
      </c>
      <c r="T64" s="2441">
        <f>C64/C65-1</f>
        <v>3.91142514667846E-2</v>
      </c>
      <c r="U64" s="2441">
        <f>E64/E65-1</f>
        <v>2.143392991104931E-2</v>
      </c>
      <c r="V64" s="2441">
        <f>F64/F65-1</f>
        <v>3.7526972511492396E-4</v>
      </c>
      <c r="X64" s="2485"/>
      <c r="Y64" s="2485"/>
      <c r="Z64" s="2485"/>
    </row>
    <row r="65" spans="1:26" ht="13.5" thickBot="1">
      <c r="A65" s="2421" t="s">
        <v>1162</v>
      </c>
      <c r="B65" s="2450">
        <v>138</v>
      </c>
      <c r="C65" s="2450">
        <v>131</v>
      </c>
      <c r="D65" s="2450">
        <f t="shared" si="155"/>
        <v>131</v>
      </c>
      <c r="E65" s="2450">
        <v>155</v>
      </c>
      <c r="F65" s="2451">
        <v>114</v>
      </c>
      <c r="G65" s="3406">
        <v>2005</v>
      </c>
      <c r="H65" s="2442">
        <v>4</v>
      </c>
      <c r="I65" s="2442">
        <v>3.29</v>
      </c>
      <c r="J65" s="2442">
        <v>1.44</v>
      </c>
      <c r="K65" s="2442">
        <v>0.66</v>
      </c>
      <c r="L65" s="2443">
        <v>7.78</v>
      </c>
      <c r="N65" s="2483">
        <f t="shared" ref="N65:O68" si="183">I65/SUM(I$65:I$68)*(B$65/B$69-1)</f>
        <v>9.9404603216919935E-2</v>
      </c>
      <c r="O65" s="2484">
        <f t="shared" si="183"/>
        <v>4.7636550760861554E-2</v>
      </c>
      <c r="P65" s="2484">
        <f t="shared" ref="P65:Q68" si="184">K65/SUM(K$65:K$68)*(E$65/E$69-1)</f>
        <v>8.3756345177664976E-2</v>
      </c>
      <c r="Q65" s="2484">
        <f t="shared" si="184"/>
        <v>5.2148766661559584E-2</v>
      </c>
      <c r="R65" s="2425"/>
      <c r="S65" s="2438"/>
      <c r="T65" s="2439"/>
      <c r="U65" s="2439"/>
      <c r="V65" s="2439"/>
      <c r="X65" s="2485"/>
      <c r="Y65" s="2485"/>
      <c r="Z65" s="2485"/>
    </row>
    <row r="66" spans="1:26">
      <c r="A66" s="2421" t="s">
        <v>1163</v>
      </c>
      <c r="B66" s="2422">
        <f t="shared" ref="B66:C68" si="185">B67+(B$65-B$69)*I66/SUM(I$65:I$68)</f>
        <v>125.9720430107527</v>
      </c>
      <c r="C66" s="2422">
        <f t="shared" si="185"/>
        <v>125.1883408071749</v>
      </c>
      <c r="D66" s="2422">
        <f t="shared" si="155"/>
        <v>125.1883408071749</v>
      </c>
      <c r="E66" s="2422">
        <f t="shared" ref="E66:F68" si="186">E67+(E$65-E$69)*K66/SUM(K$65:K$68)</f>
        <v>144.61421319796952</v>
      </c>
      <c r="F66" s="2422">
        <f t="shared" si="186"/>
        <v>108.42008196721311</v>
      </c>
      <c r="G66" s="3407">
        <v>2005</v>
      </c>
      <c r="H66" s="2447">
        <v>3</v>
      </c>
      <c r="I66" s="2447">
        <v>0.46</v>
      </c>
      <c r="J66" s="2447">
        <v>0.32</v>
      </c>
      <c r="K66" s="2447">
        <v>0.42</v>
      </c>
      <c r="L66" s="2448">
        <v>0.64</v>
      </c>
      <c r="N66" s="2483">
        <f t="shared" si="183"/>
        <v>1.3898515951301874E-2</v>
      </c>
      <c r="O66" s="2484">
        <f t="shared" si="183"/>
        <v>1.0585900169080346E-2</v>
      </c>
      <c r="P66" s="2484">
        <f t="shared" si="184"/>
        <v>5.3299492385786795E-2</v>
      </c>
      <c r="Q66" s="2484">
        <f t="shared" si="184"/>
        <v>4.2898728359123568E-3</v>
      </c>
      <c r="R66" s="2425"/>
      <c r="S66" s="2424"/>
      <c r="T66" s="2409"/>
      <c r="U66" s="2409"/>
      <c r="V66" s="2409"/>
      <c r="X66" s="2485"/>
      <c r="Y66" s="2485"/>
      <c r="Z66" s="2485"/>
    </row>
    <row r="67" spans="1:26">
      <c r="A67" s="2421" t="s">
        <v>1164</v>
      </c>
      <c r="B67" s="2422">
        <f t="shared" si="185"/>
        <v>124.29032258064517</v>
      </c>
      <c r="C67" s="2422">
        <f t="shared" si="185"/>
        <v>123.8968609865471</v>
      </c>
      <c r="D67" s="2422">
        <f t="shared" si="155"/>
        <v>123.8968609865471</v>
      </c>
      <c r="E67" s="2422">
        <f t="shared" si="186"/>
        <v>138.00507614213197</v>
      </c>
      <c r="F67" s="2422">
        <f t="shared" si="186"/>
        <v>107.96106557377048</v>
      </c>
      <c r="G67" s="3407">
        <v>2005</v>
      </c>
      <c r="H67" s="2434">
        <v>2</v>
      </c>
      <c r="I67" s="2434">
        <v>0.47</v>
      </c>
      <c r="J67" s="2434">
        <v>0.1</v>
      </c>
      <c r="K67" s="2434">
        <v>0.52</v>
      </c>
      <c r="L67" s="2435">
        <v>0.79</v>
      </c>
      <c r="N67" s="2483">
        <f t="shared" si="183"/>
        <v>1.420065760241713E-2</v>
      </c>
      <c r="O67" s="2484">
        <f t="shared" si="183"/>
        <v>3.3080938028376083E-3</v>
      </c>
      <c r="P67" s="2484">
        <f t="shared" si="184"/>
        <v>6.598984771573603E-2</v>
      </c>
      <c r="Q67" s="2484">
        <f t="shared" si="184"/>
        <v>5.2953117818293153E-3</v>
      </c>
      <c r="R67" s="2425"/>
      <c r="S67" s="2424"/>
      <c r="T67" s="2409"/>
      <c r="U67" s="2409"/>
      <c r="V67" s="2409"/>
      <c r="X67" s="2485"/>
      <c r="Y67" s="2485"/>
      <c r="Z67" s="2485"/>
    </row>
    <row r="68" spans="1:26">
      <c r="A68" s="2421" t="s">
        <v>1165</v>
      </c>
      <c r="B68" s="2422">
        <f t="shared" si="185"/>
        <v>122.57204301075269</v>
      </c>
      <c r="C68" s="2422">
        <f t="shared" si="185"/>
        <v>123.4932735426009</v>
      </c>
      <c r="D68" s="2422">
        <f t="shared" si="155"/>
        <v>123.4932735426009</v>
      </c>
      <c r="E68" s="2422">
        <f t="shared" si="186"/>
        <v>129.82233502538071</v>
      </c>
      <c r="F68" s="2422">
        <f t="shared" si="186"/>
        <v>107.39446721311475</v>
      </c>
      <c r="G68" s="3408">
        <v>2005</v>
      </c>
      <c r="H68" s="2423">
        <v>1</v>
      </c>
      <c r="I68" s="2423">
        <v>0.43</v>
      </c>
      <c r="J68" s="2423">
        <v>0.37</v>
      </c>
      <c r="K68" s="2423">
        <v>0.37</v>
      </c>
      <c r="L68" s="2429">
        <v>0.55000000000000004</v>
      </c>
      <c r="N68" s="2486">
        <f t="shared" si="183"/>
        <v>1.2992090997956099E-2</v>
      </c>
      <c r="O68" s="2487">
        <f t="shared" si="183"/>
        <v>1.2239947070499151E-2</v>
      </c>
      <c r="P68" s="2487">
        <f t="shared" si="184"/>
        <v>4.6954314720812178E-2</v>
      </c>
      <c r="Q68" s="2487">
        <f t="shared" si="184"/>
        <v>3.6866094683621815E-3</v>
      </c>
      <c r="R68" s="2425"/>
      <c r="S68" s="2440">
        <f>B68/B69-1</f>
        <v>1.2992090997956174E-2</v>
      </c>
      <c r="T68" s="2441">
        <f>C68/C69-1</f>
        <v>1.2239947070499246E-2</v>
      </c>
      <c r="U68" s="2441">
        <f>E68/E69-1</f>
        <v>4.695431472081224E-2</v>
      </c>
      <c r="V68" s="2441">
        <f>F68/F69-1</f>
        <v>3.6866094683620787E-3</v>
      </c>
      <c r="X68" s="2485"/>
      <c r="Y68" s="2485"/>
      <c r="Z68" s="2485"/>
    </row>
    <row r="69" spans="1:26" ht="13.5" thickBot="1">
      <c r="A69" s="2421" t="s">
        <v>1166</v>
      </c>
      <c r="B69" s="2471">
        <v>121</v>
      </c>
      <c r="C69" s="2471">
        <v>122</v>
      </c>
      <c r="D69" s="2471">
        <f t="shared" si="155"/>
        <v>122</v>
      </c>
      <c r="E69" s="2471">
        <v>124</v>
      </c>
      <c r="F69" s="2472">
        <v>107</v>
      </c>
      <c r="G69" s="3406">
        <v>2004</v>
      </c>
      <c r="H69" s="2442">
        <v>4</v>
      </c>
      <c r="I69" s="2442">
        <v>0.33</v>
      </c>
      <c r="J69" s="2442">
        <v>0.5</v>
      </c>
      <c r="K69" s="2442">
        <v>0.5</v>
      </c>
      <c r="L69" s="2443">
        <v>0</v>
      </c>
      <c r="N69" s="2483">
        <f t="shared" ref="N69:O72" si="187">I69/SUM(I$69:I$72)*(B$69/B$73-1)</f>
        <v>1.3391770148526898E-2</v>
      </c>
      <c r="O69" s="2484">
        <f t="shared" si="187"/>
        <v>1.063264221158958E-2</v>
      </c>
      <c r="P69" s="2484">
        <f t="shared" ref="P69:Q72" si="188">K69/SUM(K$69:K$72)*(E$69/E$73-1)</f>
        <v>2.2244466688911134E-2</v>
      </c>
      <c r="Q69" s="2484">
        <f t="shared" si="188"/>
        <v>0</v>
      </c>
      <c r="R69" s="2425"/>
      <c r="S69" s="2438"/>
      <c r="T69" s="2439"/>
      <c r="U69" s="2439"/>
      <c r="V69" s="2439"/>
      <c r="X69" s="2485"/>
      <c r="Y69" s="2485"/>
      <c r="Z69" s="2485"/>
    </row>
    <row r="70" spans="1:26">
      <c r="A70" s="2421" t="s">
        <v>1167</v>
      </c>
      <c r="B70" s="2422">
        <f t="shared" ref="B70:C72" si="189">B71+(B$69-B$73)*I70/SUM(I$69:I$72)</f>
        <v>119.51351351351352</v>
      </c>
      <c r="C70" s="2422">
        <f t="shared" si="189"/>
        <v>120.7878787878788</v>
      </c>
      <c r="D70" s="2422">
        <f t="shared" si="155"/>
        <v>120.7878787878788</v>
      </c>
      <c r="E70" s="2422">
        <f t="shared" ref="E70:F72" si="190">E71+(E$69-E$73)*K70/SUM(K$69:K$72)</f>
        <v>121.5975975975976</v>
      </c>
      <c r="F70" s="2422">
        <f t="shared" si="190"/>
        <v>107</v>
      </c>
      <c r="G70" s="3407">
        <v>2004</v>
      </c>
      <c r="H70" s="2447">
        <v>3</v>
      </c>
      <c r="I70" s="2447">
        <v>0.56000000000000005</v>
      </c>
      <c r="J70" s="2447">
        <v>0.8</v>
      </c>
      <c r="K70" s="2447">
        <v>0.83</v>
      </c>
      <c r="L70" s="2448">
        <v>0.06</v>
      </c>
      <c r="N70" s="2483">
        <f t="shared" si="187"/>
        <v>2.2725428130833527E-2</v>
      </c>
      <c r="O70" s="2484">
        <f t="shared" si="187"/>
        <v>1.7012227538543329E-2</v>
      </c>
      <c r="P70" s="2484">
        <f t="shared" si="188"/>
        <v>3.6925814703592477E-2</v>
      </c>
      <c r="Q70" s="2484">
        <f t="shared" si="188"/>
        <v>2.8846153846153744E-2</v>
      </c>
      <c r="R70" s="2425"/>
      <c r="S70" s="2424"/>
      <c r="T70" s="2409"/>
      <c r="U70" s="2409"/>
      <c r="V70" s="2409"/>
      <c r="X70" s="2485"/>
      <c r="Y70" s="2485"/>
      <c r="Z70" s="2485"/>
    </row>
    <row r="71" spans="1:26">
      <c r="A71" s="2421" t="s">
        <v>1168</v>
      </c>
      <c r="B71" s="2422">
        <f t="shared" si="189"/>
        <v>116.99099099099099</v>
      </c>
      <c r="C71" s="2422">
        <f t="shared" si="189"/>
        <v>118.84848484848486</v>
      </c>
      <c r="D71" s="2422">
        <f t="shared" si="155"/>
        <v>118.84848484848486</v>
      </c>
      <c r="E71" s="2422">
        <f t="shared" si="190"/>
        <v>117.60960960960961</v>
      </c>
      <c r="F71" s="2422">
        <f t="shared" si="190"/>
        <v>104</v>
      </c>
      <c r="G71" s="3407">
        <v>2004</v>
      </c>
      <c r="H71" s="2434">
        <v>2</v>
      </c>
      <c r="I71" s="2434">
        <v>1</v>
      </c>
      <c r="J71" s="2434">
        <v>1.5</v>
      </c>
      <c r="K71" s="2434">
        <v>1.5</v>
      </c>
      <c r="L71" s="2435">
        <v>0</v>
      </c>
      <c r="N71" s="2483">
        <f t="shared" si="187"/>
        <v>4.0581121662202721E-2</v>
      </c>
      <c r="O71" s="2484">
        <f t="shared" si="187"/>
        <v>3.1897926634768738E-2</v>
      </c>
      <c r="P71" s="2484">
        <f t="shared" si="188"/>
        <v>6.6733400066733395E-2</v>
      </c>
      <c r="Q71" s="2484">
        <f t="shared" si="188"/>
        <v>0</v>
      </c>
      <c r="R71" s="2425"/>
      <c r="S71" s="2424"/>
      <c r="T71" s="2409"/>
      <c r="U71" s="2409"/>
      <c r="V71" s="2409"/>
      <c r="X71" s="2485"/>
      <c r="Y71" s="2485"/>
      <c r="Z71" s="2485"/>
    </row>
    <row r="72" spans="1:26" s="2477" customFormat="1" ht="13.5" thickBot="1">
      <c r="A72" s="2421" t="s">
        <v>1169</v>
      </c>
      <c r="B72" s="2474">
        <f t="shared" si="189"/>
        <v>112.48648648648648</v>
      </c>
      <c r="C72" s="2474">
        <f t="shared" si="189"/>
        <v>115.21212121212122</v>
      </c>
      <c r="D72" s="2474">
        <f t="shared" si="155"/>
        <v>115.21212121212122</v>
      </c>
      <c r="E72" s="2474">
        <f t="shared" si="190"/>
        <v>110.4024024024024</v>
      </c>
      <c r="F72" s="2474">
        <f t="shared" si="190"/>
        <v>104</v>
      </c>
      <c r="G72" s="3408">
        <v>2004</v>
      </c>
      <c r="H72" s="2475">
        <v>1</v>
      </c>
      <c r="I72" s="2475">
        <v>0.33</v>
      </c>
      <c r="J72" s="2475">
        <v>0.5</v>
      </c>
      <c r="K72" s="2475">
        <v>0.5</v>
      </c>
      <c r="L72" s="2476">
        <v>0</v>
      </c>
      <c r="N72" s="2488">
        <f t="shared" si="187"/>
        <v>1.3391770148526898E-2</v>
      </c>
      <c r="O72" s="2489">
        <f t="shared" si="187"/>
        <v>1.063264221158958E-2</v>
      </c>
      <c r="P72" s="2489">
        <f t="shared" si="188"/>
        <v>2.2244466688911134E-2</v>
      </c>
      <c r="Q72" s="2489">
        <f t="shared" si="188"/>
        <v>0</v>
      </c>
      <c r="R72" s="2480"/>
      <c r="S72" s="2478">
        <f>B72/B73-1</f>
        <v>1.3391770148526883E-2</v>
      </c>
      <c r="T72" s="2479">
        <f>C72/C73-1</f>
        <v>1.063264221158966E-2</v>
      </c>
      <c r="U72" s="2479">
        <f>E72/E73-1</f>
        <v>2.2244466688911224E-2</v>
      </c>
      <c r="V72" s="2479">
        <f>F72/F73-1</f>
        <v>0</v>
      </c>
      <c r="X72" s="2490"/>
      <c r="Y72" s="2490"/>
      <c r="Z72" s="2490"/>
    </row>
    <row r="73" spans="1:26" ht="13.5" thickBot="1">
      <c r="A73" s="2421" t="s">
        <v>1170</v>
      </c>
      <c r="B73" s="2491">
        <v>111</v>
      </c>
      <c r="C73" s="2491">
        <v>114</v>
      </c>
      <c r="D73" s="2491">
        <f t="shared" si="155"/>
        <v>114</v>
      </c>
      <c r="E73" s="2491">
        <v>108</v>
      </c>
      <c r="F73" s="2492">
        <v>104</v>
      </c>
      <c r="G73" s="3406">
        <v>2003</v>
      </c>
      <c r="H73" s="2481">
        <v>4</v>
      </c>
      <c r="I73" s="2493"/>
      <c r="J73" s="2493"/>
      <c r="K73" s="2493"/>
      <c r="L73" s="2493"/>
      <c r="N73" s="2494"/>
      <c r="O73" s="2493"/>
      <c r="P73" s="2493"/>
      <c r="Q73" s="2493"/>
      <c r="S73" s="2494"/>
      <c r="T73" s="2493"/>
      <c r="U73" s="2493"/>
      <c r="V73" s="2493"/>
      <c r="X73" s="2485"/>
      <c r="Y73" s="2485"/>
      <c r="Z73" s="2485"/>
    </row>
    <row r="74" spans="1:26">
      <c r="A74" s="2421" t="s">
        <v>1171</v>
      </c>
      <c r="B74" s="2495">
        <f t="shared" ref="B74:C76" si="191">B75+(B$73-B$77)/4</f>
        <v>109.75</v>
      </c>
      <c r="C74" s="2495">
        <f t="shared" si="191"/>
        <v>112.25</v>
      </c>
      <c r="D74" s="2495">
        <f t="shared" si="155"/>
        <v>112.25</v>
      </c>
      <c r="E74" s="2495">
        <f t="shared" ref="E74:F76" si="192">E75+(E$73-E$77)/4</f>
        <v>107.25</v>
      </c>
      <c r="F74" s="2495">
        <f t="shared" si="192"/>
        <v>103.5</v>
      </c>
      <c r="G74" s="3407">
        <v>2003</v>
      </c>
      <c r="H74" s="2447">
        <v>3</v>
      </c>
      <c r="I74" s="2493"/>
      <c r="J74" s="2493"/>
      <c r="K74" s="2493"/>
      <c r="L74" s="2493"/>
      <c r="X74" s="2485"/>
      <c r="Y74" s="2485"/>
      <c r="Z74" s="2485"/>
    </row>
    <row r="75" spans="1:26">
      <c r="A75" s="2421" t="s">
        <v>1172</v>
      </c>
      <c r="B75" s="2495">
        <f t="shared" si="191"/>
        <v>108.5</v>
      </c>
      <c r="C75" s="2495">
        <f t="shared" si="191"/>
        <v>110.5</v>
      </c>
      <c r="D75" s="2495">
        <f t="shared" si="155"/>
        <v>110.5</v>
      </c>
      <c r="E75" s="2495">
        <f t="shared" si="192"/>
        <v>106.5</v>
      </c>
      <c r="F75" s="2495">
        <f t="shared" si="192"/>
        <v>103</v>
      </c>
      <c r="G75" s="3407">
        <v>2003</v>
      </c>
      <c r="H75" s="2434">
        <v>2</v>
      </c>
      <c r="I75" s="2493"/>
      <c r="J75" s="2493"/>
      <c r="K75" s="2493"/>
      <c r="L75" s="2493"/>
      <c r="X75" s="2485"/>
      <c r="Y75" s="2485"/>
      <c r="Z75" s="2485"/>
    </row>
    <row r="76" spans="1:26" ht="13.5" thickBot="1">
      <c r="A76" s="2421" t="s">
        <v>1173</v>
      </c>
      <c r="B76" s="2495">
        <f t="shared" si="191"/>
        <v>107.25</v>
      </c>
      <c r="C76" s="2495">
        <f t="shared" si="191"/>
        <v>108.75</v>
      </c>
      <c r="D76" s="2495">
        <f t="shared" si="155"/>
        <v>108.75</v>
      </c>
      <c r="E76" s="2495">
        <f t="shared" si="192"/>
        <v>105.75</v>
      </c>
      <c r="F76" s="2495">
        <f t="shared" si="192"/>
        <v>102.5</v>
      </c>
      <c r="G76" s="3408">
        <v>2003</v>
      </c>
      <c r="H76" s="2496">
        <v>1</v>
      </c>
      <c r="I76" s="2493"/>
      <c r="J76" s="2493"/>
      <c r="K76" s="2493"/>
      <c r="L76" s="2493"/>
      <c r="S76" s="2424"/>
      <c r="T76" s="2409"/>
      <c r="U76" s="2409"/>
      <c r="X76" s="2485"/>
      <c r="Y76" s="2485"/>
      <c r="Z76" s="2485"/>
    </row>
    <row r="77" spans="1:26" ht="13.5" thickBot="1">
      <c r="A77" s="2421" t="s">
        <v>1174</v>
      </c>
      <c r="B77" s="2497">
        <v>106</v>
      </c>
      <c r="C77" s="2497">
        <v>107</v>
      </c>
      <c r="D77" s="2497">
        <f t="shared" si="155"/>
        <v>107</v>
      </c>
      <c r="E77" s="2497">
        <v>105</v>
      </c>
      <c r="F77" s="2498">
        <v>102</v>
      </c>
      <c r="G77" s="3406">
        <v>2002</v>
      </c>
      <c r="H77" s="2442">
        <v>4</v>
      </c>
      <c r="I77" s="2493"/>
      <c r="J77" s="2493"/>
      <c r="K77" s="2493"/>
      <c r="L77" s="2493"/>
      <c r="N77" s="2494"/>
      <c r="O77" s="2493"/>
      <c r="P77" s="2493"/>
      <c r="Q77" s="2493"/>
      <c r="S77" s="2494"/>
      <c r="T77" s="2493"/>
      <c r="U77" s="2493"/>
      <c r="V77" s="2493"/>
      <c r="X77" s="2485"/>
      <c r="Y77" s="2485"/>
      <c r="Z77" s="2485"/>
    </row>
    <row r="78" spans="1:26">
      <c r="A78" s="2421" t="s">
        <v>1175</v>
      </c>
      <c r="B78" s="2495">
        <f t="shared" ref="B78:C80" si="193">B79+(B$77-B$81)/4</f>
        <v>105</v>
      </c>
      <c r="C78" s="2495">
        <f t="shared" si="193"/>
        <v>106</v>
      </c>
      <c r="D78" s="2495">
        <f t="shared" si="155"/>
        <v>106</v>
      </c>
      <c r="E78" s="2495">
        <f t="shared" ref="E78:F80" si="194">E79+(E$77-E$81)/4</f>
        <v>104.5</v>
      </c>
      <c r="F78" s="2495">
        <f t="shared" si="194"/>
        <v>101.5</v>
      </c>
      <c r="G78" s="3407">
        <v>2002</v>
      </c>
      <c r="H78" s="2447">
        <v>3</v>
      </c>
      <c r="I78" s="2493"/>
      <c r="J78" s="2493"/>
      <c r="K78" s="2493"/>
      <c r="L78" s="2493"/>
      <c r="X78" s="2485"/>
      <c r="Y78" s="2485"/>
      <c r="Z78" s="2485"/>
    </row>
    <row r="79" spans="1:26">
      <c r="A79" s="2421" t="s">
        <v>1176</v>
      </c>
      <c r="B79" s="2495">
        <f t="shared" si="193"/>
        <v>104</v>
      </c>
      <c r="C79" s="2495">
        <f t="shared" si="193"/>
        <v>105</v>
      </c>
      <c r="D79" s="2495">
        <f t="shared" si="155"/>
        <v>105</v>
      </c>
      <c r="E79" s="2495">
        <f t="shared" si="194"/>
        <v>104</v>
      </c>
      <c r="F79" s="2495">
        <f t="shared" si="194"/>
        <v>101</v>
      </c>
      <c r="G79" s="3407">
        <v>2002</v>
      </c>
      <c r="H79" s="2434">
        <v>2</v>
      </c>
      <c r="I79" s="2493"/>
      <c r="J79" s="2493"/>
      <c r="K79" s="2493"/>
      <c r="L79" s="2493"/>
      <c r="X79" s="2485"/>
      <c r="Y79" s="2485"/>
      <c r="Z79" s="2485"/>
    </row>
    <row r="80" spans="1:26" s="2458" customFormat="1" ht="13.5" thickBot="1">
      <c r="A80" s="2454" t="s">
        <v>1177</v>
      </c>
      <c r="B80" s="2461">
        <f t="shared" si="193"/>
        <v>103</v>
      </c>
      <c r="C80" s="2461">
        <f t="shared" si="193"/>
        <v>104</v>
      </c>
      <c r="D80" s="2461">
        <f t="shared" si="155"/>
        <v>104</v>
      </c>
      <c r="E80" s="2461">
        <f t="shared" si="194"/>
        <v>103.5</v>
      </c>
      <c r="F80" s="2461">
        <f t="shared" si="194"/>
        <v>100.5</v>
      </c>
      <c r="G80" s="3408">
        <v>2002</v>
      </c>
      <c r="H80" s="2499">
        <v>1</v>
      </c>
      <c r="I80" s="2500"/>
      <c r="J80" s="2500"/>
      <c r="K80" s="2500"/>
      <c r="L80" s="2500"/>
      <c r="N80" s="2501"/>
      <c r="S80" s="2501"/>
      <c r="X80" s="2502"/>
      <c r="Y80" s="2502"/>
      <c r="Z80" s="2502"/>
    </row>
    <row r="81" spans="1:26" ht="13.5" thickBot="1">
      <c r="B81" s="2503">
        <v>102</v>
      </c>
      <c r="C81" s="2504">
        <v>103</v>
      </c>
      <c r="D81" s="2504">
        <f t="shared" si="155"/>
        <v>103</v>
      </c>
      <c r="E81" s="2504">
        <v>103</v>
      </c>
      <c r="F81" s="2505">
        <v>100</v>
      </c>
      <c r="I81" s="2493"/>
      <c r="J81" s="2493"/>
      <c r="K81" s="2493"/>
      <c r="L81" s="2493"/>
      <c r="N81" s="2494"/>
      <c r="O81" s="2493"/>
      <c r="P81" s="2493"/>
      <c r="Q81" s="2493"/>
      <c r="S81" s="2494"/>
      <c r="T81" s="2493"/>
      <c r="U81" s="2493"/>
      <c r="V81" s="2493"/>
      <c r="X81" s="2439"/>
      <c r="Y81" s="2439"/>
      <c r="Z81" s="2439"/>
    </row>
    <row r="83" spans="1:26" s="2507" customFormat="1">
      <c r="A83" s="2506" t="s">
        <v>1178</v>
      </c>
      <c r="G83" s="2508"/>
      <c r="N83" s="2508"/>
      <c r="S83" s="2508"/>
    </row>
    <row r="84" spans="1:26" s="2507" customFormat="1">
      <c r="A84" s="2507" t="s">
        <v>1179</v>
      </c>
      <c r="G84" s="2508"/>
      <c r="N84" s="2508"/>
      <c r="S84" s="2508"/>
    </row>
    <row r="85" spans="1:26" s="2507" customFormat="1">
      <c r="A85" s="2507" t="s">
        <v>1180</v>
      </c>
      <c r="G85" s="2508"/>
      <c r="I85" s="2509"/>
      <c r="J85" s="2509"/>
      <c r="K85" s="2509"/>
      <c r="L85" s="2509"/>
      <c r="N85" s="2510"/>
      <c r="O85" s="2509"/>
      <c r="P85" s="2509"/>
      <c r="Q85" s="2509"/>
      <c r="S85" s="2510"/>
      <c r="T85" s="2509"/>
      <c r="U85" s="2509"/>
      <c r="V85" s="2509"/>
    </row>
    <row r="86" spans="1:26" s="2507" customFormat="1">
      <c r="A86" s="2507" t="s">
        <v>1181</v>
      </c>
      <c r="G86" s="2508"/>
      <c r="N86" s="2508"/>
      <c r="S86" s="2508"/>
    </row>
    <row r="93" spans="1:26" ht="13.5" thickBot="1"/>
    <row r="94" spans="1:26">
      <c r="G94" s="2408"/>
      <c r="S94" s="2511" t="s">
        <v>1182</v>
      </c>
      <c r="T94" s="2512" t="s">
        <v>1183</v>
      </c>
      <c r="U94" s="2512" t="s">
        <v>1184</v>
      </c>
      <c r="V94" s="2512" t="s">
        <v>1185</v>
      </c>
    </row>
    <row r="95" spans="1:26">
      <c r="G95" s="2408"/>
      <c r="N95" s="2438"/>
      <c r="O95" s="2439"/>
      <c r="P95" s="2439"/>
      <c r="Q95" s="2439"/>
      <c r="S95" s="2513">
        <v>2006</v>
      </c>
      <c r="T95" s="2514">
        <v>15.1</v>
      </c>
      <c r="U95" s="2514">
        <v>7.43</v>
      </c>
      <c r="V95" s="2514">
        <v>26.26</v>
      </c>
    </row>
    <row r="96" spans="1:26">
      <c r="G96" s="2408"/>
      <c r="N96" s="2438"/>
      <c r="O96" s="2439"/>
      <c r="P96" s="2439"/>
      <c r="Q96" s="2439"/>
      <c r="S96" s="2515">
        <v>2005</v>
      </c>
      <c r="T96" s="2516">
        <v>13.9</v>
      </c>
      <c r="U96" s="2516">
        <v>7.49</v>
      </c>
      <c r="V96" s="2516">
        <v>24.92</v>
      </c>
    </row>
    <row r="97" spans="7:22">
      <c r="G97" s="2408"/>
      <c r="N97" s="2438"/>
      <c r="O97" s="2439"/>
      <c r="P97" s="2439"/>
      <c r="Q97" s="2439"/>
      <c r="S97" s="2513">
        <v>2004</v>
      </c>
      <c r="T97" s="2514">
        <v>9.48</v>
      </c>
      <c r="U97" s="2514">
        <v>7.2</v>
      </c>
      <c r="V97" s="2514">
        <v>14.68</v>
      </c>
    </row>
    <row r="98" spans="7:22">
      <c r="G98" s="2408"/>
      <c r="N98" s="2438"/>
      <c r="O98" s="2439"/>
      <c r="P98" s="2439"/>
      <c r="Q98" s="2439"/>
      <c r="S98" s="2515">
        <v>2003</v>
      </c>
      <c r="T98" s="2516">
        <v>4.5</v>
      </c>
      <c r="U98" s="2516">
        <v>6.12</v>
      </c>
      <c r="V98" s="2516">
        <v>2.34</v>
      </c>
    </row>
    <row r="99" spans="7:22" ht="13.5" thickBot="1">
      <c r="G99" s="2408"/>
      <c r="N99" s="2438"/>
      <c r="O99" s="2439"/>
      <c r="P99" s="2439"/>
      <c r="Q99" s="2439"/>
      <c r="S99" s="2517">
        <v>2002</v>
      </c>
      <c r="T99" s="2518">
        <v>3.59</v>
      </c>
      <c r="U99" s="2518">
        <v>4.54</v>
      </c>
      <c r="V99" s="2518">
        <v>2.5499999999999998</v>
      </c>
    </row>
    <row r="100" spans="7:22">
      <c r="G100" s="2408"/>
      <c r="N100" s="2438"/>
      <c r="O100" s="2439"/>
      <c r="P100" s="2439"/>
      <c r="Q100" s="2439"/>
    </row>
    <row r="101" spans="7:22">
      <c r="G101" s="2408"/>
      <c r="N101" s="2438"/>
      <c r="O101" s="2439"/>
      <c r="P101" s="2439"/>
      <c r="Q101" s="2439"/>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c r="S110" s="2408"/>
    </row>
    <row r="111" spans="7:22">
      <c r="G111" s="2408"/>
      <c r="N111" s="2438"/>
      <c r="O111" s="2439"/>
      <c r="P111" s="2439"/>
      <c r="Q111" s="2439"/>
      <c r="S111" s="2408"/>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1"/>
    <col min="46" max="16384" width="9" style="133"/>
  </cols>
  <sheetData>
    <row r="1" spans="1:45" ht="14.25" customHeight="1" thickBot="1">
      <c r="A1" s="149"/>
      <c r="B1" s="1111" t="s">
        <v>2823</v>
      </c>
      <c r="C1" s="3418" t="s">
        <v>2824</v>
      </c>
      <c r="D1" s="3419"/>
      <c r="E1" s="3419"/>
      <c r="F1" s="3419"/>
      <c r="G1" s="3419"/>
      <c r="H1" s="3419"/>
      <c r="I1" s="3419"/>
      <c r="J1" s="3419"/>
      <c r="K1" s="3419"/>
      <c r="L1" s="3419"/>
      <c r="M1" s="3419"/>
      <c r="N1" s="3419"/>
      <c r="O1" s="3419"/>
      <c r="P1" s="3419"/>
      <c r="Q1" s="3419"/>
      <c r="R1" s="3419"/>
      <c r="S1" s="3420"/>
      <c r="T1" s="1111" t="s">
        <v>2825</v>
      </c>
    </row>
    <row r="2" spans="1:45" s="661" customFormat="1">
      <c r="A2" s="1112"/>
      <c r="B2" s="657" t="s">
        <v>2826</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3"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114"/>
      <c r="B3" s="662"/>
      <c r="C3" s="663"/>
      <c r="D3" s="664"/>
      <c r="E3" s="664"/>
      <c r="F3" s="1472"/>
      <c r="G3" s="1472"/>
      <c r="H3" s="1472"/>
      <c r="I3" s="1472"/>
      <c r="J3" s="1472"/>
      <c r="K3" s="1472"/>
      <c r="L3" s="1473"/>
      <c r="M3" s="1474"/>
      <c r="N3" s="1474"/>
      <c r="O3" s="1472"/>
      <c r="P3" s="1472"/>
      <c r="Q3" s="1472"/>
      <c r="R3" s="1472"/>
      <c r="S3" s="1475"/>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5" thickBot="1">
      <c r="A4" s="1115"/>
      <c r="B4" s="1116"/>
      <c r="C4" s="1117"/>
      <c r="D4" s="1118"/>
      <c r="E4" s="1118"/>
      <c r="F4" s="1476"/>
      <c r="G4" s="1476"/>
      <c r="H4" s="1476"/>
      <c r="I4" s="1476"/>
      <c r="J4" s="1476"/>
      <c r="K4" s="1476"/>
      <c r="L4" s="1476"/>
      <c r="M4" s="1477"/>
      <c r="N4" s="1477"/>
      <c r="O4" s="1476"/>
      <c r="P4" s="1476"/>
      <c r="Q4" s="1476"/>
      <c r="R4" s="1476"/>
      <c r="S4" s="1478"/>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c r="A5" s="1122"/>
      <c r="B5" s="1505" t="s">
        <v>2827</v>
      </c>
      <c r="C5" s="1123"/>
      <c r="D5" s="1124"/>
      <c r="E5" s="1124"/>
      <c r="F5" s="1479"/>
      <c r="G5" s="1479"/>
      <c r="H5" s="1479"/>
      <c r="I5" s="1479"/>
      <c r="J5" s="1479"/>
      <c r="K5" s="1479"/>
      <c r="L5" s="1480"/>
      <c r="M5" s="1481"/>
      <c r="N5" s="1481"/>
      <c r="O5" s="1479"/>
      <c r="P5" s="1479"/>
      <c r="Q5" s="1479"/>
      <c r="R5" s="1479"/>
      <c r="S5" s="1482"/>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22"/>
      <c r="B6" s="1027"/>
      <c r="C6" s="1033">
        <v>100</v>
      </c>
      <c r="D6" s="1030">
        <f>C6-$T5</f>
        <v>100</v>
      </c>
      <c r="E6" s="1030">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22"/>
      <c r="B7" s="1506" t="s">
        <v>2828</v>
      </c>
      <c r="C7" s="1032"/>
      <c r="D7" s="1026"/>
      <c r="E7" s="1026"/>
      <c r="F7" s="1484"/>
      <c r="G7" s="1484"/>
      <c r="H7" s="1484"/>
      <c r="I7" s="1484"/>
      <c r="J7" s="1484"/>
      <c r="K7" s="1484"/>
      <c r="L7" s="1484"/>
      <c r="M7" s="1485"/>
      <c r="N7" s="1486"/>
      <c r="O7" s="1487"/>
      <c r="P7" s="1488"/>
      <c r="Q7" s="1489"/>
      <c r="R7" s="1490"/>
      <c r="S7" s="1491"/>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22"/>
      <c r="B8" s="1027"/>
      <c r="C8" s="1033">
        <v>100</v>
      </c>
      <c r="D8" s="1030">
        <f>C8-$T7</f>
        <v>100</v>
      </c>
      <c r="E8" s="1030">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22"/>
      <c r="B9" s="1506" t="s">
        <v>2829</v>
      </c>
      <c r="C9" s="1032"/>
      <c r="D9" s="1026"/>
      <c r="E9" s="1026"/>
      <c r="F9" s="1484"/>
      <c r="G9" s="1484"/>
      <c r="H9" s="1484"/>
      <c r="I9" s="1484"/>
      <c r="J9" s="1484"/>
      <c r="K9" s="1484"/>
      <c r="L9" s="1492"/>
      <c r="M9" s="1485"/>
      <c r="N9" s="1486"/>
      <c r="O9" s="1487"/>
      <c r="P9" s="1488"/>
      <c r="Q9" s="1489"/>
      <c r="R9" s="1490"/>
      <c r="S9" s="1491"/>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22"/>
      <c r="B10" s="1116"/>
      <c r="C10" s="1127">
        <v>100</v>
      </c>
      <c r="D10" s="1128">
        <f>C10-$T9</f>
        <v>100</v>
      </c>
      <c r="E10" s="1128">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22"/>
      <c r="B11" s="1505" t="s">
        <v>2830</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22"/>
      <c r="B13" s="1505" t="s">
        <v>2831</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22"/>
      <c r="B15" s="1505" t="s">
        <v>2832</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62" t="s">
        <v>2833</v>
      </c>
      <c r="B17" s="2363" t="s">
        <v>2834</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1"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2"/>
      <c r="B19" s="162"/>
      <c r="C19" s="162"/>
      <c r="D19" s="2364" t="s">
        <v>2835</v>
      </c>
      <c r="E19" s="1523"/>
      <c r="F19" s="1523"/>
      <c r="G19" s="1523"/>
      <c r="H19" s="1187"/>
      <c r="I19" s="162"/>
      <c r="J19" s="162"/>
      <c r="K19" s="162"/>
      <c r="L19" s="162"/>
      <c r="M19" s="162"/>
      <c r="N19" s="162"/>
      <c r="O19" s="162"/>
      <c r="P19" s="162"/>
      <c r="Q19" s="162"/>
      <c r="R19" s="724"/>
      <c r="S19" s="132"/>
    </row>
    <row r="20" spans="1:45" ht="16.5" thickBot="1">
      <c r="A20" s="669" t="s">
        <v>2836</v>
      </c>
      <c r="B20" s="298" t="e">
        <f ca="1">IF(D20="——",S22,S22-F20)</f>
        <v>#REF!</v>
      </c>
      <c r="C20" s="162"/>
      <c r="D20" s="2365"/>
      <c r="E20" s="1524"/>
      <c r="F20" s="1111" t="e">
        <f ca="1">SUMIF(INDIRECT("'"&amp;H20&amp;"'"&amp;"!A:A"),"承租人权益价值",INDIRECT("'"&amp;H20&amp;"'"&amp;"!c:c"))</f>
        <v>#REF!</v>
      </c>
      <c r="G20" s="1111" t="s">
        <v>2837</v>
      </c>
      <c r="H20" s="2366"/>
      <c r="I20" s="162"/>
      <c r="J20" s="162"/>
      <c r="K20" s="162"/>
      <c r="L20" s="162"/>
      <c r="M20" s="162"/>
      <c r="N20" s="162"/>
      <c r="O20" s="162"/>
      <c r="P20" s="162"/>
      <c r="Q20" s="162"/>
      <c r="R20" s="724"/>
      <c r="S20" s="132"/>
    </row>
    <row r="21" spans="1:45" ht="15.75">
      <c r="A21" s="669" t="s">
        <v>2838</v>
      </c>
      <c r="B21" s="298" t="e">
        <f ca="1">ROUND(B20*10000/B22,0)</f>
        <v>#REF!</v>
      </c>
      <c r="C21" s="162"/>
      <c r="D21" s="162"/>
      <c r="E21" s="162"/>
      <c r="F21" s="162"/>
      <c r="G21" s="162"/>
      <c r="H21" s="162"/>
      <c r="I21" s="162"/>
      <c r="J21" s="162"/>
      <c r="K21" s="162"/>
      <c r="L21" s="162"/>
      <c r="M21" s="162"/>
      <c r="N21" s="162"/>
      <c r="O21" s="162"/>
      <c r="P21" s="162"/>
      <c r="Q21" s="162"/>
      <c r="R21" s="724"/>
      <c r="S21" s="132"/>
    </row>
    <row r="22" spans="1:45">
      <c r="A22" s="320" t="s">
        <v>2839</v>
      </c>
      <c r="B22" s="24">
        <f>SUM(B24:B10000)</f>
        <v>100</v>
      </c>
      <c r="C22" s="3415" t="s">
        <v>33</v>
      </c>
      <c r="D22" s="3416"/>
      <c r="E22" s="3416"/>
      <c r="F22" s="3416"/>
      <c r="G22" s="3416"/>
      <c r="H22" s="3416"/>
      <c r="I22" s="3416"/>
      <c r="J22" s="3416"/>
      <c r="K22" s="3416"/>
      <c r="L22" s="3416"/>
      <c r="M22" s="3416"/>
      <c r="N22" s="3416"/>
      <c r="O22" s="3416"/>
      <c r="P22" s="3416"/>
      <c r="Q22" s="3417"/>
      <c r="R22" s="670">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1" t="s">
        <v>2843</v>
      </c>
      <c r="S23" s="11" t="s">
        <v>2844</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6" customFormat="1">
      <c r="A24" s="672" t="s">
        <v>2845</v>
      </c>
      <c r="B24" s="672">
        <v>100</v>
      </c>
      <c r="C24" s="3039">
        <v>1</v>
      </c>
      <c r="D24" s="3040"/>
      <c r="E24" s="3039">
        <v>1</v>
      </c>
      <c r="F24" s="3040"/>
      <c r="G24" s="3039">
        <v>1</v>
      </c>
      <c r="H24" s="3040"/>
      <c r="I24" s="3039">
        <v>1</v>
      </c>
      <c r="J24" s="3040"/>
      <c r="K24" s="3039">
        <v>1</v>
      </c>
      <c r="L24" s="3040"/>
      <c r="M24" s="3039">
        <v>1</v>
      </c>
      <c r="N24" s="3040"/>
      <c r="O24" s="3039">
        <v>1</v>
      </c>
      <c r="P24" s="3040"/>
      <c r="Q24" s="3039">
        <v>1</v>
      </c>
      <c r="R24" s="675">
        <v>10000</v>
      </c>
      <c r="S24" s="673">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76170</v>
      </c>
      <c r="C2" s="2" t="s">
        <v>133</v>
      </c>
      <c r="D2" s="203"/>
      <c r="E2" s="203"/>
      <c r="F2" s="203"/>
      <c r="G2" s="203"/>
    </row>
    <row r="3" spans="1:7" s="204" customFormat="1" ht="18" customHeight="1" thickBot="1">
      <c r="A3" s="207" t="s">
        <v>85</v>
      </c>
      <c r="B3" s="208">
        <f ca="1">ROUND(B2*10000/'数据-汇总表'!E3,0)</f>
        <v>4746</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3" t="s">
        <v>791</v>
      </c>
      <c r="B6" s="219" t="s">
        <v>91</v>
      </c>
      <c r="C6" s="220">
        <v>20000</v>
      </c>
      <c r="D6" s="221"/>
      <c r="E6" s="222"/>
      <c r="F6" s="222"/>
      <c r="G6" s="223"/>
    </row>
    <row r="7" spans="1:7" s="218" customFormat="1" ht="13.5" customHeight="1">
      <c r="A7" s="883" t="s">
        <v>792</v>
      </c>
      <c r="B7" s="219" t="s">
        <v>57</v>
      </c>
      <c r="C7" s="224">
        <f>ROUND(C6*F7,0)</f>
        <v>610</v>
      </c>
      <c r="D7" s="224"/>
      <c r="E7" s="222"/>
      <c r="F7" s="225">
        <f>'数据-取费表'!B48+'数据-取费表'!B49</f>
        <v>3.0499999999999999E-2</v>
      </c>
      <c r="G7" s="223"/>
    </row>
    <row r="8" spans="1:7" s="227" customFormat="1">
      <c r="A8" s="883" t="s">
        <v>793</v>
      </c>
      <c r="B8" s="219" t="s">
        <v>92</v>
      </c>
      <c r="C8" s="224" t="str">
        <f>IF(G8="已包含在土地购买价格中","0",'数据-取费表'!B29)</f>
        <v>0</v>
      </c>
      <c r="D8" s="226"/>
      <c r="E8" s="224"/>
      <c r="F8" s="225"/>
      <c r="G8" s="1" t="s">
        <v>1116</v>
      </c>
    </row>
    <row r="9" spans="1:7" s="218" customFormat="1" ht="13.5" customHeight="1">
      <c r="A9" s="884" t="s">
        <v>800</v>
      </c>
      <c r="B9" s="228" t="s">
        <v>93</v>
      </c>
      <c r="C9" s="229">
        <f>ROUND(D9*E9/10000,0)</f>
        <v>0</v>
      </c>
      <c r="D9" s="951">
        <f>'数据-汇总表'!E5</f>
        <v>0</v>
      </c>
      <c r="E9" s="229">
        <f>'数据-取费表'!B27</f>
        <v>160</v>
      </c>
      <c r="F9" s="225"/>
      <c r="G9" s="230"/>
    </row>
    <row r="10" spans="1:7" s="218" customFormat="1" ht="13.5" customHeight="1">
      <c r="A10" s="884" t="s">
        <v>801</v>
      </c>
      <c r="B10" s="228" t="s">
        <v>94</v>
      </c>
      <c r="C10" s="229">
        <f>ROUND(D10*E10/10000,0)</f>
        <v>3210</v>
      </c>
      <c r="D10" s="951">
        <f>'数据-汇总表'!E6</f>
        <v>160498.87</v>
      </c>
      <c r="E10" s="229">
        <f>'数据-取费表'!B28</f>
        <v>200</v>
      </c>
      <c r="F10" s="225"/>
      <c r="G10" s="230"/>
    </row>
    <row r="11" spans="1:7" s="218" customFormat="1" ht="13.5" hidden="1" customHeight="1">
      <c r="A11" s="231" t="s">
        <v>7</v>
      </c>
      <c r="B11" s="219" t="s">
        <v>95</v>
      </c>
      <c r="C11" s="215"/>
      <c r="D11" s="953"/>
      <c r="E11" s="222"/>
      <c r="F11" s="222"/>
      <c r="G11" s="223"/>
    </row>
    <row r="12" spans="1:7" s="218" customFormat="1" ht="13.5" hidden="1" customHeight="1">
      <c r="A12" s="231" t="s">
        <v>8</v>
      </c>
      <c r="B12" s="219" t="s">
        <v>96</v>
      </c>
      <c r="C12" s="215">
        <v>0</v>
      </c>
      <c r="D12" s="953"/>
      <c r="E12" s="232"/>
      <c r="F12" s="225">
        <v>3.0499999999999999E-2</v>
      </c>
      <c r="G12" s="223"/>
    </row>
    <row r="13" spans="1:7" s="218" customFormat="1" ht="13.5" hidden="1" customHeight="1">
      <c r="A13" s="231" t="s">
        <v>9</v>
      </c>
      <c r="B13" s="219" t="s">
        <v>97</v>
      </c>
      <c r="C13" s="215"/>
      <c r="D13" s="953"/>
      <c r="E13" s="222"/>
      <c r="F13" s="222"/>
      <c r="G13" s="223"/>
    </row>
    <row r="14" spans="1:7" s="218" customFormat="1" ht="13.5" hidden="1" customHeight="1">
      <c r="A14" s="231" t="s">
        <v>10</v>
      </c>
      <c r="B14" s="219" t="s">
        <v>92</v>
      </c>
      <c r="C14" s="215"/>
      <c r="D14" s="953"/>
      <c r="E14" s="222"/>
      <c r="F14" s="222"/>
      <c r="G14" s="223" t="s">
        <v>98</v>
      </c>
    </row>
    <row r="15" spans="1:7" s="218" customFormat="1" ht="13.5" hidden="1" customHeight="1">
      <c r="A15" s="231" t="s">
        <v>11</v>
      </c>
      <c r="B15" s="219" t="s">
        <v>99</v>
      </c>
      <c r="C15" s="224"/>
      <c r="D15" s="953"/>
      <c r="E15" s="222"/>
      <c r="F15" s="222"/>
      <c r="G15" s="223" t="s">
        <v>100</v>
      </c>
    </row>
    <row r="16" spans="1:7" s="218" customFormat="1" ht="13.5" hidden="1" customHeight="1">
      <c r="A16" s="231" t="s">
        <v>12</v>
      </c>
      <c r="B16" s="219" t="s">
        <v>92</v>
      </c>
      <c r="C16" s="224"/>
      <c r="D16" s="953"/>
      <c r="E16" s="222"/>
      <c r="F16" s="222"/>
      <c r="G16" s="223"/>
    </row>
    <row r="17" spans="1:7" s="218" customFormat="1" ht="13.5" hidden="1" customHeight="1">
      <c r="A17" s="231" t="s">
        <v>13</v>
      </c>
      <c r="B17" s="219" t="s">
        <v>101</v>
      </c>
      <c r="C17" s="233"/>
      <c r="D17" s="954"/>
      <c r="E17" s="233"/>
      <c r="F17" s="233"/>
      <c r="G17" s="223" t="s">
        <v>100</v>
      </c>
    </row>
    <row r="18" spans="1:7" s="218" customFormat="1" ht="13.5" hidden="1" customHeight="1">
      <c r="A18" s="231" t="s">
        <v>14</v>
      </c>
      <c r="B18" s="219" t="s">
        <v>102</v>
      </c>
      <c r="C18" s="224">
        <v>0</v>
      </c>
      <c r="D18" s="953"/>
      <c r="E18" s="222"/>
      <c r="F18" s="225">
        <v>3.0499999999999999E-2</v>
      </c>
      <c r="G18" s="223" t="s">
        <v>103</v>
      </c>
    </row>
    <row r="19" spans="1:7" s="227" customFormat="1" ht="13.5" customHeight="1">
      <c r="A19" s="882" t="s">
        <v>1023</v>
      </c>
      <c r="B19" s="214" t="s">
        <v>111</v>
      </c>
      <c r="C19" s="215">
        <f>IF(G19="已包含在土地取得成本中","0",ROUND(D19*E19/10000,0))</f>
        <v>3210</v>
      </c>
      <c r="D19" s="955">
        <f>'数据-汇总表'!E3</f>
        <v>160498.87</v>
      </c>
      <c r="E19" s="215">
        <f>'数据-取费表'!B31</f>
        <v>200</v>
      </c>
      <c r="F19" s="235"/>
      <c r="G19" s="1" t="s">
        <v>1042</v>
      </c>
    </row>
    <row r="20" spans="1:7" s="218" customFormat="1" ht="13.5" customHeight="1">
      <c r="A20" s="882" t="s">
        <v>1025</v>
      </c>
      <c r="B20" s="214" t="s">
        <v>104</v>
      </c>
      <c r="C20" s="236">
        <f>ROUND((C5+C19)*F20,0)</f>
        <v>476</v>
      </c>
      <c r="D20" s="236"/>
      <c r="E20" s="236"/>
      <c r="F20" s="237">
        <f>'数据-取费表'!B37</f>
        <v>0.02</v>
      </c>
      <c r="G20" s="1196" t="s">
        <v>1036</v>
      </c>
    </row>
    <row r="21" spans="1:7" s="218" customFormat="1" ht="13.5" customHeight="1">
      <c r="A21" s="882" t="s">
        <v>1027</v>
      </c>
      <c r="B21" s="214" t="s">
        <v>105</v>
      </c>
      <c r="C21" s="239">
        <f>F21</f>
        <v>0.02</v>
      </c>
      <c r="D21" s="240" t="s">
        <v>126</v>
      </c>
      <c r="E21" s="236"/>
      <c r="F21" s="237">
        <f>'数据-取费表'!B38</f>
        <v>0.02</v>
      </c>
      <c r="G21" s="238" t="s">
        <v>106</v>
      </c>
    </row>
    <row r="22" spans="1:7" s="218" customFormat="1" ht="13.5" customHeight="1">
      <c r="A22" s="882" t="s">
        <v>786</v>
      </c>
      <c r="B22" s="214" t="s">
        <v>107</v>
      </c>
      <c r="C22" s="1261">
        <f ca="1">ROUND(SUM(C23:C25),0)</f>
        <v>1438</v>
      </c>
      <c r="D22" s="239">
        <f ca="1">C26</f>
        <v>5.9999999999999995E-4</v>
      </c>
      <c r="E22" s="240" t="s">
        <v>126</v>
      </c>
      <c r="F22" s="241">
        <f ca="1">'数据-取费表'!B40</f>
        <v>4.7500000000000001E-2</v>
      </c>
      <c r="G22" s="1196" t="str">
        <f>IF('数据-取费表'!B22&lt;=1,"单利计息","复利计息")</f>
        <v>复利计息</v>
      </c>
    </row>
    <row r="23" spans="1:7" s="218" customFormat="1" ht="13.5" customHeight="1">
      <c r="A23" s="885" t="s">
        <v>794</v>
      </c>
      <c r="B23" s="219" t="s">
        <v>1029</v>
      </c>
      <c r="C23" s="1262">
        <f ca="1">ROUND(IF('数据-取费表'!B22&lt;=1,C5*F22*'数据-取费表'!B23,C5*(POWER((1+F22),'数据-取费表'!B23)-1)),0)</f>
        <v>1232</v>
      </c>
      <c r="D23" s="242"/>
      <c r="E23" s="242"/>
      <c r="F23" s="243"/>
      <c r="G23" s="244" t="s">
        <v>108</v>
      </c>
    </row>
    <row r="24" spans="1:7" s="218" customFormat="1" ht="13.5" customHeight="1">
      <c r="A24" s="885" t="s">
        <v>792</v>
      </c>
      <c r="B24" s="219" t="s">
        <v>1024</v>
      </c>
      <c r="C24" s="1262">
        <f ca="1">ROUND(IF('数据-取费表'!B22&lt;=1,C19*F22*('数据-取费表'!B19/2+'数据-取费表'!B21),C19*(POWER((1+F22),('数据-取费表'!B19/2+'数据-取费表'!B21))-1)),0)</f>
        <v>192</v>
      </c>
      <c r="D24" s="242"/>
      <c r="E24" s="242"/>
      <c r="F24" s="243"/>
      <c r="G24" s="244" t="s">
        <v>109</v>
      </c>
    </row>
    <row r="25" spans="1:7" s="218" customFormat="1" ht="24">
      <c r="A25" s="885" t="s">
        <v>793</v>
      </c>
      <c r="B25" s="219" t="s">
        <v>1026</v>
      </c>
      <c r="C25" s="1262">
        <f ca="1">ROUND(IF('数据-取费表'!B22&lt;=1,C20*F22*'数据-取费表'!B23/2,C20*(POWER((1+F22),'数据-取费表'!B23/2)-1)),0)</f>
        <v>14</v>
      </c>
      <c r="D25" s="242"/>
      <c r="E25" s="245"/>
      <c r="F25" s="243"/>
      <c r="G25" s="246" t="s">
        <v>110</v>
      </c>
    </row>
    <row r="26" spans="1:7" s="218" customFormat="1">
      <c r="A26" s="885" t="s">
        <v>795</v>
      </c>
      <c r="B26" s="219" t="s">
        <v>1028</v>
      </c>
      <c r="C26" s="242">
        <f ca="1">ROUND(IF('数据-取费表'!B22&lt;=1,F21*F22*'数据-取费表'!B23/2,F21*(POWER((1+F22),'数据-取费表'!B23/2)-1)),4)</f>
        <v>5.9999999999999995E-4</v>
      </c>
      <c r="D26" s="242"/>
      <c r="E26" s="245"/>
      <c r="F26" s="243"/>
      <c r="G26" s="247"/>
    </row>
    <row r="27" spans="1:7" s="218" customFormat="1" ht="24.75">
      <c r="A27" s="882" t="s">
        <v>787</v>
      </c>
      <c r="B27" s="248" t="s">
        <v>112</v>
      </c>
      <c r="C27" s="249">
        <f>C28</f>
        <v>1722</v>
      </c>
      <c r="D27" s="239">
        <f>C29</f>
        <v>1.4E-3</v>
      </c>
      <c r="E27" s="240" t="s">
        <v>126</v>
      </c>
      <c r="F27" s="250">
        <f>'数据-取费表'!Q16</f>
        <v>0.17</v>
      </c>
      <c r="G27" s="251" t="s">
        <v>1037</v>
      </c>
    </row>
    <row r="28" spans="1:7" s="218" customFormat="1" ht="13.5" customHeight="1">
      <c r="A28" s="885" t="s">
        <v>794</v>
      </c>
      <c r="B28" s="252" t="s">
        <v>1030</v>
      </c>
      <c r="C28" s="253">
        <f>ROUND((C5+C19+C20)*F27*'数据-取费表'!B21/'数据-取费表'!B20,0)</f>
        <v>1722</v>
      </c>
      <c r="D28" s="239"/>
      <c r="E28" s="240"/>
      <c r="F28" s="250"/>
      <c r="G28" s="251"/>
    </row>
    <row r="29" spans="1:7" s="218" customFormat="1" ht="13.5" customHeight="1">
      <c r="A29" s="885" t="s">
        <v>792</v>
      </c>
      <c r="B29" s="252" t="s">
        <v>1031</v>
      </c>
      <c r="C29" s="242">
        <f>ROUND(C21*F27*'数据-取费表'!B21/'数据-取费表'!B20,4)</f>
        <v>1.4E-3</v>
      </c>
      <c r="D29" s="239"/>
      <c r="E29" s="240"/>
      <c r="F29" s="250"/>
      <c r="G29" s="251"/>
    </row>
    <row r="30" spans="1:7" s="218" customFormat="1" ht="13.5" customHeight="1">
      <c r="A30" s="882" t="s">
        <v>788</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29693</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35051</v>
      </c>
      <c r="D33" s="236"/>
      <c r="E33" s="216"/>
      <c r="F33" s="245"/>
      <c r="G33" s="238"/>
    </row>
    <row r="34" spans="1:7" s="262" customFormat="1" ht="13.5" customHeight="1">
      <c r="A34" s="885" t="s">
        <v>794</v>
      </c>
      <c r="B34" s="219" t="s">
        <v>59</v>
      </c>
      <c r="C34" s="224">
        <f>IF(F34=100%,'数据-取费表'!M16-SUMIF('数据-取费表'!C:C,"公共配套",'数据-取费表'!M:M),'数据-取费表'!O16-SUMIF('数据-取费表'!C:C,"公共配套",'数据-取费表'!O:O))</f>
        <v>31027</v>
      </c>
      <c r="D34" s="221"/>
      <c r="E34" s="224"/>
      <c r="F34" s="261">
        <f>IF('数据-取费表'!B24=0,1,'数据-取费表'!N16)</f>
        <v>0.41699999999999998</v>
      </c>
      <c r="G34" s="223" t="s">
        <v>116</v>
      </c>
    </row>
    <row r="35" spans="1:7" ht="13.5" customHeight="1">
      <c r="A35" s="885" t="s">
        <v>796</v>
      </c>
      <c r="B35" s="219" t="s">
        <v>60</v>
      </c>
      <c r="C35" s="224">
        <f>ROUND(C34*F35,0)</f>
        <v>1551</v>
      </c>
      <c r="D35" s="224"/>
      <c r="E35" s="224"/>
      <c r="F35" s="263">
        <f>'数据-取费表'!B33</f>
        <v>0.05</v>
      </c>
      <c r="G35" s="223" t="s">
        <v>117</v>
      </c>
    </row>
    <row r="36" spans="1:7" ht="24">
      <c r="A36" s="885"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0.05</v>
      </c>
      <c r="G36" s="264" t="s">
        <v>62</v>
      </c>
    </row>
    <row r="37" spans="1:7" s="262" customFormat="1" ht="13.5" customHeight="1">
      <c r="A37" s="885" t="s">
        <v>798</v>
      </c>
      <c r="B37" s="219" t="s">
        <v>118</v>
      </c>
      <c r="C37" s="253">
        <f>ROUND(E37*D37*F34/10000,0)</f>
        <v>2008</v>
      </c>
      <c r="D37" s="221">
        <f>'数据-汇总表'!E3</f>
        <v>160498.87</v>
      </c>
      <c r="E37" s="253">
        <f>'数据-取费表'!B35</f>
        <v>300</v>
      </c>
      <c r="F37" s="263"/>
      <c r="G37" s="265" t="s">
        <v>119</v>
      </c>
    </row>
    <row r="38" spans="1:7" ht="13.5" customHeight="1">
      <c r="A38" s="885" t="s">
        <v>799</v>
      </c>
      <c r="B38" s="219" t="s">
        <v>63</v>
      </c>
      <c r="C38" s="224">
        <f>ROUND(C34*F38,0)</f>
        <v>465</v>
      </c>
      <c r="D38" s="224"/>
      <c r="E38" s="224"/>
      <c r="F38" s="263">
        <f>'数据-取费表'!B36</f>
        <v>1.4999999999999999E-2</v>
      </c>
      <c r="G38" s="223" t="s">
        <v>117</v>
      </c>
    </row>
    <row r="39" spans="1:7" s="218" customFormat="1" ht="13.5" customHeight="1">
      <c r="A39" s="882" t="s">
        <v>783</v>
      </c>
      <c r="B39" s="214" t="s">
        <v>104</v>
      </c>
      <c r="C39" s="236">
        <f>ROUND(C33*F20,0)</f>
        <v>701</v>
      </c>
      <c r="D39" s="236"/>
      <c r="E39" s="236"/>
      <c r="F39" s="237"/>
      <c r="G39" s="1196" t="s">
        <v>1039</v>
      </c>
    </row>
    <row r="40" spans="1:7" s="218" customFormat="1" ht="13.5" customHeight="1">
      <c r="A40" s="882" t="s">
        <v>784</v>
      </c>
      <c r="B40" s="214" t="s">
        <v>105</v>
      </c>
      <c r="C40" s="266">
        <f>F21</f>
        <v>0.02</v>
      </c>
      <c r="D40" s="240" t="s">
        <v>129</v>
      </c>
      <c r="E40" s="236"/>
      <c r="F40" s="237"/>
      <c r="G40" s="238" t="s">
        <v>120</v>
      </c>
    </row>
    <row r="41" spans="1:7" s="218" customFormat="1" ht="13.5" customHeight="1">
      <c r="A41" s="882" t="s">
        <v>785</v>
      </c>
      <c r="B41" s="214" t="s">
        <v>107</v>
      </c>
      <c r="C41" s="236">
        <f ca="1">ROUND(SUM(C42:C43),0)</f>
        <v>1053</v>
      </c>
      <c r="D41" s="239">
        <f ca="1">C44</f>
        <v>5.9999999999999995E-4</v>
      </c>
      <c r="E41" s="240" t="s">
        <v>129</v>
      </c>
      <c r="F41" s="241"/>
      <c r="G41" s="1196" t="str">
        <f>IF('数据-取费表'!B22&lt;=1,"单利计息","复利计息")</f>
        <v>复利计息</v>
      </c>
    </row>
    <row r="42" spans="1:7" ht="13.5" customHeight="1">
      <c r="A42" s="885" t="s">
        <v>794</v>
      </c>
      <c r="B42" s="219" t="s">
        <v>1029</v>
      </c>
      <c r="C42" s="242">
        <f ca="1">ROUND(IF('数据-取费表'!B22&lt;=1,C33*F22*'数据-取费表'!B21/2,C33*(POWER((1+F22),'数据-取费表'!B21/2)-1)),0)</f>
        <v>1032</v>
      </c>
      <c r="D42" s="242"/>
      <c r="E42" s="242"/>
      <c r="F42" s="243"/>
      <c r="G42" s="3275" t="s">
        <v>121</v>
      </c>
    </row>
    <row r="43" spans="1:7" ht="13.5" customHeight="1">
      <c r="A43" s="885" t="s">
        <v>792</v>
      </c>
      <c r="B43" s="219" t="s">
        <v>1032</v>
      </c>
      <c r="C43" s="242">
        <f ca="1">ROUND(IF('数据-取费表'!B22&lt;=1,C39*F22*'数据-取费表'!B21/2,C39*(POWER((1+F22),'数据-取费表'!B21/2)-1)),0)</f>
        <v>21</v>
      </c>
      <c r="D43" s="242"/>
      <c r="E43" s="242"/>
      <c r="F43" s="243"/>
      <c r="G43" s="3276"/>
    </row>
    <row r="44" spans="1:7" ht="13.5" customHeight="1">
      <c r="A44" s="885" t="s">
        <v>793</v>
      </c>
      <c r="B44" s="219" t="s">
        <v>1034</v>
      </c>
      <c r="C44" s="242">
        <f ca="1">ROUND(IF('数据-取费表'!B22&lt;=1,C40*F22*'数据-取费表'!B21/2,C40*(POWER((1+F22),'数据-取费表'!B21/2)-1)),4)</f>
        <v>5.9999999999999995E-4</v>
      </c>
      <c r="D44" s="242"/>
      <c r="E44" s="242"/>
      <c r="F44" s="243"/>
      <c r="G44" s="3277"/>
    </row>
    <row r="45" spans="1:7" s="218" customFormat="1" ht="13.5" customHeight="1">
      <c r="A45" s="882" t="s">
        <v>786</v>
      </c>
      <c r="B45" s="248" t="s">
        <v>112</v>
      </c>
      <c r="C45" s="249">
        <f>C46</f>
        <v>6078</v>
      </c>
      <c r="D45" s="239">
        <f>C47</f>
        <v>3.3999999999999998E-3</v>
      </c>
      <c r="E45" s="240" t="s">
        <v>129</v>
      </c>
      <c r="F45" s="250"/>
      <c r="G45" s="251" t="s">
        <v>1040</v>
      </c>
    </row>
    <row r="46" spans="1:7" s="218" customFormat="1" ht="13.5" customHeight="1">
      <c r="A46" s="885" t="s">
        <v>794</v>
      </c>
      <c r="B46" s="252" t="s">
        <v>1033</v>
      </c>
      <c r="C46" s="253">
        <f>ROUND((C33+C39)*F27,0)</f>
        <v>6078</v>
      </c>
      <c r="D46" s="267"/>
      <c r="E46" s="240"/>
      <c r="F46" s="250"/>
      <c r="G46" s="251"/>
    </row>
    <row r="47" spans="1:7" s="218" customFormat="1" ht="13.5" customHeight="1">
      <c r="A47" s="885" t="s">
        <v>792</v>
      </c>
      <c r="B47" s="252" t="s">
        <v>1035</v>
      </c>
      <c r="C47" s="242">
        <f>ROUND(C40*F27,4)</f>
        <v>3.3999999999999998E-3</v>
      </c>
      <c r="D47" s="267"/>
      <c r="E47" s="240"/>
      <c r="F47" s="250"/>
      <c r="G47" s="251"/>
    </row>
    <row r="48" spans="1:7" s="218" customFormat="1" ht="13.5" customHeight="1">
      <c r="A48" s="882" t="s">
        <v>787</v>
      </c>
      <c r="B48" s="214" t="s">
        <v>122</v>
      </c>
      <c r="C48" s="266">
        <f>F30</f>
        <v>5.6000000000000001E-2</v>
      </c>
      <c r="D48" s="240" t="s">
        <v>130</v>
      </c>
      <c r="E48" s="236"/>
      <c r="F48" s="241"/>
      <c r="G48" s="238" t="s">
        <v>123</v>
      </c>
    </row>
    <row r="49" spans="1:7" ht="16.5" customHeight="1">
      <c r="A49" s="882" t="s">
        <v>788</v>
      </c>
      <c r="B49" s="214" t="s">
        <v>131</v>
      </c>
      <c r="C49" s="236">
        <f ca="1">ROUND((C33+C39+C41+C45)/(1-C40-D41-D45-C48/(1+'数据-取费表'!B42)),0)</f>
        <v>46477</v>
      </c>
      <c r="D49" s="236"/>
      <c r="E49" s="236"/>
      <c r="F49" s="268"/>
      <c r="G49" s="238" t="s">
        <v>1041</v>
      </c>
    </row>
    <row r="50" spans="1:7" s="262" customFormat="1" ht="24">
      <c r="A50" s="882" t="s">
        <v>789</v>
      </c>
      <c r="B50" s="214" t="s">
        <v>124</v>
      </c>
      <c r="C50" s="236"/>
      <c r="D50" s="236"/>
      <c r="E50" s="236"/>
      <c r="F50" s="268">
        <f>IF('数据-取费表'!B24=0,'数据-取费表'!N16,1)</f>
        <v>1</v>
      </c>
      <c r="G50" s="251" t="s">
        <v>125</v>
      </c>
    </row>
    <row r="51" spans="1:7" ht="16.5" customHeight="1">
      <c r="A51" s="882" t="s">
        <v>790</v>
      </c>
      <c r="B51" s="214" t="s">
        <v>132</v>
      </c>
      <c r="C51" s="236">
        <f ca="1">ROUND(C49*F50,0)</f>
        <v>46477</v>
      </c>
      <c r="D51" s="236"/>
      <c r="E51" s="236"/>
      <c r="F51" s="268"/>
      <c r="G51" s="238" t="s">
        <v>64</v>
      </c>
    </row>
    <row r="52" spans="1:7" s="212" customFormat="1" ht="16.5" thickBot="1">
      <c r="A52" s="269" t="s">
        <v>65</v>
      </c>
      <c r="B52" s="270"/>
      <c r="C52" s="271">
        <f ca="1">C31+C51</f>
        <v>76170</v>
      </c>
      <c r="D52" s="270"/>
      <c r="E52" s="270"/>
      <c r="F52" s="270"/>
      <c r="G52" s="272"/>
    </row>
    <row r="55" spans="1:7" ht="15">
      <c r="B55" s="274" t="s">
        <v>66</v>
      </c>
      <c r="C55" s="275"/>
    </row>
    <row r="56" spans="1:7">
      <c r="B56" s="277" t="s">
        <v>67</v>
      </c>
      <c r="C56" s="278">
        <f ca="1">ROUND(C51/C52,3)</f>
        <v>0.61</v>
      </c>
    </row>
    <row r="57" spans="1:7">
      <c r="B57" s="277" t="s">
        <v>68</v>
      </c>
      <c r="C57" s="279">
        <f ca="1">1-C56</f>
        <v>0.39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21" t="s">
        <v>156</v>
      </c>
      <c r="B1" s="3421"/>
      <c r="C1" s="3421"/>
      <c r="D1" s="3421"/>
      <c r="E1" s="3421"/>
      <c r="F1" s="3421"/>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22" t="s">
        <v>169</v>
      </c>
      <c r="B2" s="3422"/>
      <c r="C2" s="3422"/>
      <c r="D2" s="3422"/>
      <c r="E2" s="3422"/>
      <c r="F2" s="3422"/>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23"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24"/>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21" t="s">
        <v>839</v>
      </c>
      <c r="B1" s="3421"/>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8" customFormat="1" ht="14.25" thickBot="1">
      <c r="A1" s="1462"/>
      <c r="B1" s="1469" t="s">
        <v>1267</v>
      </c>
      <c r="C1" s="1463">
        <f>项目基本情况!D3</f>
        <v>44141</v>
      </c>
      <c r="D1" s="1469" t="s">
        <v>1268</v>
      </c>
      <c r="E1" s="1464">
        <f>'数据-取费表'!B22</f>
        <v>3</v>
      </c>
      <c r="F1" s="1469" t="s">
        <v>1269</v>
      </c>
      <c r="G1" s="1465">
        <f ca="1">INDIRECT("d"&amp;$K$1)/100</f>
        <v>4.7500000000000001E-2</v>
      </c>
      <c r="H1" s="1469" t="s">
        <v>1299</v>
      </c>
      <c r="I1" s="1465">
        <f ca="1">F4/100</f>
        <v>1.4999999999999999E-2</v>
      </c>
      <c r="J1" s="1470">
        <f>IF(C1&gt;C13,0,MATCH(C1,C$13:C$100,-1))+IF(SUMIF(C13:C100,C1,D13:D100)=0,13,12)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1451">
        <v>42301</v>
      </c>
      <c r="D13" s="1452">
        <v>4.3499999999999996</v>
      </c>
      <c r="E13" s="1452">
        <v>4.3499999999999996</v>
      </c>
      <c r="F13" s="1452">
        <v>4.75</v>
      </c>
      <c r="G13" s="1452">
        <v>4.75</v>
      </c>
      <c r="H13" s="1452">
        <v>4.9000000000000004</v>
      </c>
      <c r="I13" s="1452">
        <v>2.75</v>
      </c>
      <c r="J13" s="1452">
        <v>3.25</v>
      </c>
      <c r="K13" s="1449"/>
      <c r="L13" s="1450"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5">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1298</v>
      </c>
      <c r="J55" s="1456" t="s">
        <v>1298</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7:F21"/>
  <sheetViews>
    <sheetView workbookViewId="0">
      <selection activeCell="J14" sqref="J14"/>
    </sheetView>
  </sheetViews>
  <sheetFormatPr defaultRowHeight="13.5"/>
  <cols>
    <col min="5" max="6" width="13" bestFit="1" customWidth="1"/>
  </cols>
  <sheetData>
    <row r="17" spans="4:6">
      <c r="D17" s="3085" t="s">
        <v>3092</v>
      </c>
      <c r="E17" s="3085" t="s">
        <v>3106</v>
      </c>
      <c r="F17" s="3085" t="s">
        <v>3107</v>
      </c>
    </row>
    <row r="18" spans="4:6">
      <c r="D18" s="3082">
        <v>313</v>
      </c>
      <c r="E18" s="3082">
        <f>[1]结果表!$G$19</f>
        <v>112295</v>
      </c>
      <c r="F18" s="3425">
        <f>E18+E19</f>
        <v>636511</v>
      </c>
    </row>
    <row r="19" spans="4:6">
      <c r="D19" s="3082">
        <v>314</v>
      </c>
      <c r="E19" s="3082">
        <f>[2]结果表!$G$19</f>
        <v>524216</v>
      </c>
      <c r="F19" s="3426"/>
    </row>
    <row r="20" spans="4:6">
      <c r="D20" s="3083" t="s">
        <v>3103</v>
      </c>
      <c r="E20" s="3084">
        <f ca="1">结果表!G19</f>
        <v>559563</v>
      </c>
      <c r="F20" s="3084">
        <f ca="1">E20</f>
        <v>559563</v>
      </c>
    </row>
    <row r="21" spans="4:6">
      <c r="D21" s="3080" t="s">
        <v>3104</v>
      </c>
      <c r="E21" s="3081" t="s">
        <v>3105</v>
      </c>
      <c r="F21" s="3080">
        <f ca="1">F18-F20</f>
        <v>76948</v>
      </c>
    </row>
  </sheetData>
  <mergeCells count="1">
    <mergeCell ref="F18:F19"/>
  </mergeCells>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97" t="str">
        <f>IF(项目基本情况!B9="房地产市场价值","估价结果一览表","结果表-2")</f>
        <v>估价结果一览表</v>
      </c>
      <c r="B1" s="3097"/>
      <c r="C1" s="3097"/>
      <c r="D1" s="3097"/>
      <c r="E1" s="3097"/>
      <c r="F1" s="3097"/>
      <c r="G1" s="3097"/>
      <c r="H1" s="3097"/>
      <c r="I1" s="3097"/>
    </row>
    <row r="2" spans="1:9" ht="30" customHeight="1" thickTop="1">
      <c r="A2" s="3098" t="s">
        <v>1606</v>
      </c>
      <c r="B2" s="3098" t="s">
        <v>1607</v>
      </c>
      <c r="C2" s="3098" t="s">
        <v>1608</v>
      </c>
      <c r="D2" s="3098" t="str">
        <f>结果表!D116</f>
        <v>出让国有建设用地使用权价值</v>
      </c>
      <c r="E2" s="3098"/>
      <c r="F2" s="3098" t="str">
        <f>结果表!F116</f>
        <v>在建建筑物价值</v>
      </c>
      <c r="G2" s="3098"/>
      <c r="H2" s="3098" t="str">
        <f>IF(项目基本情况!B9="房地产市场价值","房地产市场价值","房地产价值")</f>
        <v>房地产市场价值</v>
      </c>
      <c r="I2" s="3098"/>
    </row>
    <row r="3" spans="1:9" ht="15">
      <c r="A3" s="3099"/>
      <c r="B3" s="3099"/>
      <c r="C3" s="3099"/>
      <c r="D3" s="960" t="s">
        <v>1603</v>
      </c>
      <c r="E3" s="960" t="s">
        <v>1609</v>
      </c>
      <c r="F3" s="960" t="s">
        <v>1603</v>
      </c>
      <c r="G3" s="960" t="s">
        <v>1604</v>
      </c>
      <c r="H3" s="960" t="s">
        <v>1603</v>
      </c>
      <c r="I3" s="960" t="s">
        <v>1604</v>
      </c>
    </row>
    <row r="4" spans="1:9" ht="30">
      <c r="A4" s="1689" t="str">
        <f>项目基本情况!S2</f>
        <v>北京市出让国有建设用地使用权及在建建筑物房地产</v>
      </c>
      <c r="B4" s="960">
        <f>项目基本情况!C17</f>
        <v>160498.87</v>
      </c>
      <c r="C4" s="960">
        <f>项目基本情况!C18</f>
        <v>18643.39</v>
      </c>
      <c r="D4" s="960" t="e">
        <f ca="1">结果表!D118</f>
        <v>#REF!</v>
      </c>
      <c r="E4" s="960" t="e">
        <f ca="1">结果表!E118</f>
        <v>#REF!</v>
      </c>
      <c r="F4" s="960" t="e">
        <f ca="1">结果表!F118</f>
        <v>#REF!</v>
      </c>
      <c r="G4" s="960" t="e">
        <f ca="1">结果表!G118</f>
        <v>#REF!</v>
      </c>
      <c r="H4" s="960">
        <f ca="1">结果表!H118</f>
        <v>559563</v>
      </c>
      <c r="I4" s="960">
        <f ca="1">结果表!I118</f>
        <v>34864</v>
      </c>
    </row>
    <row r="5" spans="1:9" ht="30" customHeight="1">
      <c r="A5" s="3099" t="s">
        <v>1605</v>
      </c>
      <c r="B5" s="3099"/>
      <c r="C5" s="3099"/>
      <c r="D5" s="3100" t="e">
        <f ca="1">结果表!D119</f>
        <v>#REF!</v>
      </c>
      <c r="E5" s="3100"/>
      <c r="F5" s="3100" t="e">
        <f ca="1">结果表!F119</f>
        <v>#REF!</v>
      </c>
      <c r="G5" s="3100"/>
      <c r="H5" s="3100" t="str">
        <f ca="1">结果表!H119</f>
        <v>伍拾伍亿玖仟伍佰陆拾叁万元整</v>
      </c>
      <c r="I5" s="3100"/>
    </row>
    <row r="6" spans="1:9" ht="15.75">
      <c r="A6" s="3101" t="str">
        <f>结果表!A120</f>
        <v/>
      </c>
      <c r="B6" s="3101"/>
      <c r="C6" s="3101"/>
      <c r="D6" s="3101">
        <f>结果表!D120</f>
        <v>0</v>
      </c>
      <c r="E6" s="3101"/>
      <c r="F6" s="3101"/>
      <c r="G6" s="3101"/>
      <c r="H6" s="3101"/>
      <c r="I6" s="3101"/>
    </row>
    <row r="7" spans="1:9" ht="15">
      <c r="A7" s="3099" t="s">
        <v>1605</v>
      </c>
      <c r="B7" s="3099"/>
      <c r="C7" s="3099"/>
      <c r="D7" s="3102" t="str">
        <f>结果表!D121</f>
        <v>零元整</v>
      </c>
      <c r="E7" s="3103"/>
      <c r="F7" s="3103"/>
      <c r="G7" s="3103"/>
      <c r="H7" s="3103"/>
      <c r="I7" s="3104"/>
    </row>
    <row r="8" spans="1:9" ht="15.75">
      <c r="A8" s="3101" t="str">
        <f>结果表!A122</f>
        <v/>
      </c>
      <c r="B8" s="3101"/>
      <c r="C8" s="3101"/>
      <c r="D8" s="3101">
        <f ca="1">结果表!D122</f>
        <v>559563</v>
      </c>
      <c r="E8" s="3101"/>
      <c r="F8" s="3101"/>
      <c r="G8" s="3101"/>
      <c r="H8" s="3101"/>
      <c r="I8" s="3101"/>
    </row>
    <row r="9" spans="1:9" ht="15">
      <c r="A9" s="3099" t="s">
        <v>1605</v>
      </c>
      <c r="B9" s="3099"/>
      <c r="C9" s="3099"/>
      <c r="D9" s="3100" t="str">
        <f ca="1">结果表!D123</f>
        <v>伍拾伍亿玖仟伍佰陆拾叁万元整</v>
      </c>
      <c r="E9" s="3100"/>
      <c r="F9" s="3100"/>
      <c r="G9" s="3100"/>
      <c r="H9" s="3100"/>
      <c r="I9" s="3100"/>
    </row>
    <row r="10" spans="1:9" ht="15.75">
      <c r="A10" s="3101" t="str">
        <f>结果表!A124</f>
        <v/>
      </c>
      <c r="B10" s="3101"/>
      <c r="C10" s="3101"/>
      <c r="D10" s="3101" t="str">
        <f>结果表!D124</f>
        <v>——</v>
      </c>
      <c r="E10" s="3101"/>
      <c r="F10" s="3101"/>
      <c r="G10" s="3101"/>
      <c r="H10" s="3101"/>
      <c r="I10" s="3101"/>
    </row>
    <row r="11" spans="1:9" ht="15">
      <c r="A11" s="3099" t="s">
        <v>1605</v>
      </c>
      <c r="B11" s="3099"/>
      <c r="C11" s="3099"/>
      <c r="D11" s="3100" t="e">
        <f>结果表!D125</f>
        <v>#VALUE!</v>
      </c>
      <c r="E11" s="3100"/>
      <c r="F11" s="3100"/>
      <c r="G11" s="3100"/>
      <c r="H11" s="3100"/>
      <c r="I11" s="3100"/>
    </row>
    <row r="12" spans="1:9" ht="15.75">
      <c r="A12" s="3101" t="str">
        <f>结果表!A126</f>
        <v/>
      </c>
      <c r="B12" s="3101"/>
      <c r="C12" s="3101"/>
      <c r="D12" s="3101" t="str">
        <f>结果表!D126</f>
        <v>——</v>
      </c>
      <c r="E12" s="3101"/>
      <c r="F12" s="3101"/>
      <c r="G12" s="3101"/>
      <c r="H12" s="3101"/>
      <c r="I12" s="3101"/>
    </row>
    <row r="13" spans="1:9" ht="15.75" thickBot="1">
      <c r="A13" s="3105" t="s">
        <v>1605</v>
      </c>
      <c r="B13" s="3105"/>
      <c r="C13" s="3105"/>
      <c r="D13" s="3106" t="e">
        <f>结果表!D127</f>
        <v>#VALUE!</v>
      </c>
      <c r="E13" s="3106"/>
      <c r="F13" s="3106"/>
      <c r="G13" s="3106"/>
      <c r="H13" s="3106"/>
      <c r="I13" s="3106"/>
    </row>
    <row r="14" spans="1:9" ht="15" thickTop="1">
      <c r="A14" s="3107" t="s">
        <v>1610</v>
      </c>
      <c r="B14" s="3107"/>
      <c r="C14" s="3107"/>
      <c r="D14" s="3107"/>
      <c r="E14" s="3107"/>
      <c r="F14" s="3107"/>
      <c r="G14" s="3107"/>
      <c r="H14" s="3107"/>
      <c r="I14" s="3107"/>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08" t="s">
        <v>1627</v>
      </c>
      <c r="B1" s="3108"/>
      <c r="C1" s="3108"/>
      <c r="D1" s="3108"/>
    </row>
    <row r="2" spans="1:4" ht="18">
      <c r="A2" s="3109" t="s">
        <v>1611</v>
      </c>
      <c r="B2" s="3109"/>
      <c r="C2" s="3109"/>
      <c r="D2" s="3109"/>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09" t="s">
        <v>1617</v>
      </c>
      <c r="B6" s="3109"/>
      <c r="C6" s="3109"/>
      <c r="D6" s="3109"/>
    </row>
    <row r="7" spans="1:4" ht="18.75">
      <c r="A7" s="1693" t="s">
        <v>1612</v>
      </c>
      <c r="B7" s="1695" t="s">
        <v>1618</v>
      </c>
      <c r="C7" s="1693" t="s">
        <v>1614</v>
      </c>
      <c r="D7" s="1693" t="s">
        <v>1615</v>
      </c>
    </row>
    <row r="8" spans="1:4" ht="56.25" customHeight="1">
      <c r="A8" s="1699" t="s">
        <v>837</v>
      </c>
      <c r="B8" s="1699" t="s">
        <v>1</v>
      </c>
      <c r="C8" s="1696"/>
      <c r="D8" s="1697" t="s">
        <v>1616</v>
      </c>
    </row>
    <row r="9" spans="1:4">
      <c r="A9" s="681"/>
      <c r="B9" s="681"/>
      <c r="C9" s="681"/>
      <c r="D9" s="681"/>
    </row>
    <row r="10" spans="1:4" ht="18.75">
      <c r="A10" s="1700" t="s">
        <v>1619</v>
      </c>
      <c r="B10" s="681"/>
      <c r="C10" s="681"/>
      <c r="D10" s="681"/>
    </row>
    <row r="11" spans="1:4" ht="30" customHeight="1">
      <c r="A11" s="3110" t="s">
        <v>1620</v>
      </c>
      <c r="B11" s="3111"/>
      <c r="C11" s="3111"/>
      <c r="D11" s="3111"/>
    </row>
    <row r="12" spans="1:4" ht="15.75">
      <c r="A12" s="31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12"/>
      <c r="C12" s="3112"/>
      <c r="D12" s="3112"/>
    </row>
    <row r="13" spans="1:4" ht="30" customHeight="1">
      <c r="A13" s="3111" t="str">
        <f>IF(项目基本情况!B8="抵押","3.抵押双方在办理抵押登记手续时，应使用本公司出具的正式《房地产评估报告》，特提醒报告使用者注意。","——")</f>
        <v>——</v>
      </c>
      <c r="B13" s="3112"/>
      <c r="C13" s="3112"/>
      <c r="D13" s="3112"/>
    </row>
    <row r="14" spans="1:4" ht="15.75" customHeight="1">
      <c r="A14" s="3111" t="str">
        <f>IF(项目基本情况!B8="抵押","4.本次评估估价师所知悉的法定优先受偿款情况说明如下：","——")</f>
        <v>——</v>
      </c>
      <c r="B14" s="3112"/>
      <c r="C14" s="3112"/>
      <c r="D14" s="3112"/>
    </row>
    <row r="15" spans="1:4" ht="42" customHeight="1">
      <c r="A15" s="3111" t="str">
        <f>IF(项目基本情况!B8="抵押","（1）"&amp;CONCATENATE(项目基本情况!L20,项目基本情况!L21,项目基本情况!L22),"——")</f>
        <v>——</v>
      </c>
      <c r="B15" s="3111"/>
      <c r="C15" s="3111"/>
      <c r="D15" s="3111"/>
    </row>
    <row r="16" spans="1:4" ht="30" customHeight="1">
      <c r="A16" s="3114" t="s">
        <v>1621</v>
      </c>
      <c r="B16" s="3114"/>
      <c r="C16" s="3114"/>
      <c r="D16" s="3114"/>
    </row>
    <row r="17" spans="1:4" ht="144" customHeight="1">
      <c r="A17" s="3114" t="s">
        <v>1622</v>
      </c>
      <c r="B17" s="3114"/>
      <c r="C17" s="3114"/>
      <c r="D17" s="3114"/>
    </row>
    <row r="18" spans="1:4" ht="15.75" customHeight="1">
      <c r="A18" s="3111" t="str">
        <f>IF(项目基本情况!B8="抵押",结果表!K120,"——")</f>
        <v>——</v>
      </c>
      <c r="B18" s="3111"/>
      <c r="C18" s="3111"/>
      <c r="D18" s="3111"/>
    </row>
    <row r="19" spans="1:4" ht="46.5" customHeight="1">
      <c r="A19" s="31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11"/>
      <c r="C19" s="3111"/>
      <c r="D19" s="3111"/>
    </row>
    <row r="20" spans="1:4" ht="57.75" customHeight="1">
      <c r="A20" s="31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1"/>
      <c r="C20" s="3111"/>
      <c r="D20" s="3111"/>
    </row>
    <row r="21" spans="1:4" ht="57.75" customHeight="1">
      <c r="A21" s="31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5"/>
      <c r="C21" s="3115"/>
      <c r="D21" s="3115"/>
    </row>
    <row r="22" spans="1:4" ht="18.75" customHeight="1">
      <c r="A22" s="3116" t="s">
        <v>1623</v>
      </c>
      <c r="B22" s="3116"/>
      <c r="C22" s="3116"/>
      <c r="D22" s="3116"/>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13">
        <v>42551</v>
      </c>
      <c r="D31" s="31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22" t="s">
        <v>1634</v>
      </c>
      <c r="B15" s="3117" t="s">
        <v>136</v>
      </c>
      <c r="C15" s="3118"/>
    </row>
    <row r="16" spans="1:7" ht="13.5">
      <c r="A16" s="3123"/>
      <c r="B16" s="3117" t="s">
        <v>69</v>
      </c>
      <c r="C16" s="3118"/>
    </row>
    <row r="17" spans="1:3" ht="13.5">
      <c r="A17" s="3123"/>
      <c r="B17" s="3120" t="s">
        <v>1635</v>
      </c>
      <c r="C17" s="1716" t="s">
        <v>1634</v>
      </c>
    </row>
    <row r="18" spans="1:3" ht="13.5">
      <c r="A18" s="3123"/>
      <c r="B18" s="3120"/>
      <c r="C18" s="1716" t="s">
        <v>1636</v>
      </c>
    </row>
    <row r="19" spans="1:3" ht="13.5">
      <c r="A19" s="3123"/>
      <c r="B19" s="3120"/>
      <c r="C19" s="1716" t="s">
        <v>1637</v>
      </c>
    </row>
    <row r="20" spans="1:3" ht="13.5">
      <c r="A20" s="3124"/>
      <c r="B20" s="3119" t="s">
        <v>1638</v>
      </c>
      <c r="C20" s="3118"/>
    </row>
    <row r="21" spans="1:3" ht="13.5">
      <c r="A21" s="1717" t="s">
        <v>1639</v>
      </c>
      <c r="B21" s="1718"/>
      <c r="C21" s="1719"/>
    </row>
    <row r="22" spans="1:3" ht="13.5">
      <c r="A22" s="3121" t="s">
        <v>1640</v>
      </c>
      <c r="B22" s="3119" t="s">
        <v>1641</v>
      </c>
      <c r="C22" s="3118"/>
    </row>
    <row r="23" spans="1:3" ht="13.5">
      <c r="A23" s="3121"/>
      <c r="B23" s="3119" t="s">
        <v>1642</v>
      </c>
      <c r="C23" s="3118"/>
    </row>
    <row r="24" spans="1:3" ht="13.5">
      <c r="A24" s="3121"/>
      <c r="B24" s="3119" t="s">
        <v>1643</v>
      </c>
      <c r="C24" s="3118"/>
    </row>
    <row r="25" spans="1:3" ht="13.5">
      <c r="A25" s="3121"/>
      <c r="B25" s="3120" t="s">
        <v>1644</v>
      </c>
      <c r="C25" s="1716" t="s">
        <v>1645</v>
      </c>
    </row>
    <row r="26" spans="1:3" ht="13.5">
      <c r="A26" s="3121"/>
      <c r="B26" s="3120"/>
      <c r="C26" s="1716" t="s">
        <v>1646</v>
      </c>
    </row>
    <row r="27" spans="1:3" ht="13.5">
      <c r="A27" s="3121"/>
      <c r="B27" s="3120"/>
      <c r="C27" s="1716" t="s">
        <v>1647</v>
      </c>
    </row>
    <row r="28" spans="1:3" ht="13.5">
      <c r="A28" s="3121"/>
      <c r="B28" s="3120"/>
      <c r="C28" s="1716" t="s">
        <v>1648</v>
      </c>
    </row>
    <row r="29" spans="1:3" ht="13.5">
      <c r="A29" s="3121"/>
      <c r="B29" s="3120"/>
      <c r="C29" s="1716" t="s">
        <v>1649</v>
      </c>
    </row>
    <row r="30" spans="1:3" ht="13.5">
      <c r="A30" s="3121"/>
      <c r="B30" s="3120"/>
      <c r="C30" s="1716" t="s">
        <v>1650</v>
      </c>
    </row>
    <row r="31" spans="1:3" ht="13.5">
      <c r="A31" s="3121"/>
      <c r="B31" s="3120"/>
      <c r="C31" s="1716" t="s">
        <v>1651</v>
      </c>
    </row>
    <row r="32" spans="1:3" ht="13.5">
      <c r="A32" s="3121"/>
      <c r="B32" s="3120"/>
      <c r="C32" s="1716" t="s">
        <v>1652</v>
      </c>
    </row>
    <row r="33" spans="1:3" ht="13.5">
      <c r="A33" s="3121"/>
      <c r="B33" s="3120"/>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2880</v>
      </c>
      <c r="B2" s="2560">
        <f ca="1">TODAY()</f>
        <v>44190</v>
      </c>
      <c r="C2" s="2561" t="s">
        <v>2881</v>
      </c>
      <c r="D2" s="2561"/>
      <c r="E2" s="2561"/>
      <c r="F2" s="2557"/>
      <c r="G2" s="2557"/>
      <c r="H2" s="2557"/>
    </row>
    <row r="3" spans="1:8" ht="24" customHeight="1">
      <c r="A3" s="2562" t="s">
        <v>2882</v>
      </c>
      <c r="B3" s="2563" t="s">
        <v>2883</v>
      </c>
      <c r="C3" s="2563" t="s">
        <v>2884</v>
      </c>
      <c r="D3" s="2564" t="s">
        <v>2885</v>
      </c>
      <c r="E3" s="2565" t="s">
        <v>2886</v>
      </c>
      <c r="F3" s="1471" t="s">
        <v>2887</v>
      </c>
      <c r="G3" s="2563" t="s">
        <v>2884</v>
      </c>
      <c r="H3" s="2564" t="s">
        <v>2888</v>
      </c>
    </row>
    <row r="4" spans="1:8" ht="24" customHeight="1">
      <c r="A4" s="1471" t="s">
        <v>2889</v>
      </c>
      <c r="B4" s="1471">
        <f ca="1">IF(C4&lt;B2,"已过期",1119970066)</f>
        <v>1119970066</v>
      </c>
      <c r="C4" s="2566">
        <v>44876</v>
      </c>
      <c r="D4" s="2567" t="str">
        <f ca="1">A4&amp;"（注册号："&amp;B4&amp;"）"</f>
        <v>梁津（注册号：1119970066）</v>
      </c>
      <c r="E4" s="2568" t="s">
        <v>2889</v>
      </c>
      <c r="F4" s="1471">
        <f ca="1">IF(G4&lt;B2,"已过期",96010014)</f>
        <v>96010014</v>
      </c>
      <c r="G4" s="2569">
        <v>47118</v>
      </c>
      <c r="H4" s="2570" t="str">
        <f ca="1">E4&amp;"（注册号："&amp;F4&amp;"）"</f>
        <v>梁津（注册号：96010014）</v>
      </c>
    </row>
    <row r="5" spans="1:8" ht="24" customHeight="1">
      <c r="A5" s="1471" t="s">
        <v>2890</v>
      </c>
      <c r="B5" s="1471">
        <f ca="1">IF(C5&lt;B2,"已过期",1119970111)</f>
        <v>1119970111</v>
      </c>
      <c r="C5" s="2566">
        <v>44876</v>
      </c>
      <c r="D5" s="2567" t="str">
        <f t="shared" ref="D5:D15" ca="1" si="0">A5&amp;"（注册号："&amp;B5&amp;"）"</f>
        <v>叶凌（注册号：1119970111）</v>
      </c>
      <c r="E5" s="2568" t="s">
        <v>2890</v>
      </c>
      <c r="F5" s="1471">
        <f ca="1">IF(G5&lt;B2,"已过期",94010078)</f>
        <v>94010078</v>
      </c>
      <c r="G5" s="2569">
        <v>46387</v>
      </c>
      <c r="H5" s="2570" t="str">
        <f t="shared" ref="H5:H16" ca="1" si="1">E5&amp;"（注册号："&amp;F5&amp;"）"</f>
        <v>叶凌（注册号：94010078）</v>
      </c>
    </row>
    <row r="6" spans="1:8" ht="24" customHeight="1">
      <c r="A6" s="1471" t="s">
        <v>2891</v>
      </c>
      <c r="B6" s="1471">
        <f ca="1">IF(C6&lt;B2,"已过期",1120050019)</f>
        <v>1120050019</v>
      </c>
      <c r="C6" s="2566">
        <v>44395</v>
      </c>
      <c r="D6" s="2567" t="str">
        <f t="shared" ca="1" si="0"/>
        <v>王鹏（注册号：1120050019）</v>
      </c>
      <c r="E6" s="2568" t="s">
        <v>2891</v>
      </c>
      <c r="F6" s="1471">
        <f ca="1">IF(G6&lt;B2,"已过期",2002110030)</f>
        <v>2002110030</v>
      </c>
      <c r="G6" s="2569">
        <v>46387</v>
      </c>
      <c r="H6" s="2570" t="str">
        <f t="shared" ca="1" si="1"/>
        <v>王鹏（注册号：2002110030）</v>
      </c>
    </row>
    <row r="7" spans="1:8" ht="24" customHeight="1">
      <c r="A7" s="1471" t="s">
        <v>2892</v>
      </c>
      <c r="B7" s="1471">
        <f ca="1">IF(C7&lt;B2,"已过期",1120000080)</f>
        <v>1120000080</v>
      </c>
      <c r="C7" s="2566">
        <v>44876</v>
      </c>
      <c r="D7" s="2567" t="str">
        <f t="shared" ca="1" si="0"/>
        <v>欧红伟（注册号：1120000080）</v>
      </c>
      <c r="E7" s="2568" t="s">
        <v>2892</v>
      </c>
      <c r="F7" s="1471">
        <f ca="1">IF(G7&lt;B2,"已过期",2000110082)</f>
        <v>2000110082</v>
      </c>
      <c r="G7" s="2569">
        <v>46387</v>
      </c>
      <c r="H7" s="2570" t="str">
        <f t="shared" ca="1" si="1"/>
        <v>欧红伟（注册号：2000110082）</v>
      </c>
    </row>
    <row r="8" spans="1:8" ht="24" customHeight="1">
      <c r="A8" s="1471" t="s">
        <v>2893</v>
      </c>
      <c r="B8" s="1471">
        <f ca="1">IF(C8&lt;B2,"已过期",1419970001)</f>
        <v>1419970001</v>
      </c>
      <c r="C8" s="2566">
        <v>44899</v>
      </c>
      <c r="D8" s="2567" t="str">
        <f t="shared" ca="1" si="0"/>
        <v>吴薇（注册号：1419970001）</v>
      </c>
      <c r="E8" s="2568" t="s">
        <v>2893</v>
      </c>
      <c r="F8" s="1471">
        <f ca="1">IF(G8&lt;B2,"已过期",2002110125)</f>
        <v>2002110125</v>
      </c>
      <c r="G8" s="2569">
        <v>47118</v>
      </c>
      <c r="H8" s="2570" t="str">
        <f t="shared" ca="1" si="1"/>
        <v>吴薇（注册号：2002110125）</v>
      </c>
    </row>
    <row r="9" spans="1:8" ht="24" customHeight="1">
      <c r="A9" s="1471" t="s">
        <v>2894</v>
      </c>
      <c r="B9" s="1471">
        <f ca="1">IF(C9&lt;B2,"已过期",1120060040)</f>
        <v>1120060040</v>
      </c>
      <c r="C9" s="2571">
        <v>44554</v>
      </c>
      <c r="D9" s="2567" t="str">
        <f t="shared" ca="1" si="0"/>
        <v>陈颖（注册号：1120060040）</v>
      </c>
      <c r="E9" s="2568" t="s">
        <v>2894</v>
      </c>
      <c r="F9" s="1471">
        <f ca="1">IF(G9&lt;B2,"已过期",2004110096)</f>
        <v>2004110096</v>
      </c>
      <c r="G9" s="2569">
        <v>47118</v>
      </c>
      <c r="H9" s="2570" t="str">
        <f t="shared" ca="1" si="1"/>
        <v>陈颖（注册号：2004110096）</v>
      </c>
    </row>
    <row r="10" spans="1:8" ht="24" customHeight="1">
      <c r="A10" s="1471" t="s">
        <v>2895</v>
      </c>
      <c r="B10" s="1471">
        <f ca="1">IF(C10&lt;B2,"已过期",1120100036)</f>
        <v>1120100036</v>
      </c>
      <c r="C10" s="2571">
        <v>44675</v>
      </c>
      <c r="D10" s="2567" t="str">
        <f t="shared" ca="1" si="0"/>
        <v>崔锴（注册号：1120100036）</v>
      </c>
      <c r="E10" s="2568" t="s">
        <v>2895</v>
      </c>
      <c r="F10" s="1471">
        <f ca="1">IF(G10&lt;B2,"已过期",2010110070)</f>
        <v>2010110070</v>
      </c>
      <c r="G10" s="2569">
        <v>47907</v>
      </c>
      <c r="H10" s="2570" t="str">
        <f t="shared" ca="1" si="1"/>
        <v>崔锴（注册号：2010110070）</v>
      </c>
    </row>
    <row r="11" spans="1:8" ht="24" customHeight="1">
      <c r="A11" s="1471" t="s">
        <v>2896</v>
      </c>
      <c r="B11" s="1471">
        <f ca="1">IF(C11&lt;B2,"已过期",1120070131)</f>
        <v>1120070131</v>
      </c>
      <c r="C11" s="2566">
        <v>44849</v>
      </c>
      <c r="D11" s="2567" t="str">
        <f t="shared" ca="1" si="0"/>
        <v>郑燚（注册号：1120070131）</v>
      </c>
      <c r="E11" s="2568" t="s">
        <v>2896</v>
      </c>
      <c r="F11" s="1471">
        <f ca="1">IF(G11&lt;B2,"已过期",2014110011)</f>
        <v>2014110011</v>
      </c>
      <c r="G11" s="2569">
        <v>49302</v>
      </c>
      <c r="H11" s="2570" t="str">
        <f t="shared" ca="1" si="1"/>
        <v>郑燚（注册号：2014110011）</v>
      </c>
    </row>
    <row r="12" spans="1:8" ht="24" customHeight="1">
      <c r="A12" s="1471" t="s">
        <v>2897</v>
      </c>
      <c r="B12" s="1471">
        <f ca="1">IF(C12&lt;B2,"已过期",1120040230)</f>
        <v>1120040230</v>
      </c>
      <c r="C12" s="2571">
        <v>44864</v>
      </c>
      <c r="D12" s="2567" t="str">
        <f t="shared" ca="1" si="0"/>
        <v>苏海（注册号：1120040230）</v>
      </c>
      <c r="E12" s="2568" t="s">
        <v>2897</v>
      </c>
      <c r="F12" s="1471">
        <f ca="1">IF(G12&lt;B2,"已过期",98030020)</f>
        <v>98030020</v>
      </c>
      <c r="G12" s="2569">
        <v>47118</v>
      </c>
      <c r="H12" s="2570" t="str">
        <f t="shared" ca="1" si="1"/>
        <v>苏海（注册号：98030020）</v>
      </c>
    </row>
    <row r="13" spans="1:8" ht="24" customHeight="1">
      <c r="A13" s="1471" t="s">
        <v>2898</v>
      </c>
      <c r="B13" s="1471">
        <f ca="1">IF(C13&lt;B2,"已过期",1120020033)</f>
        <v>1120020033</v>
      </c>
      <c r="C13" s="2566">
        <v>44339</v>
      </c>
      <c r="D13" s="2567" t="str">
        <f t="shared" ca="1" si="0"/>
        <v>刘敬东（注册号：1120020033）</v>
      </c>
      <c r="E13" s="2568" t="s">
        <v>2898</v>
      </c>
      <c r="F13" s="1471">
        <f ca="1">IF(G13&lt;B2,"已过期",2000110137)</f>
        <v>2000110137</v>
      </c>
      <c r="G13" s="2569">
        <v>46387</v>
      </c>
      <c r="H13" s="2570" t="str">
        <f t="shared" ca="1" si="1"/>
        <v>刘敬东（注册号：2000110137）</v>
      </c>
    </row>
    <row r="14" spans="1:8" ht="24" customHeight="1">
      <c r="A14" s="1471" t="s">
        <v>2899</v>
      </c>
      <c r="B14" s="1471">
        <f ca="1">IF(C14&lt;B2,"已过期",1119980106)</f>
        <v>1119980106</v>
      </c>
      <c r="C14" s="2571">
        <v>44969</v>
      </c>
      <c r="D14" s="2567" t="str">
        <f t="shared" ca="1" si="0"/>
        <v>刘俊财（注册号：1119980106）</v>
      </c>
      <c r="E14" s="2568" t="s">
        <v>2899</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2900</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25" t="s">
        <v>2901</v>
      </c>
      <c r="B17" s="3125"/>
      <c r="C17" s="3125"/>
      <c r="D17" s="3125"/>
      <c r="E17" s="3125"/>
      <c r="F17" s="3125"/>
      <c r="G17" s="3125"/>
      <c r="H17" s="3125"/>
    </row>
    <row r="18" spans="1:8" ht="24" customHeight="1">
      <c r="A18" s="3126" t="s">
        <v>2902</v>
      </c>
      <c r="B18" s="3126"/>
      <c r="C18" s="3126"/>
      <c r="D18" s="2564"/>
      <c r="E18" s="3127" t="s">
        <v>2903</v>
      </c>
      <c r="F18" s="3126"/>
      <c r="G18" s="3126"/>
    </row>
    <row r="19" spans="1:8" s="2575" customFormat="1" ht="24" customHeight="1">
      <c r="A19" s="2574" t="s">
        <v>2904</v>
      </c>
      <c r="B19" s="2563" t="s">
        <v>2905</v>
      </c>
      <c r="C19" s="2563" t="s">
        <v>2884</v>
      </c>
      <c r="D19" s="2564"/>
      <c r="E19" s="2568" t="s">
        <v>2904</v>
      </c>
      <c r="F19" s="2563" t="s">
        <v>2905</v>
      </c>
      <c r="G19" s="2563" t="s">
        <v>2884</v>
      </c>
    </row>
    <row r="20" spans="1:8" s="2575" customFormat="1" ht="24" customHeight="1">
      <c r="A20" s="2576" t="s">
        <v>2906</v>
      </c>
      <c r="B20" s="2576" t="s">
        <v>2907</v>
      </c>
      <c r="C20" s="2569">
        <v>44820</v>
      </c>
      <c r="D20" s="2577"/>
      <c r="E20" s="2578" t="s">
        <v>2908</v>
      </c>
      <c r="F20" s="2576" t="s">
        <v>2909</v>
      </c>
      <c r="G20" s="2579">
        <v>44377</v>
      </c>
    </row>
    <row r="21" spans="1:8" s="2575" customFormat="1" ht="24" customHeight="1">
      <c r="A21" s="2576"/>
      <c r="B21" s="2576"/>
      <c r="C21" s="2580"/>
      <c r="D21" s="2581"/>
      <c r="E21" s="2578" t="s">
        <v>2910</v>
      </c>
      <c r="F21" s="2582" t="s">
        <v>2911</v>
      </c>
      <c r="G21" s="2583">
        <v>44012</v>
      </c>
    </row>
    <row r="22" spans="1:8" ht="24" customHeight="1">
      <c r="C22" s="2584"/>
      <c r="D22" s="2584"/>
      <c r="E22" s="2585"/>
      <c r="F22" s="2586"/>
      <c r="G22" s="2587"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基准地价修正</vt:lpstr>
      <vt:lpstr>基准地价修正商业</vt:lpstr>
      <vt:lpstr>基准地价（汇总）</vt:lpstr>
      <vt:lpstr>假设开发法</vt:lpstr>
      <vt:lpstr>收益法B</vt:lpstr>
      <vt:lpstr>收益法ACD</vt:lpstr>
      <vt:lpstr>收益法地下商业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'收益法 (元)'!Print_Area</vt:lpstr>
      <vt:lpstr>'收益法（汇总）'!Print_Area</vt:lpstr>
      <vt:lpstr>收益法ACD!Print_Area</vt:lpstr>
      <vt:lpstr>收益法B!Print_Area</vt:lpstr>
      <vt:lpstr>收益法地下商业!Print_Area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2020-12-25T06:25:11Z</dcterms:modified>
</cp:coreProperties>
</file>