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2024-1-0963怀柔区滨湖南街10号楼1层8号商业用房\"/>
    </mc:Choice>
  </mc:AlternateContent>
  <xr:revisionPtr revIDLastSave="0" documentId="8_{7A85A790-18F1-4D44-A90D-D1FA015280CB}"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Q79" i="80" l="1"/>
  <c r="AO60" i="80"/>
  <c r="AO32" i="80"/>
  <c r="AO5" i="80"/>
  <c r="F51" i="33"/>
  <c r="J51" i="33"/>
  <c r="H51" i="33"/>
  <c r="N6" i="1" l="1"/>
  <c r="F19" i="6"/>
  <c r="C19" i="6"/>
  <c r="G14" i="73"/>
  <c r="F14" i="73"/>
  <c r="E14" i="73"/>
  <c r="Y6" i="1" l="1"/>
  <c r="C36" i="3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N28" i="79"/>
  <c r="S17" i="79"/>
  <c r="Z3" i="79"/>
  <c r="T34" i="79"/>
  <c r="W34" i="79" s="1"/>
  <c r="AD41" i="79"/>
  <c r="AD45" i="79"/>
  <c r="U40" i="79"/>
  <c r="U44"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E38" i="71" s="1"/>
  <c r="E39" i="71" s="1"/>
  <c r="E40" i="71" s="1"/>
  <c r="U40" i="71" s="1"/>
  <c r="O37" i="71"/>
  <c r="N37" i="71"/>
  <c r="B38" i="71" s="1"/>
  <c r="D37" i="71"/>
  <c r="Q36" i="71"/>
  <c r="P36" i="71"/>
  <c r="O36" i="71"/>
  <c r="N36" i="71"/>
  <c r="Q35" i="71"/>
  <c r="P35" i="71"/>
  <c r="O35" i="71"/>
  <c r="N35" i="71"/>
  <c r="Q34" i="71"/>
  <c r="P34" i="71"/>
  <c r="O34" i="71"/>
  <c r="N34" i="71"/>
  <c r="Q33" i="71"/>
  <c r="F34" i="71" s="1"/>
  <c r="P33" i="71"/>
  <c r="O33" i="71"/>
  <c r="C34" i="71" s="1"/>
  <c r="D34" i="71" s="1"/>
  <c r="N33" i="71"/>
  <c r="X2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N68" i="71"/>
  <c r="E34" i="71"/>
  <c r="C30" i="71"/>
  <c r="D30" i="71" s="1"/>
  <c r="C38" i="71"/>
  <c r="D38" i="71" s="1"/>
  <c r="X38" i="71"/>
  <c r="C43" i="71"/>
  <c r="C44" i="71" s="1"/>
  <c r="D44" i="71" s="1"/>
  <c r="C51" i="71"/>
  <c r="P28" i="71"/>
  <c r="E28" i="71" s="1"/>
  <c r="U56" i="71"/>
  <c r="U68" i="71"/>
  <c r="E67" i="71"/>
  <c r="P67" i="71" s="1"/>
  <c r="Q28" i="71"/>
  <c r="D58" i="71"/>
  <c r="D62" i="71"/>
  <c r="D68" i="71"/>
  <c r="Q68" i="71"/>
  <c r="E71" i="71"/>
  <c r="E70" i="71" s="1"/>
  <c r="E79" i="71"/>
  <c r="E78" i="71" s="1"/>
  <c r="D80" i="71"/>
  <c r="C87" i="71"/>
  <c r="D43"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H25" i="40"/>
  <c r="AB25" i="40" s="1"/>
  <c r="J25" i="40"/>
  <c r="H29" i="39"/>
  <c r="J29" i="39"/>
  <c r="AC29" i="39" s="1"/>
  <c r="J18" i="36"/>
  <c r="AC18" i="36" s="1"/>
  <c r="F68" i="35"/>
  <c r="G68" i="35" s="1"/>
  <c r="H18" i="35"/>
  <c r="AB18" i="35" s="1"/>
  <c r="J18" i="35"/>
  <c r="W18" i="35" s="1"/>
  <c r="H21" i="37"/>
  <c r="F21" i="37"/>
  <c r="H21" i="34"/>
  <c r="AB21" i="34" s="1"/>
  <c r="H21" i="33"/>
  <c r="F21" i="33"/>
  <c r="AA21" i="33" s="1"/>
  <c r="E83" i="21"/>
  <c r="F83" i="21" s="1"/>
  <c r="H1" i="69"/>
  <c r="W29" i="39"/>
  <c r="W18" i="36"/>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D79" i="37"/>
  <c r="E79" i="37" s="1"/>
  <c r="D75" i="37"/>
  <c r="E75" i="37" s="1"/>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J12" i="36"/>
  <c r="W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F23" i="36"/>
  <c r="AA23" i="36" s="1"/>
  <c r="Q22" i="36"/>
  <c r="Z22" i="36"/>
  <c r="J22" i="36"/>
  <c r="AC22" i="36" s="1"/>
  <c r="Q20" i="36"/>
  <c r="Z20" i="36" s="1"/>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H34" i="35" s="1"/>
  <c r="B77" i="35"/>
  <c r="B75" i="35"/>
  <c r="J24" i="35" s="1"/>
  <c r="AC24" i="35" s="1"/>
  <c r="B73" i="35"/>
  <c r="J23" i="35" s="1"/>
  <c r="AC23" i="35" s="1"/>
  <c r="H23" i="35"/>
  <c r="U23" i="35" s="1"/>
  <c r="B57" i="35"/>
  <c r="F11" i="35" s="1"/>
  <c r="B61" i="35"/>
  <c r="B59" i="35"/>
  <c r="F12" i="35" s="1"/>
  <c r="B131" i="34"/>
  <c r="B129" i="34"/>
  <c r="B127" i="34"/>
  <c r="B99" i="34"/>
  <c r="B97" i="34"/>
  <c r="B95" i="34"/>
  <c r="F30" i="34" s="1"/>
  <c r="B93" i="34"/>
  <c r="B75" i="34"/>
  <c r="B73" i="34"/>
  <c r="B71" i="34"/>
  <c r="B130" i="33"/>
  <c r="B128" i="33"/>
  <c r="B126" i="33"/>
  <c r="F44" i="33" s="1"/>
  <c r="B98" i="33"/>
  <c r="F31" i="33" s="1"/>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U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c r="Q45" i="33"/>
  <c r="Z45" i="33" s="1"/>
  <c r="Q44" i="33"/>
  <c r="Z44" i="33"/>
  <c r="Q43" i="33"/>
  <c r="Z43" i="33" s="1"/>
  <c r="Q42" i="33"/>
  <c r="Z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B92" i="21"/>
  <c r="F28" i="21" s="1"/>
  <c r="AA28" i="21" s="1"/>
  <c r="B90" i="21"/>
  <c r="B74" i="21"/>
  <c r="B72" i="2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5" i="39"/>
  <c r="S45" i="39"/>
  <c r="J44" i="39"/>
  <c r="AC44" i="39" s="1"/>
  <c r="H36" i="39"/>
  <c r="AB36" i="39" s="1"/>
  <c r="J35" i="39"/>
  <c r="AC35" i="39" s="1"/>
  <c r="F35" i="39"/>
  <c r="AA35" i="39" s="1"/>
  <c r="U30" i="37"/>
  <c r="W31" i="37"/>
  <c r="E103" i="37"/>
  <c r="F103" i="37" s="1"/>
  <c r="G103" i="37" s="1"/>
  <c r="H103" i="37" s="1"/>
  <c r="I103" i="37" s="1"/>
  <c r="J103" i="37" s="1"/>
  <c r="K103" i="37" s="1"/>
  <c r="L103" i="37" s="1"/>
  <c r="M103" i="37" s="1"/>
  <c r="F39" i="37"/>
  <c r="S39" i="37" s="1"/>
  <c r="F29" i="36"/>
  <c r="AA29" i="36" s="1"/>
  <c r="F16" i="36"/>
  <c r="AA16" i="36" s="1"/>
  <c r="W28" i="36"/>
  <c r="H22" i="35"/>
  <c r="AB22" i="35"/>
  <c r="AC27" i="35"/>
  <c r="U31" i="35"/>
  <c r="W22" i="35"/>
  <c r="S31" i="35"/>
  <c r="F36" i="34"/>
  <c r="J35" i="34"/>
  <c r="U34" i="34"/>
  <c r="H39" i="37"/>
  <c r="AB39" i="37" s="1"/>
  <c r="F11" i="40"/>
  <c r="AA11" i="40" s="1"/>
  <c r="H11" i="40"/>
  <c r="AB11" i="40" s="1"/>
  <c r="W8" i="40"/>
  <c r="U9" i="40"/>
  <c r="S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c r="H42" i="39"/>
  <c r="AB42" i="39" s="1"/>
  <c r="J34" i="39"/>
  <c r="AC34" i="39" s="1"/>
  <c r="H27" i="39"/>
  <c r="U27" i="39" s="1"/>
  <c r="J19" i="39"/>
  <c r="AC19" i="39" s="1"/>
  <c r="J17" i="39"/>
  <c r="J27" i="39"/>
  <c r="AC27" i="39" s="1"/>
  <c r="F27" i="39"/>
  <c r="F11" i="21"/>
  <c r="S11" i="21" s="1"/>
  <c r="C25" i="39"/>
  <c r="H11" i="39"/>
  <c r="S40" i="39"/>
  <c r="H11" i="21"/>
  <c r="U11" i="21" s="1"/>
  <c r="J11" i="21"/>
  <c r="W11" i="21" s="1"/>
  <c r="H37" i="40"/>
  <c r="U37" i="40" s="1"/>
  <c r="H36" i="40"/>
  <c r="AB36" i="40" s="1"/>
  <c r="F35" i="40"/>
  <c r="AA35" i="40" s="1"/>
  <c r="H23" i="40"/>
  <c r="AB23" i="40" s="1"/>
  <c r="H17" i="40"/>
  <c r="U17" i="40" s="1"/>
  <c r="J15" i="40"/>
  <c r="W15" i="40" s="1"/>
  <c r="J11" i="40"/>
  <c r="AC11" i="40" s="1"/>
  <c r="AB12" i="35"/>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c r="J29" i="35"/>
  <c r="W29" i="35" s="1"/>
  <c r="H33" i="35"/>
  <c r="J20" i="35"/>
  <c r="W20" i="35"/>
  <c r="F35" i="37"/>
  <c r="S35" i="37" s="1"/>
  <c r="E101" i="37"/>
  <c r="F101" i="37" s="1"/>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5" i="34"/>
  <c r="S25" i="34" s="1"/>
  <c r="H23" i="34"/>
  <c r="J23" i="34"/>
  <c r="F19" i="34"/>
  <c r="H17" i="34"/>
  <c r="F15" i="34"/>
  <c r="AA15" i="34" s="1"/>
  <c r="J15" i="34"/>
  <c r="AC15" i="34" s="1"/>
  <c r="H15"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s="1"/>
  <c r="F36" i="40"/>
  <c r="AA36" i="40" s="1"/>
  <c r="H28" i="40"/>
  <c r="U28" i="40"/>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J17" i="34"/>
  <c r="W17" i="34" s="1"/>
  <c r="S41" i="33"/>
  <c r="H37" i="33"/>
  <c r="AB37" i="33" s="1"/>
  <c r="H11" i="33"/>
  <c r="AB11" i="33" s="1"/>
  <c r="F28" i="40"/>
  <c r="AA29" i="35"/>
  <c r="AA42" i="34"/>
  <c r="S42" i="34"/>
  <c r="AC38"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J28" i="21"/>
  <c r="W28" i="21" s="1"/>
  <c r="H30" i="21"/>
  <c r="F30" i="21"/>
  <c r="S30" i="21" s="1"/>
  <c r="J30" i="21"/>
  <c r="AC30" i="21" s="1"/>
  <c r="H44" i="21"/>
  <c r="U44" i="21" s="1"/>
  <c r="H46" i="21"/>
  <c r="U46" i="2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S27" i="33" s="1"/>
  <c r="J29" i="33"/>
  <c r="H29" i="33"/>
  <c r="U29" i="33" s="1"/>
  <c r="F29" i="33"/>
  <c r="S29" i="33" s="1"/>
  <c r="H45" i="33"/>
  <c r="U45" i="33" s="1"/>
  <c r="J45" i="33"/>
  <c r="W45" i="33" s="1"/>
  <c r="F45" i="33"/>
  <c r="J14" i="34"/>
  <c r="W14" i="34" s="1"/>
  <c r="F14" i="34"/>
  <c r="S14" i="34" s="1"/>
  <c r="H14" i="34"/>
  <c r="H32" i="34"/>
  <c r="F32" i="34"/>
  <c r="J32" i="34"/>
  <c r="W32" i="34" s="1"/>
  <c r="J26" i="36"/>
  <c r="W26" i="36" s="1"/>
  <c r="H28" i="36"/>
  <c r="U28" i="36" s="1"/>
  <c r="H32" i="36"/>
  <c r="AB32" i="36" s="1"/>
  <c r="J32" i="36"/>
  <c r="W32" i="36" s="1"/>
  <c r="J11" i="36"/>
  <c r="AC11" i="36" s="1"/>
  <c r="H11" i="36"/>
  <c r="U11" i="36" s="1"/>
  <c r="F11" i="36"/>
  <c r="H13" i="36"/>
  <c r="AB13" i="36" s="1"/>
  <c r="J13" i="36"/>
  <c r="F13" i="36"/>
  <c r="S13" i="36" s="1"/>
  <c r="J89" i="37"/>
  <c r="K89" i="37" s="1"/>
  <c r="L89" i="37" s="1"/>
  <c r="M89" i="37" s="1"/>
  <c r="J29" i="37"/>
  <c r="W29" i="37" s="1"/>
  <c r="F29" i="37"/>
  <c r="S29" i="37"/>
  <c r="F105" i="37"/>
  <c r="G105" i="37" s="1"/>
  <c r="H36" i="37"/>
  <c r="AB36" i="37" s="1"/>
  <c r="J37" i="37"/>
  <c r="H37" i="37"/>
  <c r="U37" i="37" s="1"/>
  <c r="H40" i="37"/>
  <c r="U40" i="37" s="1"/>
  <c r="J40" i="37"/>
  <c r="AC40" i="37" s="1"/>
  <c r="F40" i="37"/>
  <c r="AA40" i="37" s="1"/>
  <c r="AC12" i="40"/>
  <c r="H14" i="33"/>
  <c r="U14" i="33" s="1"/>
  <c r="F14" i="33"/>
  <c r="AA14" i="33" s="1"/>
  <c r="J14" i="33"/>
  <c r="H30" i="33"/>
  <c r="AB30" i="33" s="1"/>
  <c r="F30" i="33"/>
  <c r="S30" i="33" s="1"/>
  <c r="J30" i="33"/>
  <c r="AC30" i="33" s="1"/>
  <c r="J44" i="33"/>
  <c r="W44" i="33" s="1"/>
  <c r="J46" i="33"/>
  <c r="AC46" i="33" s="1"/>
  <c r="F46" i="33"/>
  <c r="AA46" i="33" s="1"/>
  <c r="H46" i="33"/>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W28" i="37" s="1"/>
  <c r="H28" i="37"/>
  <c r="F43" i="39"/>
  <c r="AA43" i="39" s="1"/>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27" i="37"/>
  <c r="AA27" i="37"/>
  <c r="F13" i="39"/>
  <c r="J13" i="39"/>
  <c r="W13" i="39" s="1"/>
  <c r="H13" i="39"/>
  <c r="J27" i="37"/>
  <c r="AC27" i="37" s="1"/>
  <c r="J36" i="37"/>
  <c r="AC36" i="37"/>
  <c r="J10" i="36"/>
  <c r="AC10" i="36" s="1"/>
  <c r="AA14" i="34"/>
  <c r="AC28" i="21"/>
  <c r="S44" i="34"/>
  <c r="F17" i="21"/>
  <c r="AA17" i="21" s="1"/>
  <c r="H17" i="21"/>
  <c r="AB17" i="21" s="1"/>
  <c r="F15" i="21"/>
  <c r="S15" i="21" s="1"/>
  <c r="J41" i="39"/>
  <c r="W41" i="39" s="1"/>
  <c r="W44" i="39"/>
  <c r="U36" i="39"/>
  <c r="S35" i="39"/>
  <c r="G544" i="3"/>
  <c r="G540" i="3"/>
  <c r="G536" i="3"/>
  <c r="G531" i="3"/>
  <c r="G528" i="3"/>
  <c r="G523" i="3"/>
  <c r="G518" i="3"/>
  <c r="G514" i="3"/>
  <c r="G508" i="3"/>
  <c r="G504" i="3"/>
  <c r="G500" i="3"/>
  <c r="G584" i="3"/>
  <c r="G580" i="3"/>
  <c r="G576" i="3"/>
  <c r="G564" i="3"/>
  <c r="G560" i="3"/>
  <c r="G554" i="3"/>
  <c r="BL584" i="3"/>
  <c r="BL580" i="3"/>
  <c r="BL564" i="3"/>
  <c r="BL546" i="3"/>
  <c r="BL542" i="3"/>
  <c r="BL530" i="3"/>
  <c r="BL526" i="3"/>
  <c r="BL512" i="3"/>
  <c r="BL506" i="3"/>
  <c r="BL494" i="3"/>
  <c r="BL582" i="3"/>
  <c r="BL570" i="3"/>
  <c r="BL552" i="3"/>
  <c r="BL544" i="3"/>
  <c r="G533" i="3"/>
  <c r="BL532" i="3"/>
  <c r="G529" i="3"/>
  <c r="G525" i="3"/>
  <c r="BL524" i="3"/>
  <c r="BL510" i="3"/>
  <c r="BL504" i="3"/>
  <c r="G493" i="3"/>
  <c r="BA584" i="3"/>
  <c r="BA578" i="3"/>
  <c r="BA576" i="3"/>
  <c r="BA570" i="3"/>
  <c r="BA562" i="3"/>
  <c r="BA560" i="3"/>
  <c r="BA556" i="3"/>
  <c r="BA552" i="3"/>
  <c r="AZ552" i="3" s="1"/>
  <c r="BA544" i="3"/>
  <c r="BA540" i="3"/>
  <c r="BA538" i="3"/>
  <c r="BA534" i="3"/>
  <c r="BA530" i="3"/>
  <c r="BA528" i="3"/>
  <c r="BA524" i="3"/>
  <c r="BA522" i="3"/>
  <c r="BA520" i="3"/>
  <c r="BA516" i="3"/>
  <c r="BA514" i="3"/>
  <c r="BA512" i="3"/>
  <c r="BA510" i="3"/>
  <c r="AZ510" i="3"/>
  <c r="BA508" i="3"/>
  <c r="AZ508" i="3" s="1"/>
  <c r="BA504" i="3"/>
  <c r="AZ504" i="3" s="1"/>
  <c r="BA502" i="3"/>
  <c r="BA498" i="3"/>
  <c r="BA496" i="3"/>
  <c r="BA587" i="3"/>
  <c r="BA583" i="3"/>
  <c r="BA579" i="3"/>
  <c r="BA577" i="3"/>
  <c r="BA575" i="3"/>
  <c r="BA571"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7" i="3"/>
  <c r="G565" i="3"/>
  <c r="G563" i="3"/>
  <c r="G561" i="3"/>
  <c r="BL558" i="3"/>
  <c r="BA557" i="3"/>
  <c r="AC557" i="3"/>
  <c r="G557" i="3" s="1"/>
  <c r="BQ557" i="3"/>
  <c r="BL557" i="3" s="1"/>
  <c r="BQ583" i="3"/>
  <c r="BL583" i="3" s="1"/>
  <c r="AZ583" i="3" s="1"/>
  <c r="BQ581" i="3"/>
  <c r="BQ579" i="3"/>
  <c r="BL579" i="3" s="1"/>
  <c r="BQ577" i="3"/>
  <c r="BL577" i="3" s="1"/>
  <c r="BQ575" i="3"/>
  <c r="BL575" i="3" s="1"/>
  <c r="BQ573" i="3"/>
  <c r="BL573" i="3" s="1"/>
  <c r="BQ571" i="3"/>
  <c r="BQ569" i="3"/>
  <c r="BQ567" i="3"/>
  <c r="BQ565" i="3"/>
  <c r="BQ563" i="3"/>
  <c r="BL563" i="3" s="1"/>
  <c r="BQ561" i="3"/>
  <c r="BL561" i="3" s="1"/>
  <c r="BQ559" i="3"/>
  <c r="BL559" i="3" s="1"/>
  <c r="G555" i="3"/>
  <c r="G553" i="3"/>
  <c r="G549" i="3"/>
  <c r="G547" i="3"/>
  <c r="G545" i="3"/>
  <c r="G543" i="3"/>
  <c r="G541" i="3"/>
  <c r="G539" i="3"/>
  <c r="G537" i="3"/>
  <c r="BQ555" i="3"/>
  <c r="BL555" i="3" s="1"/>
  <c r="BQ553" i="3"/>
  <c r="BQ551" i="3"/>
  <c r="BL551" i="3" s="1"/>
  <c r="BQ549" i="3"/>
  <c r="BQ547" i="3"/>
  <c r="BL547" i="3" s="1"/>
  <c r="BQ545" i="3"/>
  <c r="BL545" i="3" s="1"/>
  <c r="BQ543" i="3"/>
  <c r="BQ541" i="3"/>
  <c r="BL541" i="3"/>
  <c r="BQ539" i="3"/>
  <c r="BQ537" i="3"/>
  <c r="BL537" i="3" s="1"/>
  <c r="BQ535" i="3"/>
  <c r="BL535" i="3" s="1"/>
  <c r="BQ533" i="3"/>
  <c r="BL533" i="3" s="1"/>
  <c r="AZ533" i="3" s="1"/>
  <c r="BQ531" i="3"/>
  <c r="BL531" i="3" s="1"/>
  <c r="BQ529" i="3"/>
  <c r="BQ527" i="3"/>
  <c r="BL527" i="3" s="1"/>
  <c r="AZ527" i="3" s="1"/>
  <c r="BQ525" i="3"/>
  <c r="BQ523" i="3"/>
  <c r="BL523" i="3" s="1"/>
  <c r="BA521" i="3"/>
  <c r="AC521" i="3"/>
  <c r="G521" i="3" s="1"/>
  <c r="BQ521" i="3"/>
  <c r="BL521" i="3" s="1"/>
  <c r="BL520" i="3"/>
  <c r="G519" i="3"/>
  <c r="G517" i="3"/>
  <c r="G515" i="3"/>
  <c r="G511" i="3"/>
  <c r="BQ519" i="3"/>
  <c r="BL519" i="3" s="1"/>
  <c r="BQ517" i="3"/>
  <c r="BQ515" i="3"/>
  <c r="BL515" i="3" s="1"/>
  <c r="BQ513" i="3"/>
  <c r="BL513" i="3"/>
  <c r="BQ511" i="3"/>
  <c r="BA509" i="3"/>
  <c r="AC509" i="3"/>
  <c r="BQ509" i="3"/>
  <c r="BL508" i="3"/>
  <c r="G507" i="3"/>
  <c r="G503" i="3"/>
  <c r="G501" i="3"/>
  <c r="G499" i="3"/>
  <c r="G495" i="3"/>
  <c r="BQ507" i="3"/>
  <c r="BQ505" i="3"/>
  <c r="BQ503" i="3"/>
  <c r="BL503" i="3" s="1"/>
  <c r="BQ501" i="3"/>
  <c r="BQ499" i="3"/>
  <c r="BL499" i="3" s="1"/>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E123" i="33"/>
  <c r="F14" i="36"/>
  <c r="AA14" i="36" s="1"/>
  <c r="F22" i="36"/>
  <c r="F26" i="36"/>
  <c r="S26" i="36" s="1"/>
  <c r="H27" i="34"/>
  <c r="AB27" i="34" s="1"/>
  <c r="H35" i="34"/>
  <c r="U35" i="34" s="1"/>
  <c r="F41" i="34"/>
  <c r="H41" i="34"/>
  <c r="U41" i="34" s="1"/>
  <c r="J41" i="34"/>
  <c r="AC41" i="34" s="1"/>
  <c r="F10" i="35"/>
  <c r="S10" i="35" s="1"/>
  <c r="F24" i="35"/>
  <c r="AA24" i="35" s="1"/>
  <c r="H24" i="35"/>
  <c r="AB24" i="35"/>
  <c r="H23" i="37"/>
  <c r="J32" i="37"/>
  <c r="AC32" i="37"/>
  <c r="F36" i="37"/>
  <c r="F37" i="37"/>
  <c r="AA37" i="37"/>
  <c r="F31" i="40"/>
  <c r="AA31" i="40" s="1"/>
  <c r="H31" i="40"/>
  <c r="U31" i="40"/>
  <c r="F32" i="40"/>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W47" i="34"/>
  <c r="AC36" i="34"/>
  <c r="U19" i="21"/>
  <c r="AB38" i="21"/>
  <c r="F43" i="33"/>
  <c r="AA43" i="33" s="1"/>
  <c r="W15" i="34"/>
  <c r="W40" i="37"/>
  <c r="H37" i="21"/>
  <c r="U37" i="21" s="1"/>
  <c r="S42" i="21"/>
  <c r="H19" i="34"/>
  <c r="AB19" i="34" s="1"/>
  <c r="F36" i="35"/>
  <c r="J9" i="37"/>
  <c r="W9" i="37" s="1"/>
  <c r="H9" i="37"/>
  <c r="U9" i="37" s="1"/>
  <c r="F9" i="37"/>
  <c r="S9" i="37" s="1"/>
  <c r="J12" i="37"/>
  <c r="H12" i="37"/>
  <c r="AB12" i="37" s="1"/>
  <c r="F12" i="37"/>
  <c r="S12" i="37" s="1"/>
  <c r="E71" i="37"/>
  <c r="F71" i="37" s="1"/>
  <c r="G71" i="37" s="1"/>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W23" i="39"/>
  <c r="U45" i="39"/>
  <c r="AB45" i="39"/>
  <c r="AB44" i="39"/>
  <c r="U44" i="39"/>
  <c r="G100" i="39"/>
  <c r="H25" i="39"/>
  <c r="AB25" i="39" s="1"/>
  <c r="J25" i="39"/>
  <c r="F25" i="39"/>
  <c r="AA25" i="39" s="1"/>
  <c r="F15" i="39"/>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G4" i="4"/>
  <c r="I4" i="4"/>
  <c r="A2" i="9"/>
  <c r="F61" i="43"/>
  <c r="H64" i="43" s="1"/>
  <c r="BL549" i="3"/>
  <c r="AZ549" i="3" s="1"/>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G153" i="3"/>
  <c r="BA155" i="3"/>
  <c r="BL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BL319" i="3"/>
  <c r="G320" i="3"/>
  <c r="BA322" i="3"/>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BL370" i="3"/>
  <c r="G371" i="3"/>
  <c r="BA373" i="3"/>
  <c r="AZ373" i="3" s="1"/>
  <c r="BL374" i="3"/>
  <c r="G375" i="3"/>
  <c r="BA377" i="3"/>
  <c r="AZ377" i="3" s="1"/>
  <c r="AZ229" i="3"/>
  <c r="BA379" i="3"/>
  <c r="AZ379" i="3" s="1"/>
  <c r="BL380" i="3"/>
  <c r="G381" i="3"/>
  <c r="BA383" i="3"/>
  <c r="BL384" i="3"/>
  <c r="G385" i="3"/>
  <c r="BA387" i="3"/>
  <c r="BL388" i="3"/>
  <c r="G389" i="3"/>
  <c r="BA391" i="3"/>
  <c r="BL392" i="3"/>
  <c r="G393" i="3"/>
  <c r="BO5" i="3"/>
  <c r="BM5" i="3"/>
  <c r="BJ5" i="3"/>
  <c r="BF5" i="3"/>
  <c r="AZ325" i="3"/>
  <c r="G548" i="3"/>
  <c r="G538" i="3"/>
  <c r="G520" i="3"/>
  <c r="G502" i="3"/>
  <c r="BS5" i="3"/>
  <c r="BN5" i="3"/>
  <c r="BI5" i="3"/>
  <c r="BE5" i="3"/>
  <c r="G17" i="3"/>
  <c r="BA17" i="3"/>
  <c r="AZ350" i="3"/>
  <c r="BA15" i="3"/>
  <c r="AZ499" i="3"/>
  <c r="G509" i="3"/>
  <c r="U36" i="40"/>
  <c r="F83" i="43"/>
  <c r="H85" i="43" s="1"/>
  <c r="F50" i="43"/>
  <c r="H54" i="43" s="1"/>
  <c r="F72" i="43"/>
  <c r="H75" i="43" s="1"/>
  <c r="U17" i="39"/>
  <c r="S14" i="35"/>
  <c r="U43" i="21"/>
  <c r="U35" i="21"/>
  <c r="AC35" i="21"/>
  <c r="G10" i="1"/>
  <c r="AZ563" i="3"/>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S20" i="35" s="1"/>
  <c r="AB23"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72" i="3"/>
  <c r="F23" i="39"/>
  <c r="AA23" i="39"/>
  <c r="H27" i="36"/>
  <c r="U27" i="36" s="1"/>
  <c r="F27" i="36"/>
  <c r="AA27" i="36" s="1"/>
  <c r="H33" i="34"/>
  <c r="U33" i="34"/>
  <c r="F32" i="37"/>
  <c r="AA32" i="37" s="1"/>
  <c r="F20" i="36"/>
  <c r="AA20" i="36" s="1"/>
  <c r="J33" i="34"/>
  <c r="AC33" i="34" s="1"/>
  <c r="H23" i="39"/>
  <c r="U23" i="39" s="1"/>
  <c r="K9" i="1"/>
  <c r="M9" i="1" s="1"/>
  <c r="D93" i="9"/>
  <c r="K6" i="1"/>
  <c r="AP6" i="1" s="1"/>
  <c r="W27" i="34"/>
  <c r="AC27" i="34"/>
  <c r="AB34" i="36"/>
  <c r="U34" i="36"/>
  <c r="AC12" i="39"/>
  <c r="W12" i="39"/>
  <c r="AC39" i="40"/>
  <c r="W39" i="40"/>
  <c r="AZ465" i="3"/>
  <c r="W12" i="33"/>
  <c r="AC12" i="33"/>
  <c r="AA32" i="36"/>
  <c r="S32" i="36"/>
  <c r="BL14" i="3"/>
  <c r="U30" i="33"/>
  <c r="AC13" i="34"/>
  <c r="AA47" i="34"/>
  <c r="S19" i="39"/>
  <c r="F12" i="33"/>
  <c r="AA12" i="33" s="1"/>
  <c r="H12" i="39"/>
  <c r="AB12" i="39" s="1"/>
  <c r="F39" i="40"/>
  <c r="BA14" i="3"/>
  <c r="AZ14" i="3" s="1"/>
  <c r="B12" i="1"/>
  <c r="E12" i="1" s="1"/>
  <c r="B10" i="1"/>
  <c r="E10" i="1" s="1"/>
  <c r="K12" i="1"/>
  <c r="M12" i="1" s="1"/>
  <c r="S13" i="1"/>
  <c r="AR13" i="1" s="1"/>
  <c r="R13" i="1"/>
  <c r="J51" i="67"/>
  <c r="C42" i="1"/>
  <c r="C24" i="12" s="1"/>
  <c r="B41" i="1"/>
  <c r="F48" i="9" s="1"/>
  <c r="O52" i="9" s="1"/>
  <c r="AB37" i="40"/>
  <c r="U35" i="40"/>
  <c r="AC36" i="40"/>
  <c r="W38" i="40"/>
  <c r="S17" i="40"/>
  <c r="S23" i="40"/>
  <c r="AC17" i="40"/>
  <c r="AC15" i="40"/>
  <c r="AB27" i="40"/>
  <c r="AA19" i="40"/>
  <c r="AA27" i="40"/>
  <c r="U21" i="40"/>
  <c r="AB19" i="40"/>
  <c r="U35" i="39"/>
  <c r="F32" i="39"/>
  <c r="F106" i="39"/>
  <c r="G106" i="39" s="1"/>
  <c r="H106" i="39" s="1"/>
  <c r="I106" i="39" s="1"/>
  <c r="J106" i="39" s="1"/>
  <c r="K106" i="39" s="1"/>
  <c r="L106" i="39" s="1"/>
  <c r="M106" i="39" s="1"/>
  <c r="AB27" i="39"/>
  <c r="J21" i="39"/>
  <c r="W21" i="39" s="1"/>
  <c r="F21" i="39"/>
  <c r="AA21" i="39" s="1"/>
  <c r="G94" i="39"/>
  <c r="H21" i="39"/>
  <c r="W19" i="39"/>
  <c r="U19" i="39"/>
  <c r="S17" i="39"/>
  <c r="AA12" i="39"/>
  <c r="S9" i="39"/>
  <c r="U14" i="39"/>
  <c r="AC13" i="39"/>
  <c r="U12" i="39"/>
  <c r="S23" i="36"/>
  <c r="U13" i="36"/>
  <c r="U26" i="36"/>
  <c r="AA26" i="36"/>
  <c r="AA34" i="36"/>
  <c r="AC26" i="36"/>
  <c r="W14" i="36"/>
  <c r="AB14" i="36"/>
  <c r="U22" i="36"/>
  <c r="S16" i="36"/>
  <c r="AA25" i="36"/>
  <c r="U24" i="36"/>
  <c r="U23" i="36"/>
  <c r="AB20" i="36"/>
  <c r="U16" i="36"/>
  <c r="S14" i="36"/>
  <c r="S23" i="35"/>
  <c r="W24" i="35"/>
  <c r="AB13" i="35"/>
  <c r="U29" i="35"/>
  <c r="U28" i="35"/>
  <c r="AB27" i="35"/>
  <c r="U32" i="35"/>
  <c r="AA33" i="35"/>
  <c r="AC30" i="35"/>
  <c r="S32" i="35"/>
  <c r="S28" i="35"/>
  <c r="AB16" i="35"/>
  <c r="U22" i="35"/>
  <c r="AC20" i="35"/>
  <c r="S22" i="35"/>
  <c r="U14" i="35"/>
  <c r="AC9" i="35"/>
  <c r="W9" i="35"/>
  <c r="AC12" i="35"/>
  <c r="W13" i="35"/>
  <c r="F9" i="35"/>
  <c r="S9" i="35" s="1"/>
  <c r="H9" i="35"/>
  <c r="U9" i="35" s="1"/>
  <c r="AB40" i="37"/>
  <c r="W27" i="37"/>
  <c r="AC29" i="37"/>
  <c r="U29" i="37"/>
  <c r="AB31" i="37"/>
  <c r="W30" i="37"/>
  <c r="AC35" i="37"/>
  <c r="W39" i="37"/>
  <c r="S30" i="37"/>
  <c r="S37" i="37"/>
  <c r="AC15" i="37"/>
  <c r="J17" i="37"/>
  <c r="W17" i="37" s="1"/>
  <c r="G73" i="37"/>
  <c r="F17" i="37"/>
  <c r="AA17" i="37" s="1"/>
  <c r="AB17" i="37"/>
  <c r="F19" i="37"/>
  <c r="S19" i="37" s="1"/>
  <c r="F79" i="37"/>
  <c r="F23" i="37"/>
  <c r="S23" i="37" s="1"/>
  <c r="U15" i="37"/>
  <c r="AC13" i="37"/>
  <c r="AA13" i="37"/>
  <c r="H10" i="37"/>
  <c r="AB10" i="37" s="1"/>
  <c r="F63" i="37"/>
  <c r="F11" i="37"/>
  <c r="S11" i="37" s="1"/>
  <c r="W25" i="34"/>
  <c r="AB8" i="34"/>
  <c r="AA33" i="34"/>
  <c r="U43" i="34"/>
  <c r="W41" i="34"/>
  <c r="AC42" i="34"/>
  <c r="AB35" i="34"/>
  <c r="U39" i="34"/>
  <c r="AB41" i="34"/>
  <c r="AA45" i="34"/>
  <c r="AA25" i="34"/>
  <c r="AA29" i="34"/>
  <c r="U27" i="34"/>
  <c r="S23" i="34"/>
  <c r="S13" i="34"/>
  <c r="H10" i="34"/>
  <c r="AB10" i="34" s="1"/>
  <c r="F11" i="34"/>
  <c r="S11" i="34" s="1"/>
  <c r="F70" i="34"/>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W43" i="33"/>
  <c r="F91" i="33"/>
  <c r="H27" i="33"/>
  <c r="AB27"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G13" i="3"/>
  <c r="BA13" i="3"/>
  <c r="BL17" i="3"/>
  <c r="AZ17" i="3"/>
  <c r="BL13" i="3"/>
  <c r="J56" i="9"/>
  <c r="J57" i="9" s="1"/>
  <c r="J59" i="9" s="1"/>
  <c r="J61" i="9" s="1"/>
  <c r="U29" i="34"/>
  <c r="E5" i="6"/>
  <c r="E32" i="6"/>
  <c r="G1" i="68"/>
  <c r="K1" i="12"/>
  <c r="E19" i="69"/>
  <c r="E19" i="68"/>
  <c r="E19"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AC20" i="36"/>
  <c r="U25" i="36"/>
  <c r="AB28" i="36"/>
  <c r="AA13" i="36"/>
  <c r="W9" i="36"/>
  <c r="W22" i="36"/>
  <c r="AC25" i="35"/>
  <c r="U25" i="35"/>
  <c r="S24" i="35"/>
  <c r="U24" i="35"/>
  <c r="S35" i="35"/>
  <c r="W35" i="35"/>
  <c r="AA16" i="35"/>
  <c r="W36" i="37"/>
  <c r="S27" i="37"/>
  <c r="S28" i="37"/>
  <c r="W32" i="37"/>
  <c r="U36" i="37"/>
  <c r="S40" i="37"/>
  <c r="AB37" i="37"/>
  <c r="AC34" i="37"/>
  <c r="AB35" i="37"/>
  <c r="AA31" i="37"/>
  <c r="U19" i="37"/>
  <c r="AA29" i="37"/>
  <c r="U8" i="37"/>
  <c r="AA40" i="34"/>
  <c r="AB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W46" i="33"/>
  <c r="U38" i="33"/>
  <c r="AA30" i="33"/>
  <c r="AC14" i="33"/>
  <c r="W14" i="33"/>
  <c r="W30" i="33"/>
  <c r="AC2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J17" i="21"/>
  <c r="W17" i="21" s="1"/>
  <c r="AC19" i="21"/>
  <c r="W39" i="21"/>
  <c r="AC14" i="21"/>
  <c r="W30" i="21"/>
  <c r="S46" i="21"/>
  <c r="H45" i="21"/>
  <c r="U45" i="21" s="1"/>
  <c r="F29" i="21"/>
  <c r="AA29" i="21" s="1"/>
  <c r="F13" i="21"/>
  <c r="AA13" i="21" s="1"/>
  <c r="AC38" i="21"/>
  <c r="H32" i="21"/>
  <c r="H9" i="21"/>
  <c r="U9" i="21" s="1"/>
  <c r="J9" i="21"/>
  <c r="AC9" i="21" s="1"/>
  <c r="J32" i="21"/>
  <c r="W32" i="21" s="1"/>
  <c r="F32" i="21"/>
  <c r="S32" i="21" s="1"/>
  <c r="AA31" i="21"/>
  <c r="U17" i="21"/>
  <c r="S19" i="21"/>
  <c r="S9" i="21"/>
  <c r="AA9" i="21"/>
  <c r="K141" i="21"/>
  <c r="K144" i="21"/>
  <c r="K143" i="21"/>
  <c r="AB25" i="21"/>
  <c r="AB44" i="21"/>
  <c r="AA30" i="21"/>
  <c r="W42" i="21"/>
  <c r="AC45" i="21"/>
  <c r="F10" i="21"/>
  <c r="AA10" i="21" s="1"/>
  <c r="K145" i="21"/>
  <c r="W31" i="21"/>
  <c r="S27" i="21"/>
  <c r="S17" i="21"/>
  <c r="AA15" i="21"/>
  <c r="AC26" i="21"/>
  <c r="S28" i="21"/>
  <c r="AC34" i="21"/>
  <c r="AB36" i="21"/>
  <c r="W30" i="40"/>
  <c r="C19" i="39"/>
  <c r="C15" i="40"/>
  <c r="C17" i="40"/>
  <c r="C21" i="40"/>
  <c r="U30" i="40"/>
  <c r="B56" i="43"/>
  <c r="B67" i="43"/>
  <c r="B51" i="43"/>
  <c r="B54" i="43"/>
  <c r="B58" i="43"/>
  <c r="B62" i="43"/>
  <c r="B65" i="43"/>
  <c r="B69" i="43"/>
  <c r="D23" i="15"/>
  <c r="D22" i="15"/>
  <c r="E4" i="4"/>
  <c r="B5" i="62" s="1"/>
  <c r="B73" i="72" s="1"/>
  <c r="C4" i="4"/>
  <c r="F30" i="11"/>
  <c r="C48" i="11" s="1"/>
  <c r="AA39" i="40"/>
  <c r="S39" i="40"/>
  <c r="J32" i="39"/>
  <c r="W32" i="39" s="1"/>
  <c r="H32" i="39"/>
  <c r="AB32" i="39" s="1"/>
  <c r="AA32" i="39"/>
  <c r="S32" i="39"/>
  <c r="AB21" i="39"/>
  <c r="U21" i="39"/>
  <c r="AC17" i="37"/>
  <c r="S17" i="37"/>
  <c r="J19" i="37"/>
  <c r="W19" i="37" s="1"/>
  <c r="AA23" i="37"/>
  <c r="J23" i="37"/>
  <c r="W23" i="37" s="1"/>
  <c r="G79" i="37"/>
  <c r="J10" i="37"/>
  <c r="W10" i="37" s="1"/>
  <c r="G63" i="37"/>
  <c r="H63" i="37" s="1"/>
  <c r="I63" i="37" s="1"/>
  <c r="H11" i="37"/>
  <c r="AB11" i="37" s="1"/>
  <c r="G70" i="34"/>
  <c r="H11" i="34"/>
  <c r="U11" i="34" s="1"/>
  <c r="J10" i="34"/>
  <c r="AC10" i="34" s="1"/>
  <c r="J36" i="33"/>
  <c r="W36" i="33" s="1"/>
  <c r="H36" i="33"/>
  <c r="U36" i="33" s="1"/>
  <c r="G91" i="33"/>
  <c r="H91" i="33"/>
  <c r="I91" i="33" s="1"/>
  <c r="J91" i="33" s="1"/>
  <c r="K91" i="33" s="1"/>
  <c r="L91" i="33" s="1"/>
  <c r="M91" i="33" s="1"/>
  <c r="J27" i="33"/>
  <c r="W27" i="33" s="1"/>
  <c r="J25" i="33"/>
  <c r="W25" i="33" s="1"/>
  <c r="F23" i="33"/>
  <c r="H19" i="33"/>
  <c r="AB19" i="33" s="1"/>
  <c r="G81" i="33"/>
  <c r="F17" i="33"/>
  <c r="S17" i="33" s="1"/>
  <c r="AA23" i="21"/>
  <c r="J23" i="21"/>
  <c r="W23" i="21" s="1"/>
  <c r="F85" i="21"/>
  <c r="G85" i="21" s="1"/>
  <c r="H23" i="21"/>
  <c r="U23" i="21" s="1"/>
  <c r="S13" i="21"/>
  <c r="AP7" i="1"/>
  <c r="AA32" i="21"/>
  <c r="W9" i="21"/>
  <c r="AB32" i="21"/>
  <c r="U32" i="21"/>
  <c r="U32" i="39"/>
  <c r="J63" i="37"/>
  <c r="K63" i="37" s="1"/>
  <c r="L63" i="37" s="1"/>
  <c r="M63" i="37" s="1"/>
  <c r="J11" i="37"/>
  <c r="AC11" i="37" s="1"/>
  <c r="H70" i="34"/>
  <c r="I70" i="34" s="1"/>
  <c r="J70" i="34" s="1"/>
  <c r="K70" i="34" s="1"/>
  <c r="L70" i="34" s="1"/>
  <c r="M70" i="34" s="1"/>
  <c r="J11" i="34"/>
  <c r="W11" i="34" s="1"/>
  <c r="AB23" i="21"/>
  <c r="H109" i="9"/>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9" i="15"/>
  <c r="E13" i="76"/>
  <c r="E8" i="76"/>
  <c r="E2" i="69"/>
  <c r="J15" i="15"/>
  <c r="M6" i="15"/>
  <c r="F42" i="15"/>
  <c r="B13" i="76"/>
  <c r="F38" i="67"/>
  <c r="B10" i="76"/>
  <c r="M8" i="67"/>
  <c r="E9" i="76"/>
  <c r="E2" i="68"/>
  <c r="F7" i="73"/>
  <c r="B12" i="76"/>
  <c r="AO13" i="1"/>
  <c r="E12" i="76"/>
  <c r="M26" i="67"/>
  <c r="M24" i="67"/>
  <c r="F3" i="73"/>
  <c r="B11" i="76"/>
  <c r="E11" i="76"/>
  <c r="E10" i="76"/>
  <c r="F37" i="15"/>
  <c r="M29" i="67"/>
  <c r="F16" i="67"/>
  <c r="F26" i="15"/>
  <c r="B7" i="76"/>
  <c r="F36" i="15"/>
  <c r="B9" i="76"/>
  <c r="F4" i="73"/>
  <c r="E7" i="76"/>
  <c r="F6" i="73"/>
  <c r="M24" i="15"/>
  <c r="F13" i="15"/>
  <c r="F20" i="31"/>
  <c r="C76" i="15"/>
  <c r="M6" i="67"/>
  <c r="F7" i="15"/>
  <c r="F16" i="15"/>
  <c r="B8" i="76"/>
  <c r="F5" i="73"/>
  <c r="F38" i="15"/>
  <c r="D6" i="73"/>
  <c r="AC23" i="37" l="1"/>
  <c r="AA19" i="37"/>
  <c r="W27" i="40"/>
  <c r="U32" i="37"/>
  <c r="U25" i="39"/>
  <c r="S30" i="40"/>
  <c r="AZ387" i="3"/>
  <c r="AA15" i="39"/>
  <c r="S15" i="39"/>
  <c r="S25" i="35"/>
  <c r="AA25" i="35"/>
  <c r="AA28" i="40"/>
  <c r="S28" i="40"/>
  <c r="AB15" i="34"/>
  <c r="U15" i="34"/>
  <c r="AB9" i="21"/>
  <c r="AC23" i="21"/>
  <c r="AB45" i="21"/>
  <c r="AB25" i="33"/>
  <c r="AC17" i="21"/>
  <c r="S43" i="34"/>
  <c r="S15" i="37"/>
  <c r="AZ304" i="3"/>
  <c r="AA32" i="40"/>
  <c r="S32" i="40"/>
  <c r="S22" i="36"/>
  <c r="AA22" i="36"/>
  <c r="AZ577" i="3"/>
  <c r="AC37" i="37"/>
  <c r="W37" i="37"/>
  <c r="S17" i="34"/>
  <c r="AA17" i="34"/>
  <c r="U34" i="35"/>
  <c r="AB34" i="35"/>
  <c r="U12" i="36"/>
  <c r="AB12" i="36"/>
  <c r="AA20" i="35"/>
  <c r="AZ389" i="3"/>
  <c r="U23" i="37"/>
  <c r="AB23" i="37"/>
  <c r="AZ521" i="3"/>
  <c r="AZ544" i="3"/>
  <c r="W35" i="40"/>
  <c r="AC35" i="40"/>
  <c r="AC28" i="37"/>
  <c r="U23" i="34"/>
  <c r="AB23" i="34"/>
  <c r="S36" i="35"/>
  <c r="AA36" i="35"/>
  <c r="S36" i="37"/>
  <c r="AA36" i="37"/>
  <c r="J42" i="33"/>
  <c r="F42" i="33"/>
  <c r="AA42" i="33" s="1"/>
  <c r="U33" i="40"/>
  <c r="AB33" i="40"/>
  <c r="W31" i="34"/>
  <c r="AC31" i="34"/>
  <c r="U30" i="21"/>
  <c r="AB30" i="21"/>
  <c r="AB17" i="34"/>
  <c r="U17" i="34"/>
  <c r="AC31" i="40"/>
  <c r="W31" i="40"/>
  <c r="AZ311" i="3"/>
  <c r="AZ356" i="3"/>
  <c r="AZ557" i="3"/>
  <c r="J28" i="34"/>
  <c r="W11" i="40"/>
  <c r="S40" i="21"/>
  <c r="J45" i="39"/>
  <c r="W45" i="39" s="1"/>
  <c r="J9" i="33"/>
  <c r="J26" i="33"/>
  <c r="H36" i="35"/>
  <c r="H38" i="40"/>
  <c r="F38" i="40"/>
  <c r="BR5" i="3"/>
  <c r="BA568" i="3"/>
  <c r="BL567" i="3"/>
  <c r="BA567" i="3"/>
  <c r="BT5" i="3"/>
  <c r="BP5" i="3"/>
  <c r="BK5" i="3"/>
  <c r="BG5" i="3"/>
  <c r="BC5" i="3"/>
  <c r="BB5" i="3"/>
  <c r="G448" i="3"/>
  <c r="BA448" i="3"/>
  <c r="F9" i="33"/>
  <c r="AA9" i="33" s="1"/>
  <c r="G579" i="3"/>
  <c r="G571" i="3"/>
  <c r="G556" i="3"/>
  <c r="G14" i="3"/>
  <c r="BA402" i="3"/>
  <c r="BL409" i="3"/>
  <c r="BL420" i="3"/>
  <c r="G422" i="3"/>
  <c r="G423" i="3"/>
  <c r="G432" i="3"/>
  <c r="BL432" i="3"/>
  <c r="G437" i="3"/>
  <c r="BA437" i="3"/>
  <c r="G463" i="3"/>
  <c r="BA469" i="3"/>
  <c r="BA478" i="3"/>
  <c r="BL484" i="3"/>
  <c r="BL308" i="3"/>
  <c r="AZ308" i="3" s="1"/>
  <c r="S35" i="40"/>
  <c r="AZ391" i="3"/>
  <c r="AZ369" i="3"/>
  <c r="AZ364" i="3"/>
  <c r="AZ360" i="3"/>
  <c r="U40" i="39"/>
  <c r="W16" i="35"/>
  <c r="U39" i="37"/>
  <c r="H28" i="34"/>
  <c r="AZ515" i="3"/>
  <c r="AZ523" i="3"/>
  <c r="AZ535" i="3"/>
  <c r="AZ547" i="3"/>
  <c r="AZ559" i="3"/>
  <c r="F24" i="36"/>
  <c r="U34" i="21"/>
  <c r="S38" i="39"/>
  <c r="H39" i="33"/>
  <c r="AB39" i="33" s="1"/>
  <c r="W28" i="35"/>
  <c r="G550" i="3"/>
  <c r="G535" i="3"/>
  <c r="G532" i="3"/>
  <c r="G527" i="3"/>
  <c r="G513" i="3"/>
  <c r="G510" i="3"/>
  <c r="G505" i="3"/>
  <c r="G497" i="3"/>
  <c r="G496" i="3"/>
  <c r="A15" i="62"/>
  <c r="B61" i="72" s="1"/>
  <c r="G398" i="3"/>
  <c r="BA404" i="3"/>
  <c r="BA405" i="3"/>
  <c r="BL412" i="3"/>
  <c r="BL413" i="3"/>
  <c r="BL419" i="3"/>
  <c r="BL424" i="3"/>
  <c r="BL430" i="3"/>
  <c r="BL435" i="3"/>
  <c r="BL436" i="3"/>
  <c r="BA456" i="3"/>
  <c r="BL458" i="3"/>
  <c r="BL459" i="3"/>
  <c r="G461" i="3"/>
  <c r="BL488" i="3"/>
  <c r="BA451" i="3"/>
  <c r="BL455" i="3"/>
  <c r="BA467" i="3"/>
  <c r="BA468" i="3"/>
  <c r="BL471" i="3"/>
  <c r="BA477" i="3"/>
  <c r="BA481" i="3"/>
  <c r="BA487" i="3"/>
  <c r="AZ487" i="3" s="1"/>
  <c r="BL490" i="3"/>
  <c r="G323" i="3"/>
  <c r="BA331" i="3"/>
  <c r="AZ331" i="3" s="1"/>
  <c r="BA335" i="3"/>
  <c r="AZ335" i="3" s="1"/>
  <c r="BA339" i="3"/>
  <c r="AZ339" i="3" s="1"/>
  <c r="BA366" i="3"/>
  <c r="AZ366" i="3" s="1"/>
  <c r="BL385" i="3"/>
  <c r="BL208" i="3"/>
  <c r="BA210" i="3"/>
  <c r="BL210" i="3"/>
  <c r="BL212" i="3"/>
  <c r="G218" i="3"/>
  <c r="BA218" i="3"/>
  <c r="BL218" i="3"/>
  <c r="BA220" i="3"/>
  <c r="BL220" i="3"/>
  <c r="BL221" i="3"/>
  <c r="BA228" i="3"/>
  <c r="BL230" i="3"/>
  <c r="BL237" i="3"/>
  <c r="BL238" i="3"/>
  <c r="BA247" i="3"/>
  <c r="AZ247" i="3" s="1"/>
  <c r="BL247" i="3"/>
  <c r="BA251" i="3"/>
  <c r="BL251" i="3"/>
  <c r="G255" i="3"/>
  <c r="G260" i="3"/>
  <c r="BL269" i="3"/>
  <c r="BA286" i="3"/>
  <c r="BL286" i="3"/>
  <c r="BL298" i="3"/>
  <c r="BA117" i="3"/>
  <c r="BA156" i="3"/>
  <c r="AZ156" i="3" s="1"/>
  <c r="BA162" i="3"/>
  <c r="AZ162" i="3" s="1"/>
  <c r="BL162" i="3"/>
  <c r="BL402" i="3"/>
  <c r="G405" i="3"/>
  <c r="G407" i="3"/>
  <c r="BL408" i="3"/>
  <c r="G424" i="3"/>
  <c r="G430" i="3"/>
  <c r="G434" i="3"/>
  <c r="BA442" i="3"/>
  <c r="BA445" i="3"/>
  <c r="BA447" i="3"/>
  <c r="AZ447" i="3" s="1"/>
  <c r="G455" i="3"/>
  <c r="BL462" i="3"/>
  <c r="G466" i="3"/>
  <c r="BA466" i="3"/>
  <c r="BL469" i="3"/>
  <c r="BA476" i="3"/>
  <c r="BL479" i="3"/>
  <c r="BA480" i="3"/>
  <c r="BA485" i="3"/>
  <c r="BA488" i="3"/>
  <c r="G490" i="3"/>
  <c r="BA491" i="3"/>
  <c r="BA319" i="3"/>
  <c r="AZ319" i="3" s="1"/>
  <c r="BL324" i="3"/>
  <c r="AZ324" i="3" s="1"/>
  <c r="BL328" i="3"/>
  <c r="AZ328" i="3" s="1"/>
  <c r="G329" i="3"/>
  <c r="G351" i="3"/>
  <c r="G358" i="3"/>
  <c r="G362" i="3"/>
  <c r="G366" i="3"/>
  <c r="BL383" i="3"/>
  <c r="AZ383" i="3" s="1"/>
  <c r="BA392" i="3"/>
  <c r="AZ392" i="3" s="1"/>
  <c r="BL211" i="3"/>
  <c r="G212" i="3"/>
  <c r="BA217" i="3"/>
  <c r="G220" i="3"/>
  <c r="BA225" i="3"/>
  <c r="BA227" i="3"/>
  <c r="AZ227" i="3" s="1"/>
  <c r="BA235" i="3"/>
  <c r="AZ235" i="3" s="1"/>
  <c r="BL235" i="3"/>
  <c r="BL236" i="3"/>
  <c r="G237" i="3"/>
  <c r="BL242" i="3"/>
  <c r="BL243" i="3"/>
  <c r="G244" i="3"/>
  <c r="G249" i="3"/>
  <c r="BA250" i="3"/>
  <c r="BL254" i="3"/>
  <c r="BL259" i="3"/>
  <c r="BL267" i="3"/>
  <c r="G269" i="3"/>
  <c r="G281" i="3"/>
  <c r="BA282" i="3"/>
  <c r="BL282" i="3"/>
  <c r="G286" i="3"/>
  <c r="G292" i="3"/>
  <c r="G302" i="3"/>
  <c r="BA302" i="3"/>
  <c r="G115" i="3"/>
  <c r="BL122" i="3"/>
  <c r="BA126" i="3"/>
  <c r="BA132" i="3"/>
  <c r="AZ132" i="3" s="1"/>
  <c r="BL133" i="3"/>
  <c r="BL135" i="3"/>
  <c r="AZ135" i="3" s="1"/>
  <c r="G143" i="3"/>
  <c r="BA145" i="3"/>
  <c r="BL173" i="3"/>
  <c r="BA174" i="3"/>
  <c r="D59" i="71"/>
  <c r="C60" i="71"/>
  <c r="BA354" i="3"/>
  <c r="BL381" i="3"/>
  <c r="AZ381" i="3" s="1"/>
  <c r="BA214" i="3"/>
  <c r="BA216" i="3"/>
  <c r="AZ216" i="3" s="1"/>
  <c r="BL219" i="3"/>
  <c r="BL224" i="3"/>
  <c r="G227" i="3"/>
  <c r="G229" i="3"/>
  <c r="BA233" i="3"/>
  <c r="AZ233" i="3" s="1"/>
  <c r="BL233" i="3"/>
  <c r="G235" i="3"/>
  <c r="BA249" i="3"/>
  <c r="BL249" i="3"/>
  <c r="G252" i="3"/>
  <c r="BA253" i="3"/>
  <c r="BA258" i="3"/>
  <c r="BL262" i="3"/>
  <c r="BL265" i="3"/>
  <c r="G267" i="3"/>
  <c r="BL272" i="3"/>
  <c r="BL273" i="3"/>
  <c r="G274" i="3"/>
  <c r="BA278" i="3"/>
  <c r="AZ278" i="3" s="1"/>
  <c r="BL280" i="3"/>
  <c r="G285" i="3"/>
  <c r="BL289" i="3"/>
  <c r="G290" i="3"/>
  <c r="BL127" i="3"/>
  <c r="AZ127" i="3" s="1"/>
  <c r="BA130" i="3"/>
  <c r="AZ130" i="3" s="1"/>
  <c r="BL130" i="3"/>
  <c r="BL154" i="3"/>
  <c r="G156" i="3"/>
  <c r="BL158" i="3"/>
  <c r="BA160" i="3"/>
  <c r="AZ160" i="3" s="1"/>
  <c r="BL166" i="3"/>
  <c r="BA173" i="3"/>
  <c r="G184" i="3"/>
  <c r="G190" i="3"/>
  <c r="BL193" i="3"/>
  <c r="G194" i="3"/>
  <c r="BL205" i="3"/>
  <c r="G20" i="3"/>
  <c r="BL23" i="3"/>
  <c r="G24" i="3"/>
  <c r="G28" i="3"/>
  <c r="BA33" i="3"/>
  <c r="BA43" i="3"/>
  <c r="BA50" i="3"/>
  <c r="BA51" i="3"/>
  <c r="G54" i="3"/>
  <c r="BA67" i="3"/>
  <c r="BL67" i="3"/>
  <c r="G69" i="3"/>
  <c r="BL76" i="3"/>
  <c r="G79" i="3"/>
  <c r="G84" i="3"/>
  <c r="BA92" i="3"/>
  <c r="BA94" i="3"/>
  <c r="BL94" i="3"/>
  <c r="G96" i="3"/>
  <c r="BL99" i="3"/>
  <c r="BA100" i="3"/>
  <c r="G104" i="3"/>
  <c r="AA18" i="35"/>
  <c r="C5" i="68"/>
  <c r="E66" i="71"/>
  <c r="AA28" i="71"/>
  <c r="E75" i="71"/>
  <c r="E74" i="71" s="1"/>
  <c r="AA35" i="71"/>
  <c r="AB32" i="71"/>
  <c r="Y35" i="71"/>
  <c r="Z35" i="71" s="1"/>
  <c r="B59" i="71"/>
  <c r="B60" i="71" s="1"/>
  <c r="S60" i="71" s="1"/>
  <c r="E59" i="71"/>
  <c r="E60" i="71" s="1"/>
  <c r="U60" i="71" s="1"/>
  <c r="BL181" i="3"/>
  <c r="BA182" i="3"/>
  <c r="BL185" i="3"/>
  <c r="BL198" i="3"/>
  <c r="G199" i="3"/>
  <c r="BA19" i="3"/>
  <c r="G27" i="3"/>
  <c r="BA27" i="3"/>
  <c r="BL35" i="3"/>
  <c r="G37" i="3"/>
  <c r="BA47" i="3"/>
  <c r="BA62" i="3"/>
  <c r="BL64" i="3"/>
  <c r="BA70" i="3"/>
  <c r="BL70" i="3"/>
  <c r="BL71" i="3"/>
  <c r="BA78" i="3"/>
  <c r="BL82" i="3"/>
  <c r="BL83" i="3"/>
  <c r="BA97" i="3"/>
  <c r="BA105" i="3"/>
  <c r="BL105" i="3"/>
  <c r="BL107" i="3"/>
  <c r="BA110" i="3"/>
  <c r="AZ110" i="3" s="1"/>
  <c r="C40" i="68"/>
  <c r="AC18" i="35"/>
  <c r="T44" i="71"/>
  <c r="D72" i="71"/>
  <c r="B66" i="71"/>
  <c r="Y25" i="71"/>
  <c r="Z25" i="71" s="1"/>
  <c r="C35" i="71"/>
  <c r="BA137" i="3"/>
  <c r="G140" i="3"/>
  <c r="BA149" i="3"/>
  <c r="BL149" i="3"/>
  <c r="BL150" i="3"/>
  <c r="G151" i="3"/>
  <c r="BA152" i="3"/>
  <c r="AZ152" i="3" s="1"/>
  <c r="BA154" i="3"/>
  <c r="AZ154" i="3" s="1"/>
  <c r="BL161" i="3"/>
  <c r="G162" i="3"/>
  <c r="BL169" i="3"/>
  <c r="BL170" i="3"/>
  <c r="G171" i="3"/>
  <c r="G175" i="3"/>
  <c r="BA177" i="3"/>
  <c r="BL179" i="3"/>
  <c r="AZ179" i="3" s="1"/>
  <c r="G180" i="3"/>
  <c r="BA181" i="3"/>
  <c r="AZ181" i="3" s="1"/>
  <c r="BA194" i="3"/>
  <c r="BL194" i="3"/>
  <c r="BA198" i="3"/>
  <c r="AZ198" i="3" s="1"/>
  <c r="G206" i="3"/>
  <c r="BL206" i="3"/>
  <c r="G21" i="3"/>
  <c r="BL24" i="3"/>
  <c r="G25" i="3"/>
  <c r="G29" i="3"/>
  <c r="BL34" i="3"/>
  <c r="G35" i="3"/>
  <c r="G39" i="3"/>
  <c r="BL44" i="3"/>
  <c r="G45" i="3"/>
  <c r="BL45" i="3"/>
  <c r="G49" i="3"/>
  <c r="G56" i="3"/>
  <c r="BL56" i="3"/>
  <c r="BA58" i="3"/>
  <c r="BL59" i="3"/>
  <c r="BL60" i="3"/>
  <c r="BA61" i="3"/>
  <c r="BL69" i="3"/>
  <c r="G70" i="3"/>
  <c r="BA77" i="3"/>
  <c r="BL79" i="3"/>
  <c r="BL81" i="3"/>
  <c r="BA82" i="3"/>
  <c r="AZ82" i="3" s="1"/>
  <c r="G85" i="3"/>
  <c r="BA95" i="3"/>
  <c r="G99" i="3"/>
  <c r="BL100" i="3"/>
  <c r="BA102" i="3"/>
  <c r="G110" i="3"/>
  <c r="U21" i="34"/>
  <c r="B77" i="43"/>
  <c r="C31" i="71"/>
  <c r="AB34" i="71"/>
  <c r="AA37" i="71"/>
  <c r="AA38" i="71"/>
  <c r="F79" i="71"/>
  <c r="F78" i="71" s="1"/>
  <c r="W38" i="33"/>
  <c r="J15" i="33"/>
  <c r="W15" i="33" s="1"/>
  <c r="H15" i="33"/>
  <c r="AB15" i="33" s="1"/>
  <c r="F15" i="33"/>
  <c r="F6" i="1"/>
  <c r="A24" i="51"/>
  <c r="B18" i="72" s="1"/>
  <c r="AB28" i="33"/>
  <c r="S26" i="33"/>
  <c r="U39" i="33"/>
  <c r="S39" i="33"/>
  <c r="AB34" i="33"/>
  <c r="W32" i="33"/>
  <c r="AA27" i="33"/>
  <c r="AA19" i="33"/>
  <c r="F79" i="33"/>
  <c r="G79" i="33" s="1"/>
  <c r="H17" i="33"/>
  <c r="U17" i="33" s="1"/>
  <c r="W17" i="33"/>
  <c r="W8" i="33"/>
  <c r="S46" i="33"/>
  <c r="AC44" i="33"/>
  <c r="H44" i="33"/>
  <c r="U41" i="33"/>
  <c r="S42" i="33"/>
  <c r="W39" i="33"/>
  <c r="AA35" i="33"/>
  <c r="U35" i="33"/>
  <c r="AB29" i="33"/>
  <c r="AC25" i="33"/>
  <c r="AC27" i="33"/>
  <c r="U27" i="33"/>
  <c r="W19" i="33"/>
  <c r="W35" i="33"/>
  <c r="U23" i="33"/>
  <c r="U42" i="33"/>
  <c r="AB45" i="33"/>
  <c r="S25" i="33"/>
  <c r="S32" i="33"/>
  <c r="S38" i="33"/>
  <c r="S43" i="33"/>
  <c r="S12" i="33"/>
  <c r="S14" i="33"/>
  <c r="S21" i="33"/>
  <c r="S28" i="33"/>
  <c r="AA29" i="33"/>
  <c r="S36" i="33"/>
  <c r="AB32" i="33"/>
  <c r="S11" i="33"/>
  <c r="U11" i="33"/>
  <c r="F34" i="15"/>
  <c r="F62" i="15" s="1"/>
  <c r="M20" i="67"/>
  <c r="M18" i="15"/>
  <c r="M18" i="67"/>
  <c r="C21" i="68"/>
  <c r="C40" i="69"/>
  <c r="G22" i="68"/>
  <c r="G22" i="69"/>
  <c r="G22" i="11"/>
  <c r="E1" i="73"/>
  <c r="G26" i="12"/>
  <c r="G29" i="6"/>
  <c r="F29" i="6"/>
  <c r="C23" i="40"/>
  <c r="B79" i="43"/>
  <c r="C29" i="39"/>
  <c r="B57" i="43"/>
  <c r="S31" i="33"/>
  <c r="AA31" i="33"/>
  <c r="S30" i="34"/>
  <c r="AA30" i="34"/>
  <c r="S11" i="35"/>
  <c r="AA11" i="35"/>
  <c r="F52" i="9"/>
  <c r="F30" i="68"/>
  <c r="F48" i="68" s="1"/>
  <c r="AC39" i="34"/>
  <c r="S32" i="37"/>
  <c r="S43" i="39"/>
  <c r="AA34" i="33"/>
  <c r="AC12" i="36"/>
  <c r="BD5" i="3"/>
  <c r="AZ313" i="3"/>
  <c r="AZ394" i="3"/>
  <c r="W12" i="37"/>
  <c r="AC12" i="37"/>
  <c r="B72" i="43"/>
  <c r="C15" i="39"/>
  <c r="J14" i="40"/>
  <c r="H14" i="40"/>
  <c r="F14" i="40"/>
  <c r="J13" i="33"/>
  <c r="H13" i="33"/>
  <c r="U13" i="33" s="1"/>
  <c r="F13" i="33"/>
  <c r="J31" i="33"/>
  <c r="H31" i="33"/>
  <c r="J12" i="34"/>
  <c r="H12" i="34"/>
  <c r="F12" i="34"/>
  <c r="S12" i="34" s="1"/>
  <c r="J30" i="34"/>
  <c r="H30" i="34"/>
  <c r="H46" i="34"/>
  <c r="F46" i="34"/>
  <c r="J46" i="34"/>
  <c r="H11" i="35"/>
  <c r="AB11" i="35" s="1"/>
  <c r="J11" i="35"/>
  <c r="S21" i="39"/>
  <c r="F54" i="9"/>
  <c r="F32" i="15"/>
  <c r="F60" i="15" s="1"/>
  <c r="AA17" i="33"/>
  <c r="AC32" i="39"/>
  <c r="S37" i="21"/>
  <c r="D68" i="9"/>
  <c r="F30" i="69"/>
  <c r="F48" i="69" s="1"/>
  <c r="F31" i="12"/>
  <c r="AA35" i="37"/>
  <c r="AB20" i="35"/>
  <c r="AC34" i="33"/>
  <c r="W24" i="36"/>
  <c r="AC11" i="39"/>
  <c r="AZ318" i="3"/>
  <c r="AZ378" i="3"/>
  <c r="S44" i="33"/>
  <c r="AA44" i="33"/>
  <c r="AB26" i="37"/>
  <c r="U26" i="37"/>
  <c r="F38" i="37"/>
  <c r="H38" i="37"/>
  <c r="J38" i="37"/>
  <c r="H31" i="39"/>
  <c r="J31" i="39"/>
  <c r="F31" i="39"/>
  <c r="J43" i="39"/>
  <c r="H43" i="39"/>
  <c r="J37" i="39"/>
  <c r="F37" i="39"/>
  <c r="H37" i="39"/>
  <c r="AB36" i="33"/>
  <c r="U37" i="33"/>
  <c r="AC37" i="33"/>
  <c r="S20" i="36"/>
  <c r="D120" i="9"/>
  <c r="U19" i="33"/>
  <c r="F28" i="15"/>
  <c r="F32" i="67"/>
  <c r="F60" i="67" s="1"/>
  <c r="F28" i="67"/>
  <c r="W25" i="21"/>
  <c r="U15" i="21"/>
  <c r="AC5" i="3"/>
  <c r="AZ322" i="3"/>
  <c r="AZ390" i="3"/>
  <c r="AZ351" i="3"/>
  <c r="AZ341" i="3"/>
  <c r="S11" i="39"/>
  <c r="AA11" i="39"/>
  <c r="AZ584" i="3"/>
  <c r="AA12" i="36"/>
  <c r="S40" i="33"/>
  <c r="AA40" i="33"/>
  <c r="BA569" i="3"/>
  <c r="BL568" i="3"/>
  <c r="AZ568" i="3" s="1"/>
  <c r="BH5" i="3"/>
  <c r="G568" i="3"/>
  <c r="H5" i="3"/>
  <c r="BL566" i="3"/>
  <c r="BA566" i="3"/>
  <c r="AZ345" i="3"/>
  <c r="AZ334" i="3"/>
  <c r="AZ372" i="3"/>
  <c r="AZ347" i="3"/>
  <c r="AZ337" i="3"/>
  <c r="AZ376" i="3"/>
  <c r="AZ309" i="3"/>
  <c r="AC45" i="33"/>
  <c r="AZ573" i="3"/>
  <c r="AZ579" i="3"/>
  <c r="AZ520" i="3"/>
  <c r="AZ570" i="3"/>
  <c r="AB46" i="33"/>
  <c r="U46" i="33"/>
  <c r="AA11" i="36"/>
  <c r="S11" i="36"/>
  <c r="AA45" i="33"/>
  <c r="S45" i="33"/>
  <c r="U26" i="33"/>
  <c r="AB26" i="33"/>
  <c r="J27" i="21"/>
  <c r="H27" i="21"/>
  <c r="F9" i="34"/>
  <c r="AA9" i="34" s="1"/>
  <c r="J9" i="34"/>
  <c r="H9" i="34"/>
  <c r="H33" i="36"/>
  <c r="J33" i="36"/>
  <c r="AC33" i="36" s="1"/>
  <c r="F33" i="36"/>
  <c r="AB31" i="36"/>
  <c r="U31" i="36"/>
  <c r="H14" i="37"/>
  <c r="AB14" i="37" s="1"/>
  <c r="F14" i="37"/>
  <c r="J14" i="37"/>
  <c r="AB34" i="40"/>
  <c r="U34" i="40"/>
  <c r="J36" i="39"/>
  <c r="AC36" i="39" s="1"/>
  <c r="F36" i="39"/>
  <c r="BA582" i="3"/>
  <c r="AZ582" i="3" s="1"/>
  <c r="BL581" i="3"/>
  <c r="AZ581" i="3" s="1"/>
  <c r="BA581" i="3"/>
  <c r="BA580" i="3"/>
  <c r="AZ580" i="3" s="1"/>
  <c r="BL578" i="3"/>
  <c r="BL576" i="3"/>
  <c r="AZ576" i="3" s="1"/>
  <c r="BL574" i="3"/>
  <c r="BA574" i="3"/>
  <c r="BA573" i="3"/>
  <c r="BL572" i="3"/>
  <c r="BA572" i="3"/>
  <c r="BL571" i="3"/>
  <c r="AZ541" i="3"/>
  <c r="AZ513" i="3"/>
  <c r="AZ571" i="3"/>
  <c r="AZ512" i="3"/>
  <c r="BA586" i="3"/>
  <c r="BL585" i="3"/>
  <c r="BA585" i="3"/>
  <c r="F44" i="21"/>
  <c r="J44" i="21"/>
  <c r="AC8" i="34"/>
  <c r="W8" i="34"/>
  <c r="H25" i="37"/>
  <c r="F25" i="37"/>
  <c r="U8" i="39"/>
  <c r="AB8" i="39"/>
  <c r="AC40" i="39"/>
  <c r="W40" i="39"/>
  <c r="S9" i="40"/>
  <c r="AA9" i="40"/>
  <c r="BA555" i="3"/>
  <c r="BL554" i="3"/>
  <c r="BA554" i="3"/>
  <c r="BA548" i="3"/>
  <c r="BA546" i="3"/>
  <c r="AZ546" i="3" s="1"/>
  <c r="BA545" i="3"/>
  <c r="BA542" i="3"/>
  <c r="AZ542" i="3" s="1"/>
  <c r="BL540" i="3"/>
  <c r="AZ540" i="3" s="1"/>
  <c r="BL538" i="3"/>
  <c r="AZ538" i="3" s="1"/>
  <c r="BA537" i="3"/>
  <c r="AZ537" i="3" s="1"/>
  <c r="BL536" i="3"/>
  <c r="BA536" i="3"/>
  <c r="BL534" i="3"/>
  <c r="AZ534" i="3" s="1"/>
  <c r="BA532" i="3"/>
  <c r="AZ532" i="3" s="1"/>
  <c r="BL529" i="3"/>
  <c r="BA529" i="3"/>
  <c r="BL528" i="3"/>
  <c r="AZ528" i="3" s="1"/>
  <c r="BA526" i="3"/>
  <c r="AZ526" i="3" s="1"/>
  <c r="BL525" i="3"/>
  <c r="AZ525" i="3" s="1"/>
  <c r="BL522" i="3"/>
  <c r="AZ522" i="3" s="1"/>
  <c r="BA519" i="3"/>
  <c r="AZ519" i="3" s="1"/>
  <c r="BL518" i="3"/>
  <c r="BA518" i="3"/>
  <c r="BL517" i="3"/>
  <c r="BL516" i="3"/>
  <c r="AZ516" i="3" s="1"/>
  <c r="BL514" i="3"/>
  <c r="AZ514" i="3" s="1"/>
  <c r="BA511" i="3"/>
  <c r="BL509" i="3"/>
  <c r="AZ509" i="3" s="1"/>
  <c r="BA506" i="3"/>
  <c r="AZ506" i="3" s="1"/>
  <c r="BL505" i="3"/>
  <c r="AZ505" i="3" s="1"/>
  <c r="BL502" i="3"/>
  <c r="AZ502" i="3" s="1"/>
  <c r="BL501" i="3"/>
  <c r="BA501" i="3"/>
  <c r="BL500" i="3"/>
  <c r="BA500" i="3"/>
  <c r="BL498" i="3"/>
  <c r="AZ498" i="3" s="1"/>
  <c r="BL497" i="3"/>
  <c r="AZ497" i="3" s="1"/>
  <c r="BL496" i="3"/>
  <c r="AZ496" i="3" s="1"/>
  <c r="BA494" i="3"/>
  <c r="AZ494" i="3" s="1"/>
  <c r="BA493" i="3"/>
  <c r="AZ493" i="3" s="1"/>
  <c r="AZ306" i="3"/>
  <c r="AZ531" i="3"/>
  <c r="AZ561" i="3"/>
  <c r="BL569" i="3"/>
  <c r="AZ569" i="3" s="1"/>
  <c r="AZ575" i="3"/>
  <c r="AZ524" i="3"/>
  <c r="AA28" i="34"/>
  <c r="S28" i="34"/>
  <c r="H13" i="21"/>
  <c r="J13" i="21"/>
  <c r="J29" i="21"/>
  <c r="H29" i="21"/>
  <c r="J25" i="37"/>
  <c r="BA565" i="3"/>
  <c r="BA564" i="3"/>
  <c r="AZ564" i="3" s="1"/>
  <c r="BL562" i="3"/>
  <c r="BL560" i="3"/>
  <c r="AZ560" i="3" s="1"/>
  <c r="BA558" i="3"/>
  <c r="AZ558" i="3" s="1"/>
  <c r="BL556" i="3"/>
  <c r="AZ556" i="3" s="1"/>
  <c r="AZ402" i="3"/>
  <c r="BL511" i="3"/>
  <c r="BL539" i="3"/>
  <c r="AZ539" i="3" s="1"/>
  <c r="BL543" i="3"/>
  <c r="AZ543" i="3" s="1"/>
  <c r="BL553" i="3"/>
  <c r="AZ553" i="3" s="1"/>
  <c r="BL565" i="3"/>
  <c r="J23" i="36"/>
  <c r="H39" i="40"/>
  <c r="G551" i="3"/>
  <c r="BL550" i="3"/>
  <c r="G542" i="3"/>
  <c r="BA400" i="3"/>
  <c r="AZ400" i="3" s="1"/>
  <c r="BA401" i="3"/>
  <c r="BA406" i="3"/>
  <c r="AZ406" i="3" s="1"/>
  <c r="G410" i="3"/>
  <c r="BL410" i="3"/>
  <c r="G412" i="3"/>
  <c r="BL423" i="3"/>
  <c r="BL433" i="3"/>
  <c r="G438" i="3"/>
  <c r="G449" i="3"/>
  <c r="AZ476" i="3"/>
  <c r="S27" i="35"/>
  <c r="U9" i="39"/>
  <c r="G585" i="3"/>
  <c r="BL587" i="3"/>
  <c r="AZ587" i="3" s="1"/>
  <c r="BL586" i="3"/>
  <c r="G574" i="3"/>
  <c r="BL15" i="3"/>
  <c r="AZ15" i="3" s="1"/>
  <c r="BL399" i="3"/>
  <c r="AZ419" i="3"/>
  <c r="AZ462" i="3"/>
  <c r="AZ469" i="3"/>
  <c r="G478" i="3"/>
  <c r="BL316" i="3"/>
  <c r="BL340" i="3"/>
  <c r="AZ340" i="3" s="1"/>
  <c r="BA551" i="3"/>
  <c r="AZ551" i="3" s="1"/>
  <c r="BA550" i="3"/>
  <c r="BL548" i="3"/>
  <c r="BL16" i="3"/>
  <c r="AZ16" i="3" s="1"/>
  <c r="BA403" i="3"/>
  <c r="G408" i="3"/>
  <c r="BA413" i="3"/>
  <c r="AZ413" i="3" s="1"/>
  <c r="BL417" i="3"/>
  <c r="BL418" i="3"/>
  <c r="BA424" i="3"/>
  <c r="G431" i="3"/>
  <c r="BA443" i="3"/>
  <c r="AZ443" i="3" s="1"/>
  <c r="AZ448" i="3"/>
  <c r="BL451" i="3"/>
  <c r="AZ451" i="3" s="1"/>
  <c r="G456" i="3"/>
  <c r="AZ458" i="3"/>
  <c r="BA463" i="3"/>
  <c r="G467" i="3"/>
  <c r="G477" i="3"/>
  <c r="G481" i="3"/>
  <c r="G492" i="3"/>
  <c r="BL214" i="3"/>
  <c r="AZ214" i="3" s="1"/>
  <c r="BL225" i="3"/>
  <c r="BL226" i="3"/>
  <c r="BA239" i="3"/>
  <c r="AZ239" i="3" s="1"/>
  <c r="BL239" i="3"/>
  <c r="BA241" i="3"/>
  <c r="BL241" i="3"/>
  <c r="BA244" i="3"/>
  <c r="AZ244" i="3" s="1"/>
  <c r="BL244" i="3"/>
  <c r="BA246" i="3"/>
  <c r="BA252" i="3"/>
  <c r="AZ252" i="3" s="1"/>
  <c r="BA254" i="3"/>
  <c r="AZ254" i="3" s="1"/>
  <c r="BA256" i="3"/>
  <c r="BL256" i="3"/>
  <c r="BL261" i="3"/>
  <c r="BA274" i="3"/>
  <c r="AZ274" i="3" s="1"/>
  <c r="BL274" i="3"/>
  <c r="BA281" i="3"/>
  <c r="BL283" i="3"/>
  <c r="BL284" i="3"/>
  <c r="G288" i="3"/>
  <c r="BA124" i="3"/>
  <c r="AZ124" i="3" s="1"/>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A262" i="3"/>
  <c r="AZ262" i="3" s="1"/>
  <c r="BA265" i="3"/>
  <c r="AZ265" i="3" s="1"/>
  <c r="BL266" i="3"/>
  <c r="BA268" i="3"/>
  <c r="BA271" i="3"/>
  <c r="BL271" i="3"/>
  <c r="BA273" i="3"/>
  <c r="AZ273" i="3" s="1"/>
  <c r="BA279" i="3"/>
  <c r="AZ302" i="3"/>
  <c r="BA116" i="3"/>
  <c r="AZ116" i="3" s="1"/>
  <c r="BA121" i="3"/>
  <c r="AZ121" i="3" s="1"/>
  <c r="BL121" i="3"/>
  <c r="BA129" i="3"/>
  <c r="C86" i="71"/>
  <c r="D86" i="71" s="1"/>
  <c r="D87" i="71"/>
  <c r="N65" i="71"/>
  <c r="N66" i="71"/>
  <c r="AB25" i="71"/>
  <c r="AB28" i="71"/>
  <c r="AB26" i="71"/>
  <c r="F28" i="71"/>
  <c r="F27" i="71" s="1"/>
  <c r="F26" i="71" s="1"/>
  <c r="AB27" i="71"/>
  <c r="C55" i="71"/>
  <c r="D54" i="71"/>
  <c r="BA398" i="3"/>
  <c r="AZ398" i="3" s="1"/>
  <c r="BA399" i="3"/>
  <c r="AZ399" i="3" s="1"/>
  <c r="BL401" i="3"/>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BA297" i="3"/>
  <c r="AZ297" i="3" s="1"/>
  <c r="BL297" i="3"/>
  <c r="BA301" i="3"/>
  <c r="G126" i="3"/>
  <c r="BA133" i="3"/>
  <c r="AZ133" i="3" s="1"/>
  <c r="G136" i="3"/>
  <c r="BA422" i="3"/>
  <c r="G429" i="3"/>
  <c r="BL431" i="3"/>
  <c r="G433" i="3"/>
  <c r="BL434" i="3"/>
  <c r="G436" i="3"/>
  <c r="BL438" i="3"/>
  <c r="AZ438" i="3" s="1"/>
  <c r="BL439" i="3"/>
  <c r="AZ439" i="3" s="1"/>
  <c r="BA441" i="3"/>
  <c r="BL445" i="3"/>
  <c r="BL446" i="3"/>
  <c r="BL449" i="3"/>
  <c r="BL450" i="3"/>
  <c r="BL452" i="3"/>
  <c r="AZ452" i="3" s="1"/>
  <c r="G454" i="3"/>
  <c r="BL456" i="3"/>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63" i="3"/>
  <c r="AZ263" i="3" s="1"/>
  <c r="BA276" i="3"/>
  <c r="AZ276" i="3" s="1"/>
  <c r="G299" i="3"/>
  <c r="BL300" i="3"/>
  <c r="AZ126" i="3"/>
  <c r="AA21" i="37"/>
  <c r="S21" i="37"/>
  <c r="AC25" i="40"/>
  <c r="W25" i="40"/>
  <c r="C25" i="40"/>
  <c r="B88" i="4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G72" i="3"/>
  <c r="BL73" i="3"/>
  <c r="BA74" i="3"/>
  <c r="BA87" i="3"/>
  <c r="BA89" i="3"/>
  <c r="BL101" i="3"/>
  <c r="BL102" i="3"/>
  <c r="AZ102" i="3" s="1"/>
  <c r="G105" i="3"/>
  <c r="BL106" i="3"/>
  <c r="BA108" i="3"/>
  <c r="AZ108" i="3" s="1"/>
  <c r="BL111" i="3"/>
  <c r="AB21" i="37"/>
  <c r="U21" i="37"/>
  <c r="P65" i="71"/>
  <c r="P66" i="71"/>
  <c r="C36" i="71"/>
  <c r="D35" i="71"/>
  <c r="S80" i="71"/>
  <c r="B79" i="71"/>
  <c r="B78" i="71" s="1"/>
  <c r="V24" i="71"/>
  <c r="E23" i="71"/>
  <c r="E22" i="71" s="1"/>
  <c r="E21" i="71" s="1"/>
  <c r="E20" i="71" s="1"/>
  <c r="AA3" i="71"/>
  <c r="BL292" i="3"/>
  <c r="BA294" i="3"/>
  <c r="BL295" i="3"/>
  <c r="BA298" i="3"/>
  <c r="AZ298" i="3" s="1"/>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BL47" i="3"/>
  <c r="AZ47" i="3" s="1"/>
  <c r="G50" i="3"/>
  <c r="G52" i="3"/>
  <c r="BA52" i="3"/>
  <c r="AZ52" i="3" s="1"/>
  <c r="BA53" i="3"/>
  <c r="AZ53" i="3" s="1"/>
  <c r="BA54" i="3"/>
  <c r="BL57" i="3"/>
  <c r="BL62" i="3"/>
  <c r="AZ62" i="3" s="1"/>
  <c r="BL63" i="3"/>
  <c r="G67" i="3"/>
  <c r="BL68" i="3"/>
  <c r="BA69" i="3"/>
  <c r="AZ69" i="3" s="1"/>
  <c r="BA73" i="3"/>
  <c r="G81" i="3"/>
  <c r="BL85" i="3"/>
  <c r="BA86" i="3"/>
  <c r="AZ86" i="3" s="1"/>
  <c r="BL97" i="3"/>
  <c r="AZ97" i="3" s="1"/>
  <c r="G103" i="3"/>
  <c r="BA103" i="3"/>
  <c r="AZ103" i="3" s="1"/>
  <c r="BA104" i="3"/>
  <c r="AZ104" i="3" s="1"/>
  <c r="BA106" i="3"/>
  <c r="BL108" i="3"/>
  <c r="U21" i="33"/>
  <c r="AB21" i="33"/>
  <c r="C52" i="71"/>
  <c r="D51" i="71"/>
  <c r="Y29" i="71"/>
  <c r="Z29" i="71" s="1"/>
  <c r="Y37" i="71"/>
  <c r="Z37" i="71" s="1"/>
  <c r="F66" i="71"/>
  <c r="Q67" i="71"/>
  <c r="X25" i="7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G46" i="3"/>
  <c r="G47" i="3"/>
  <c r="BL48" i="3"/>
  <c r="BL54" i="3"/>
  <c r="AZ54" i="3" s="1"/>
  <c r="BL55" i="3"/>
  <c r="AZ55" i="3" s="1"/>
  <c r="G57" i="3"/>
  <c r="G58"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AB29" i="39"/>
  <c r="U29" i="39"/>
  <c r="C47" i="71"/>
  <c r="D47" i="71" s="1"/>
  <c r="D46" i="71"/>
  <c r="C67" i="71"/>
  <c r="T68" i="71"/>
  <c r="O68" i="71"/>
  <c r="T76" i="71"/>
  <c r="D76" i="71"/>
  <c r="C75" i="71"/>
  <c r="Y27" i="71"/>
  <c r="Z27" i="71" s="1"/>
  <c r="Y26" i="71"/>
  <c r="Z26" i="71" s="1"/>
  <c r="C23" i="71"/>
  <c r="B22" i="71"/>
  <c r="B21" i="71" s="1"/>
  <c r="B20" i="71" s="1"/>
  <c r="T28" i="71"/>
  <c r="D28" i="71"/>
  <c r="U28" i="71" s="1"/>
  <c r="C27" i="71"/>
  <c r="X33" i="71"/>
  <c r="X31" i="71"/>
  <c r="X34" i="71"/>
  <c r="X36" i="71"/>
  <c r="X35" i="71"/>
  <c r="AB37" i="71"/>
  <c r="AB35" i="71"/>
  <c r="F38" i="71"/>
  <c r="F39" i="71" s="1"/>
  <c r="F40" i="71" s="1"/>
  <c r="V40" i="71" s="1"/>
  <c r="C64" i="71"/>
  <c r="D64" i="71" s="1"/>
  <c r="D63" i="71"/>
  <c r="AA27" i="71"/>
  <c r="S28" i="71"/>
  <c r="C83" i="71"/>
  <c r="C79" i="71"/>
  <c r="C71" i="71"/>
  <c r="C39" i="71"/>
  <c r="Y28" i="71"/>
  <c r="Z28" i="71" s="1"/>
  <c r="Y30" i="71"/>
  <c r="Z30" i="71" s="1"/>
  <c r="X28" i="71"/>
  <c r="X32" i="71"/>
  <c r="AB38" i="71"/>
  <c r="F75" i="71"/>
  <c r="F74" i="71" s="1"/>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U25" i="40"/>
  <c r="S21" i="34"/>
  <c r="B6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1" i="6"/>
  <c r="E60" i="39" s="1"/>
  <c r="E10"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F50" i="15"/>
  <c r="F66" i="67"/>
  <c r="F66" i="15"/>
  <c r="F64" i="15"/>
  <c r="C27" i="15"/>
  <c r="F65" i="15"/>
  <c r="B13" i="70"/>
  <c r="C36" i="68"/>
  <c r="D9" i="69"/>
  <c r="C36" i="69"/>
  <c r="D9" i="68"/>
  <c r="F6" i="15"/>
  <c r="L48" i="15"/>
  <c r="M23" i="15"/>
  <c r="D4" i="73"/>
  <c r="F40" i="67"/>
  <c r="F26" i="67"/>
  <c r="F43" i="67"/>
  <c r="F42" i="67"/>
  <c r="F6" i="67"/>
  <c r="M22" i="67"/>
  <c r="F36" i="67"/>
  <c r="J15" i="67"/>
  <c r="F40" i="15"/>
  <c r="F43" i="15"/>
  <c r="M29" i="15"/>
  <c r="M22" i="15"/>
  <c r="D5" i="73"/>
  <c r="C76" i="67"/>
  <c r="F9" i="67"/>
  <c r="F37" i="67"/>
  <c r="L47" i="15"/>
  <c r="M26" i="15"/>
  <c r="F9" i="15"/>
  <c r="F8" i="15"/>
  <c r="L47" i="67"/>
  <c r="M8" i="15"/>
  <c r="M28" i="15"/>
  <c r="M23" i="67"/>
  <c r="M9" i="67"/>
  <c r="D3" i="73"/>
  <c r="C16" i="15"/>
  <c r="D7" i="73"/>
  <c r="F7" i="67"/>
  <c r="M28" i="67"/>
  <c r="F13" i="67"/>
  <c r="L48" i="67"/>
  <c r="F8" i="67"/>
  <c r="K16" i="1" l="1"/>
  <c r="G16" i="1"/>
  <c r="F10" i="39" s="1"/>
  <c r="F51" i="15"/>
  <c r="C49" i="15" s="1"/>
  <c r="M59" i="15"/>
  <c r="L59" i="15"/>
  <c r="Q74" i="15" s="1"/>
  <c r="N59" i="15"/>
  <c r="L58" i="15"/>
  <c r="Q73" i="15" s="1"/>
  <c r="F71" i="15"/>
  <c r="F68" i="15"/>
  <c r="I54" i="15"/>
  <c r="J53" i="15"/>
  <c r="L56" i="15" s="1"/>
  <c r="J57" i="15"/>
  <c r="J55" i="15" s="1"/>
  <c r="J58" i="15" s="1"/>
  <c r="Q50" i="15" s="1"/>
  <c r="F31" i="15"/>
  <c r="C6" i="15"/>
  <c r="J6" i="15"/>
  <c r="J18" i="15" s="1"/>
  <c r="T64" i="71"/>
  <c r="AZ112" i="3"/>
  <c r="AZ114" i="3"/>
  <c r="AZ396" i="3"/>
  <c r="AZ232" i="3"/>
  <c r="AZ464" i="3"/>
  <c r="AZ441" i="3"/>
  <c r="AZ422" i="3"/>
  <c r="AZ421" i="3"/>
  <c r="AZ414" i="3"/>
  <c r="AZ401" i="3"/>
  <c r="AZ501" i="3"/>
  <c r="AZ173" i="3"/>
  <c r="AZ249" i="3"/>
  <c r="T60" i="71"/>
  <c r="D60" i="71"/>
  <c r="AZ286" i="3"/>
  <c r="AZ218" i="3"/>
  <c r="AZ210" i="3"/>
  <c r="AB28" i="34"/>
  <c r="U28" i="34"/>
  <c r="AA38" i="40"/>
  <c r="S38" i="40"/>
  <c r="AC9" i="33"/>
  <c r="W9" i="33"/>
  <c r="W28" i="34"/>
  <c r="AC28" i="34"/>
  <c r="AC42" i="33"/>
  <c r="W42" i="33"/>
  <c r="AZ29" i="3"/>
  <c r="AC15" i="33"/>
  <c r="D31" i="71"/>
  <c r="C32" i="71"/>
  <c r="AZ194" i="3"/>
  <c r="AZ149" i="3"/>
  <c r="AZ70" i="3"/>
  <c r="AZ67" i="3"/>
  <c r="AZ282" i="3"/>
  <c r="AZ251" i="3"/>
  <c r="AB38" i="40"/>
  <c r="U38" i="40"/>
  <c r="AZ39" i="3"/>
  <c r="AZ550" i="3"/>
  <c r="AZ572" i="3"/>
  <c r="AZ105" i="3"/>
  <c r="AZ100" i="3"/>
  <c r="AZ94" i="3"/>
  <c r="AZ488" i="3"/>
  <c r="AA24" i="36"/>
  <c r="S24" i="36"/>
  <c r="AB36" i="35"/>
  <c r="U36" i="35"/>
  <c r="AZ565" i="3"/>
  <c r="E12" i="6"/>
  <c r="E57" i="40" s="1"/>
  <c r="W26" i="33"/>
  <c r="AC26" i="33"/>
  <c r="U15" i="33"/>
  <c r="AA15" i="33"/>
  <c r="S15" i="33"/>
  <c r="U44" i="33"/>
  <c r="AB44" i="33"/>
  <c r="J26" i="43"/>
  <c r="F26" i="43"/>
  <c r="E26" i="43"/>
  <c r="H26" i="43"/>
  <c r="E59" i="40"/>
  <c r="E13" i="6"/>
  <c r="E58" i="40" s="1"/>
  <c r="J7" i="36"/>
  <c r="I54" i="67"/>
  <c r="J57" i="67"/>
  <c r="J55" i="67" s="1"/>
  <c r="J58" i="67" s="1"/>
  <c r="Q50" i="67" s="1"/>
  <c r="J53" i="67"/>
  <c r="F1" i="67" s="1"/>
  <c r="L56" i="67"/>
  <c r="Q71" i="67"/>
  <c r="F68" i="67"/>
  <c r="M59" i="67"/>
  <c r="N59" i="67"/>
  <c r="L59" i="67"/>
  <c r="Q74" i="67" s="1"/>
  <c r="L58" i="67"/>
  <c r="Q73" i="67" s="1"/>
  <c r="C27" i="67"/>
  <c r="F64" i="67"/>
  <c r="F71" i="67"/>
  <c r="M7" i="67"/>
  <c r="J6" i="67" s="1"/>
  <c r="J18" i="67" s="1"/>
  <c r="F50" i="67"/>
  <c r="F31" i="67"/>
  <c r="C6" i="67"/>
  <c r="F65" i="67"/>
  <c r="F51" i="67"/>
  <c r="C49" i="67" s="1"/>
  <c r="AZ101" i="3"/>
  <c r="C70" i="71"/>
  <c r="D70" i="71" s="1"/>
  <c r="D71" i="71"/>
  <c r="AZ178" i="3"/>
  <c r="AZ118" i="3"/>
  <c r="AZ25" i="3"/>
  <c r="AZ294" i="3"/>
  <c r="AZ332" i="3"/>
  <c r="AZ483" i="3"/>
  <c r="AZ457" i="3"/>
  <c r="AZ418" i="3"/>
  <c r="C56" i="71"/>
  <c r="D55" i="71"/>
  <c r="AZ256" i="3"/>
  <c r="AZ511" i="3"/>
  <c r="U29" i="21"/>
  <c r="AB29" i="21"/>
  <c r="AZ529" i="3"/>
  <c r="AZ536" i="3"/>
  <c r="AZ548" i="3"/>
  <c r="AZ585" i="3"/>
  <c r="AB33" i="36"/>
  <c r="U33" i="36"/>
  <c r="AB27" i="21"/>
  <c r="U27" i="21"/>
  <c r="AZ566" i="3"/>
  <c r="AB37" i="39"/>
  <c r="U37" i="39"/>
  <c r="W43" i="39"/>
  <c r="AC43" i="39"/>
  <c r="AC38" i="37"/>
  <c r="W38" i="37"/>
  <c r="W46" i="34"/>
  <c r="AC46" i="34"/>
  <c r="AC13" i="33"/>
  <c r="W13" i="33"/>
  <c r="D79" i="71"/>
  <c r="C78" i="71"/>
  <c r="D78" i="71" s="1"/>
  <c r="T52" i="71"/>
  <c r="D52" i="71"/>
  <c r="AZ74" i="3"/>
  <c r="AC29" i="21"/>
  <c r="W29" i="21"/>
  <c r="AZ500" i="3"/>
  <c r="AZ518" i="3"/>
  <c r="AZ554" i="3"/>
  <c r="AZ574" i="3"/>
  <c r="S36" i="39"/>
  <c r="AA36" i="39"/>
  <c r="U9" i="34"/>
  <c r="AB9" i="34"/>
  <c r="W27" i="21"/>
  <c r="AC27" i="21"/>
  <c r="AA37" i="39"/>
  <c r="S37" i="39"/>
  <c r="AA31" i="39"/>
  <c r="S31" i="39"/>
  <c r="AB38" i="37"/>
  <c r="U38" i="37"/>
  <c r="S46" i="34"/>
  <c r="AA46" i="34"/>
  <c r="W31" i="33"/>
  <c r="AC31" i="33"/>
  <c r="AA14" i="40"/>
  <c r="S14" i="40"/>
  <c r="J7" i="37"/>
  <c r="AC7" i="37" s="1"/>
  <c r="G5" i="3"/>
  <c r="B3" i="3" s="1"/>
  <c r="E212" i="3" s="1"/>
  <c r="D83" i="71"/>
  <c r="C82" i="71"/>
  <c r="D82" i="71" s="1"/>
  <c r="B19" i="71"/>
  <c r="B18" i="71" s="1"/>
  <c r="B17" i="71" s="1"/>
  <c r="B16" i="71" s="1"/>
  <c r="S20" i="71"/>
  <c r="D75" i="71"/>
  <c r="C74" i="71"/>
  <c r="D74" i="71" s="1"/>
  <c r="AZ197" i="3"/>
  <c r="AZ403" i="3"/>
  <c r="U39" i="40"/>
  <c r="AB39" i="40"/>
  <c r="AC13" i="21"/>
  <c r="W13" i="21"/>
  <c r="AA25" i="37"/>
  <c r="S25" i="37"/>
  <c r="AC44" i="21"/>
  <c r="W44" i="21"/>
  <c r="AZ586" i="3"/>
  <c r="S14" i="37"/>
  <c r="AA14" i="37"/>
  <c r="AA33" i="36"/>
  <c r="S33" i="36"/>
  <c r="AC9" i="34"/>
  <c r="W9" i="34"/>
  <c r="AC37" i="39"/>
  <c r="W37" i="39"/>
  <c r="AC31" i="39"/>
  <c r="W31" i="39"/>
  <c r="S38" i="37"/>
  <c r="AA38" i="37"/>
  <c r="W11" i="35"/>
  <c r="AC11" i="35"/>
  <c r="U46" i="34"/>
  <c r="AB46" i="34"/>
  <c r="AB12" i="34"/>
  <c r="U12" i="34"/>
  <c r="AA13" i="33"/>
  <c r="S13" i="33"/>
  <c r="AB14" i="40"/>
  <c r="U14" i="40"/>
  <c r="C40" i="71"/>
  <c r="D39" i="71"/>
  <c r="C26" i="71"/>
  <c r="D26" i="71" s="1"/>
  <c r="D27" i="71"/>
  <c r="C22" i="71"/>
  <c r="D23" i="71"/>
  <c r="D67" i="71"/>
  <c r="C66" i="71"/>
  <c r="O67" i="71"/>
  <c r="AZ38" i="3"/>
  <c r="AZ190" i="3"/>
  <c r="AZ301" i="3"/>
  <c r="AZ271" i="3"/>
  <c r="AZ368" i="3"/>
  <c r="AZ353" i="3"/>
  <c r="AZ241" i="3"/>
  <c r="AC23" i="36"/>
  <c r="W23" i="36"/>
  <c r="AC25" i="37"/>
  <c r="W25" i="37"/>
  <c r="AB13" i="21"/>
  <c r="U13" i="21"/>
  <c r="U25" i="37"/>
  <c r="AB25" i="37"/>
  <c r="AA44" i="21"/>
  <c r="S44" i="21"/>
  <c r="D121" i="9"/>
  <c r="D7" i="52" s="1"/>
  <c r="D6" i="52"/>
  <c r="AB43" i="39"/>
  <c r="U43" i="39"/>
  <c r="AB31" i="39"/>
  <c r="U31" i="39"/>
  <c r="AB30" i="34"/>
  <c r="U30" i="34"/>
  <c r="W12" i="34"/>
  <c r="AC12" i="34"/>
  <c r="W14" i="40"/>
  <c r="AC14" i="40"/>
  <c r="K1" i="73"/>
  <c r="E510" i="3"/>
  <c r="E539" i="3"/>
  <c r="I3" i="6"/>
  <c r="AP6" i="3"/>
  <c r="E292" i="3"/>
  <c r="E363" i="3"/>
  <c r="E467" i="3"/>
  <c r="E46" i="3"/>
  <c r="E23" i="3"/>
  <c r="E84" i="3"/>
  <c r="E81" i="3"/>
  <c r="E264" i="3"/>
  <c r="E391" i="3"/>
  <c r="E42" i="3"/>
  <c r="E522" i="3"/>
  <c r="E86" i="3"/>
  <c r="E308" i="3"/>
  <c r="E22" i="3"/>
  <c r="T6" i="3"/>
  <c r="E405" i="3"/>
  <c r="E556" i="3"/>
  <c r="E497" i="3"/>
  <c r="E41" i="3"/>
  <c r="E115" i="3"/>
  <c r="E190" i="3"/>
  <c r="E220" i="3"/>
  <c r="E80" i="3"/>
  <c r="E158" i="3"/>
  <c r="E116" i="3"/>
  <c r="E105" i="3"/>
  <c r="E507" i="3"/>
  <c r="E422" i="3"/>
  <c r="E419" i="3"/>
  <c r="E401" i="3"/>
  <c r="E226" i="3"/>
  <c r="E276" i="3"/>
  <c r="E540" i="3"/>
  <c r="E473" i="3"/>
  <c r="E194" i="3"/>
  <c r="E234" i="3"/>
  <c r="E36" i="3"/>
  <c r="E112" i="3"/>
  <c r="E20" i="3"/>
  <c r="E62" i="3"/>
  <c r="E165" i="3"/>
  <c r="E141" i="3"/>
  <c r="E348" i="3"/>
  <c r="E58" i="3"/>
  <c r="E222" i="3"/>
  <c r="E244" i="3"/>
  <c r="E110" i="3"/>
  <c r="E446" i="3"/>
  <c r="E323" i="3"/>
  <c r="E149" i="3"/>
  <c r="E266" i="3"/>
  <c r="E584" i="3"/>
  <c r="E374" i="3"/>
  <c r="E259" i="3"/>
  <c r="Y6" i="3"/>
  <c r="E179" i="3"/>
  <c r="E195" i="3"/>
  <c r="E87" i="3"/>
  <c r="E413" i="3"/>
  <c r="E187" i="3"/>
  <c r="E307" i="3"/>
  <c r="E127" i="3"/>
  <c r="E461" i="3"/>
  <c r="E136" i="3"/>
  <c r="E157" i="3"/>
  <c r="E224" i="3"/>
  <c r="E529" i="3"/>
  <c r="E474" i="3"/>
  <c r="W6" i="3"/>
  <c r="E537" i="3"/>
  <c r="E54" i="3"/>
  <c r="E168" i="3"/>
  <c r="E357" i="3"/>
  <c r="E14" i="3"/>
  <c r="E196" i="3"/>
  <c r="E207" i="3"/>
  <c r="U6" i="3"/>
  <c r="E411" i="3"/>
  <c r="E548" i="3"/>
  <c r="E367" i="3"/>
  <c r="E547" i="3"/>
  <c r="E403"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62" i="39"/>
  <c r="E3" i="6"/>
  <c r="C33" i="33" s="1"/>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F7" i="33"/>
  <c r="E58" i="21"/>
  <c r="AC7" i="36"/>
  <c r="V36" i="36" s="1"/>
  <c r="I36" i="36" s="1"/>
  <c r="W7" i="36"/>
  <c r="F7" i="37"/>
  <c r="M17" i="15"/>
  <c r="F59" i="15"/>
  <c r="P28" i="43"/>
  <c r="B66" i="40" s="1"/>
  <c r="P25" i="43"/>
  <c r="P29" i="43"/>
  <c r="P27" i="43"/>
  <c r="B70" i="39" s="1"/>
  <c r="C32" i="67"/>
  <c r="M11" i="67"/>
  <c r="J10" i="67" s="1"/>
  <c r="F11" i="15"/>
  <c r="M11" i="15"/>
  <c r="J10" i="15" s="1"/>
  <c r="F11" i="67"/>
  <c r="C32" i="15"/>
  <c r="Q60" i="15"/>
  <c r="AE11" i="1"/>
  <c r="AE9" i="1"/>
  <c r="F27" i="68"/>
  <c r="AE7" i="1"/>
  <c r="AE8" i="1"/>
  <c r="AE12" i="1"/>
  <c r="AE10" i="1"/>
  <c r="G1" i="73"/>
  <c r="C16" i="67"/>
  <c r="AE6" i="1"/>
  <c r="F1" i="15" l="1"/>
  <c r="J5" i="15"/>
  <c r="J24" i="15" s="1"/>
  <c r="Q52" i="15"/>
  <c r="W7" i="37"/>
  <c r="Q61" i="15"/>
  <c r="H6" i="3"/>
  <c r="F33" i="33"/>
  <c r="J33" i="33"/>
  <c r="H33" i="33"/>
  <c r="T32" i="71"/>
  <c r="D32" i="71"/>
  <c r="Q61" i="67"/>
  <c r="D26" i="43"/>
  <c r="C25" i="43" s="1"/>
  <c r="E546" i="3"/>
  <c r="E432" i="3"/>
  <c r="E379" i="3"/>
  <c r="E397" i="3"/>
  <c r="E257" i="3"/>
  <c r="E475" i="3"/>
  <c r="E288" i="3"/>
  <c r="E532" i="3"/>
  <c r="E306" i="3"/>
  <c r="E122" i="3"/>
  <c r="E98" i="3"/>
  <c r="E167" i="3"/>
  <c r="E488" i="3"/>
  <c r="E163" i="3"/>
  <c r="E542" i="3"/>
  <c r="E297" i="3"/>
  <c r="E48" i="3"/>
  <c r="E500" i="3"/>
  <c r="E24" i="3"/>
  <c r="E460" i="3"/>
  <c r="E365" i="3"/>
  <c r="E340" i="3"/>
  <c r="E392" i="3"/>
  <c r="E38" i="3"/>
  <c r="L6" i="3"/>
  <c r="E108" i="3"/>
  <c r="AH6" i="3"/>
  <c r="E543" i="3"/>
  <c r="E16" i="3"/>
  <c r="E49" i="3"/>
  <c r="E428" i="3"/>
  <c r="E420" i="3"/>
  <c r="E408" i="3"/>
  <c r="E173" i="3"/>
  <c r="E102" i="3"/>
  <c r="E129" i="3"/>
  <c r="E494" i="3"/>
  <c r="E355" i="3"/>
  <c r="E300" i="3"/>
  <c r="E59" i="3"/>
  <c r="E37" i="3"/>
  <c r="E502" i="3"/>
  <c r="E145" i="3"/>
  <c r="E93" i="3"/>
  <c r="E208" i="3"/>
  <c r="E471" i="3"/>
  <c r="E438" i="3"/>
  <c r="E313" i="3"/>
  <c r="E352" i="3"/>
  <c r="E82" i="3"/>
  <c r="E504" i="3"/>
  <c r="E154" i="3"/>
  <c r="AD6" i="3"/>
  <c r="E462" i="3"/>
  <c r="E373" i="3"/>
  <c r="E436" i="3"/>
  <c r="E354" i="3"/>
  <c r="E416" i="3"/>
  <c r="E386" i="3"/>
  <c r="E566" i="3"/>
  <c r="E265" i="3"/>
  <c r="E289" i="3"/>
  <c r="E325" i="3"/>
  <c r="E79" i="3"/>
  <c r="E372" i="3"/>
  <c r="E25" i="3"/>
  <c r="E376" i="3"/>
  <c r="E564" i="3"/>
  <c r="E329" i="3"/>
  <c r="E35" i="3"/>
  <c r="E356" i="3"/>
  <c r="E470" i="3"/>
  <c r="E512" i="3"/>
  <c r="E197" i="3"/>
  <c r="AF6" i="3"/>
  <c r="E96" i="3"/>
  <c r="E21" i="3"/>
  <c r="E184" i="3"/>
  <c r="E249" i="3"/>
  <c r="E76" i="3"/>
  <c r="E56" i="3"/>
  <c r="R6"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174" i="3"/>
  <c r="E75" i="3"/>
  <c r="E281" i="3"/>
  <c r="E283" i="3"/>
  <c r="E381" i="3"/>
  <c r="E33" i="3"/>
  <c r="E371" i="3"/>
  <c r="E103" i="3"/>
  <c r="E484" i="3"/>
  <c r="E349" i="3"/>
  <c r="E192" i="3"/>
  <c r="E435" i="3"/>
  <c r="E541" i="3"/>
  <c r="E199"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383" i="3"/>
  <c r="E482" i="3"/>
  <c r="E332" i="3"/>
  <c r="E513" i="3"/>
  <c r="E68" i="3"/>
  <c r="E144" i="3"/>
  <c r="E492" i="3"/>
  <c r="E160" i="3"/>
  <c r="E425" i="3"/>
  <c r="E544" i="3"/>
  <c r="E258" i="3"/>
  <c r="E491" i="3"/>
  <c r="E430" i="3"/>
  <c r="E286" i="3"/>
  <c r="M17" i="67"/>
  <c r="Q60" i="67"/>
  <c r="F59" i="67"/>
  <c r="AB7" i="36"/>
  <c r="T36" i="36" s="1"/>
  <c r="G36" i="36" s="1"/>
  <c r="G40" i="36" s="1"/>
  <c r="H40" i="36" s="1"/>
  <c r="Q52" i="67"/>
  <c r="J5" i="67"/>
  <c r="J24" i="67" s="1"/>
  <c r="E34" i="3"/>
  <c r="E235" i="3"/>
  <c r="E18" i="3"/>
  <c r="AL6" i="3"/>
  <c r="E198" i="3"/>
  <c r="E309" i="3"/>
  <c r="E63" i="3"/>
  <c r="E233" i="3"/>
  <c r="E67" i="3"/>
  <c r="E310" i="3"/>
  <c r="E267" i="3"/>
  <c r="E64" i="3"/>
  <c r="E409" i="3"/>
  <c r="E389" i="3"/>
  <c r="E241" i="3"/>
  <c r="E95" i="3"/>
  <c r="E417" i="3"/>
  <c r="E554" i="3"/>
  <c r="E449" i="3"/>
  <c r="E442" i="3"/>
  <c r="E575" i="3"/>
  <c r="E536" i="3"/>
  <c r="D56" i="71"/>
  <c r="T56" i="71"/>
  <c r="C21" i="71"/>
  <c r="D22" i="71"/>
  <c r="T40" i="71"/>
  <c r="D40" i="71"/>
  <c r="O65" i="71"/>
  <c r="D66" i="71"/>
  <c r="O66" i="71"/>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E49" i="34"/>
  <c r="G53" i="34"/>
  <c r="H53" i="34" s="1"/>
  <c r="G46" i="37"/>
  <c r="H46" i="37" s="1"/>
  <c r="G47" i="37"/>
  <c r="H47" i="37" s="1"/>
  <c r="I46" i="37"/>
  <c r="J46" i="37" s="1"/>
  <c r="G48" i="35"/>
  <c r="U7" i="33"/>
  <c r="AB7" i="33"/>
  <c r="C53" i="67"/>
  <c r="C48" i="67" s="1"/>
  <c r="C10" i="67"/>
  <c r="C5" i="67" s="1"/>
  <c r="C38" i="67" s="1"/>
  <c r="C53" i="15"/>
  <c r="C48" i="15" s="1"/>
  <c r="C66" i="15" s="1"/>
  <c r="C10" i="15"/>
  <c r="C5" i="15" s="1"/>
  <c r="C38" i="15" s="1"/>
  <c r="M27" i="67"/>
  <c r="F41" i="67"/>
  <c r="F41" i="15"/>
  <c r="M27" i="15"/>
  <c r="B14" i="74" l="1"/>
  <c r="B1" i="74" s="1"/>
  <c r="AB33" i="33"/>
  <c r="U33" i="33"/>
  <c r="AC33" i="33"/>
  <c r="V48" i="33" s="1"/>
  <c r="W33" i="33"/>
  <c r="T48" i="33"/>
  <c r="G48" i="33" s="1"/>
  <c r="AA33" i="33"/>
  <c r="S33" i="33"/>
  <c r="R48" i="33"/>
  <c r="F69" i="67"/>
  <c r="D116" i="43"/>
  <c r="AC6" i="3"/>
  <c r="E6" i="3" s="1"/>
  <c r="G41" i="36"/>
  <c r="H41" i="36" s="1"/>
  <c r="F24" i="67"/>
  <c r="C24" i="67" s="1"/>
  <c r="F22" i="69"/>
  <c r="F41" i="69" s="1"/>
  <c r="F22" i="68"/>
  <c r="F41" i="68" s="1"/>
  <c r="F25" i="12"/>
  <c r="C26" i="12" s="1"/>
  <c r="D25" i="12" s="1"/>
  <c r="F24" i="15"/>
  <c r="C24" i="15" s="1"/>
  <c r="F22" i="11"/>
  <c r="C24" i="11" s="1"/>
  <c r="I53" i="34"/>
  <c r="J53"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C60" i="15"/>
  <c r="C26" i="69"/>
  <c r="D22" i="69" s="1"/>
  <c r="C66" i="67"/>
  <c r="C60" i="67"/>
  <c r="D10" i="69"/>
  <c r="C34" i="69"/>
  <c r="D10" i="68"/>
  <c r="C17" i="67"/>
  <c r="C17" i="15"/>
  <c r="C14" i="67"/>
  <c r="I48" i="33" l="1"/>
  <c r="R49" i="33"/>
  <c r="I53" i="33"/>
  <c r="J53" i="33" s="1"/>
  <c r="C44" i="69"/>
  <c r="D41" i="69" s="1"/>
  <c r="C25" i="11"/>
  <c r="C23" i="11"/>
  <c r="C44" i="11"/>
  <c r="D41" i="11" s="1"/>
  <c r="C26" i="11"/>
  <c r="D22" i="11" s="1"/>
  <c r="C26" i="68"/>
  <c r="D22" i="68" s="1"/>
  <c r="C23" i="68"/>
  <c r="C44" i="68"/>
  <c r="D41" i="68"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I52" i="33" l="1"/>
  <c r="J52" i="33" s="1"/>
  <c r="G53" i="33"/>
  <c r="H53" i="33" s="1"/>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C19" i="9"/>
  <c r="C102" i="9" l="1"/>
  <c r="C21" i="9"/>
  <c r="B3" i="33"/>
  <c r="D102" i="9"/>
  <c r="D22" i="9"/>
  <c r="G19"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C20" i="9"/>
  <c r="AO9" i="1"/>
  <c r="AO7" i="1"/>
  <c r="AO10" i="1"/>
  <c r="D20" i="9"/>
  <c r="AO6" i="1"/>
  <c r="AO12" i="1"/>
  <c r="G21" i="9" l="1"/>
  <c r="C103" i="9"/>
  <c r="D103" i="9"/>
  <c r="G20" i="9"/>
  <c r="E14" i="74" s="1"/>
  <c r="D14" i="74" s="1"/>
  <c r="G14" i="74" s="1"/>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I19" i="9"/>
  <c r="I20"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Q48" i="9" l="1"/>
  <c r="Q49" i="9" s="1"/>
  <c r="C35" i="9"/>
  <c r="C34" i="9" s="1"/>
  <c r="D9" i="71"/>
  <c r="C8" i="71"/>
  <c r="C42" i="40"/>
  <c r="C43" i="40"/>
  <c r="E47" i="40"/>
  <c r="F47" i="40" s="1"/>
  <c r="E46" i="40"/>
  <c r="F46" i="40" s="1"/>
  <c r="I47" i="40"/>
  <c r="J47" i="40" s="1"/>
  <c r="Q55" i="9" l="1"/>
  <c r="Q53" i="9"/>
  <c r="Q54" i="9"/>
  <c r="Q52" i="9"/>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Q57" i="9" l="1"/>
  <c r="D7" i="71"/>
  <c r="C6" i="71"/>
  <c r="F14" i="74"/>
  <c r="B5" i="74"/>
  <c r="D5" i="74" s="1"/>
  <c r="Q58" i="9" l="1"/>
  <c r="R57" i="9"/>
  <c r="Q59" i="9"/>
  <c r="C5" i="71"/>
  <c r="D5" i="71" s="1"/>
  <c r="M24" i="43" s="1"/>
  <c r="D6" i="71"/>
  <c r="B6" i="74"/>
  <c r="D6" i="74" s="1"/>
  <c r="H111" i="9"/>
  <c r="D19" i="53" s="1"/>
  <c r="H112" i="9"/>
  <c r="D21" i="53" s="1"/>
  <c r="B39" i="72" s="1"/>
  <c r="I14" i="74" l="1"/>
  <c r="B8" i="74" s="1"/>
  <c r="Q61" i="9"/>
  <c r="Q60" i="9"/>
  <c r="D20" i="53"/>
  <c r="B40" i="72" s="1"/>
  <c r="B38" i="72"/>
  <c r="D126" i="9"/>
  <c r="D8" i="74" l="1"/>
  <c r="C8" i="74"/>
  <c r="D127" i="9"/>
  <c r="D13" i="52" s="1"/>
  <c r="D12" i="52"/>
  <c r="I118" i="9" l="1"/>
  <c r="H118" i="9" s="1"/>
  <c r="H4" i="52" s="1"/>
  <c r="H101" i="9" l="1"/>
  <c r="H119" i="9"/>
  <c r="H5" i="52" s="1"/>
  <c r="C104" i="9"/>
  <c r="H102" i="9"/>
  <c r="I4" i="52"/>
  <c r="C105" i="9"/>
  <c r="D45" i="9"/>
  <c r="D5" i="53"/>
  <c r="M48" i="9"/>
  <c r="H107" i="9"/>
  <c r="D6" i="53" l="1"/>
  <c r="B22" i="72" s="1"/>
  <c r="B20" i="72"/>
  <c r="M49" i="9"/>
  <c r="H108" i="9"/>
  <c r="D122" i="9"/>
  <c r="D13" i="53"/>
  <c r="C64" i="9"/>
  <c r="C63" i="9" s="1"/>
  <c r="C67" i="9" s="1"/>
  <c r="D52" i="9"/>
  <c r="C78" i="9"/>
  <c r="C73" i="9" s="1"/>
  <c r="C93" i="9"/>
  <c r="C86" i="9" s="1"/>
  <c r="D53" i="9"/>
  <c r="D55" i="9"/>
  <c r="M53" i="9" s="1"/>
  <c r="C72" i="9"/>
  <c r="C85" i="9"/>
  <c r="C5" i="74"/>
  <c r="D7" i="53"/>
  <c r="B21" i="72" s="1"/>
  <c r="C95" i="9" l="1"/>
  <c r="C79" i="9"/>
  <c r="C80" i="9" s="1"/>
  <c r="E80" i="9" s="1"/>
  <c r="E81" i="9" s="1"/>
  <c r="D15" i="53"/>
  <c r="B31" i="72" s="1"/>
  <c r="C6" i="74"/>
  <c r="D59" i="9"/>
  <c r="M55" i="9" s="1"/>
  <c r="C68" i="9"/>
  <c r="D54" i="9" s="1"/>
  <c r="D48" i="9" s="1"/>
  <c r="M52" i="9" s="1"/>
  <c r="L67" i="9"/>
  <c r="M67" i="9" s="1"/>
  <c r="L64" i="9"/>
  <c r="M64" i="9" s="1"/>
  <c r="L66" i="9"/>
  <c r="M66" i="9" s="1"/>
  <c r="L63" i="9"/>
  <c r="M63" i="9" s="1"/>
  <c r="L65" i="9"/>
  <c r="M65" i="9" s="1"/>
  <c r="L68" i="9"/>
  <c r="M68" i="9" s="1"/>
  <c r="D8" i="52"/>
  <c r="D123" i="9"/>
  <c r="D9" i="52" s="1"/>
  <c r="C96" i="9"/>
  <c r="E96" i="9" s="1"/>
  <c r="E97" i="9" s="1"/>
  <c r="D14" i="53"/>
  <c r="B32" i="72" s="1"/>
  <c r="B30" i="72"/>
  <c r="C97" i="9" l="1"/>
  <c r="M69" i="9"/>
  <c r="N69" i="9" s="1"/>
  <c r="C81" i="9"/>
  <c r="D58" i="9" l="1"/>
  <c r="D56" i="9" s="1"/>
  <c r="M54" i="9" s="1"/>
  <c r="N57" i="9" s="1"/>
  <c r="N58" i="9" s="1"/>
  <c r="P57" i="9" l="1"/>
  <c r="N59" i="9"/>
  <c r="N61" i="9" s="1"/>
  <c r="N60" i="9" l="1"/>
  <c r="G118" i="9"/>
  <c r="F118" i="9" s="1"/>
  <c r="F119" i="9" l="1"/>
  <c r="F5" i="52" s="1"/>
  <c r="B53" i="72" s="1"/>
  <c r="F4" i="52"/>
  <c r="B51" i="72" s="1"/>
  <c r="G4" i="52"/>
  <c r="B52" i="72" s="1"/>
  <c r="E118" i="9"/>
  <c r="D118" i="9" l="1"/>
  <c r="E4" i="52"/>
  <c r="B48" i="72" s="1"/>
  <c r="D119" i="9" l="1"/>
  <c r="D5" i="52" s="1"/>
  <c r="B49" i="72" s="1"/>
  <c r="D4" i="52"/>
  <c r="B47"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<sst xmlns="http://schemas.openxmlformats.org/spreadsheetml/2006/main" count="7898" uniqueCount="3454">
  <si>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</si>
  <si>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</si>
  <si>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</si>
  <si>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</si>
  <si>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</si>
  <si>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</si>
  <si>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</si>
  <si>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</si>
  <si>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</si>
  <si>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</si>
  <si>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</si>
  <si>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</si>
  <si>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</si>
  <si>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</si>
  <si>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</si>
  <si>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</si>
  <si>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</si>
  <si>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</si>
  <si>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</si>
  <si>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</si>
  <si>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</si>
  <si>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</si>
  <si>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</si>
  <si>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</si>
  <si>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</si>
  <si>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</si>
  <si>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</si>
  <si>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</si>
  <si>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</si>
  <si>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</si>
  <si>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</si>
  <si>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</si>
  <si>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</si>
  <si>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</si>
  <si>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</si>
  <si>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</si>
  <si>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</si>
  <si>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</si>
  <si>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</si>
  <si>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</si>
  <si>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</si>
  <si>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</si>
  <si>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</si>
  <si>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</si>
  <si>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</si>
  <si>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</si>
  <si>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</si>
  <si>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</si>
  <si>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</si>
  <si>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</si>
  <si>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</si>
  <si>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</si>
  <si>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</si>
  <si>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</si>
  <si>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</si>
  <si>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</si>
  <si>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</si>
  <si>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</si>
  <si>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</si>
  <si>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</si>
  <si>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</si>
  <si>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</si>
  <si>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</si>
  <si>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</si>
  <si>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</si>
  <si>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</si>
  <si>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</si>
  <si>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</si>
  <si>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</si>
  <si>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</si>
  <si>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</si>
  <si>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</si>
  <si>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</si>
  <si>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</si>
  <si>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</si>
  <si>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</si>
  <si>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</si>
  <si>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</si>
  <si>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</si>
  <si>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</si>
  <si>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</si>
  <si>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</si>
  <si>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</si>
  <si>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</si>
  <si>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</si>
  <si>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</si>
  <si>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</si>
  <si>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</si>
  <si>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</si>
  <si>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</si>
  <si>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</si>
  <si>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</si>
  <si>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</si>
  <si>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</si>
  <si>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</si>
  <si>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</si>
  <si>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</si>
  <si>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</si>
  <si>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</si>
  <si>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</si>
  <si>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</si>
  <si>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</si>
  <si>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</si>
  <si>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</si>
  <si>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</si>
  <si>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</si>
  <si>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</si>
  <si>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</si>
  <si>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</si>
  <si>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</si>
  <si>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</si>
  <si>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</si>
  <si>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</si>
  <si>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</si>
  <si>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</si>
  <si>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</si>
  <si>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</si>
  <si>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</si>
  <si>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</si>
  <si>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</si>
  <si>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</si>
  <si>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</si>
  <si>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</si>
  <si>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</si>
  <si>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</si>
  <si>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</si>
  <si>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</si>
  <si>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</si>
  <si>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</si>
  <si>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</si>
  <si>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</si>
  <si>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</si>
  <si>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</si>
  <si>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</si>
  <si>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</si>
  <si>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</si>
  <si>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</si>
  <si>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</si>
  <si>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</si>
  <si>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</si>
  <si>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</si>
  <si>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</si>
  <si>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</si>
  <si>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</si>
  <si>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</si>
  <si>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</si>
  <si>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</si>
  <si>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</si>
  <si>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</si>
  <si>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</si>
  <si>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</si>
  <si>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</si>
  <si>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</si>
  <si>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</si>
  <si>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</si>
  <si>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</si>
  <si>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</si>
  <si>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</si>
  <si>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</si>
  <si>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</si>
  <si>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</si>
  <si>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</si>
  <si>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</si>
  <si>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</si>
  <si>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</si>
  <si>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</si>
  <si>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</si>
  <si>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</si>
  <si>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</si>
  <si>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</si>
  <si>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</si>
  <si>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</si>
  <si>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</si>
  <si>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</si>
  <si>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</si>
  <si>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</si>
  <si>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</si>
  <si>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</si>
  <si>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</si>
  <si>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</si>
  <si>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</si>
  <si>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</si>
  <si>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</si>
  <si>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</si>
  <si>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</si>
  <si>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</si>
  <si>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</si>
  <si>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</si>
  <si>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</si>
  <si>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</si>
  <si>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</si>
  <si>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</si>
  <si>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</si>
  <si>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</si>
  <si>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</si>
  <si>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</si>
  <si>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</si>
  <si>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</si>
  <si>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</si>
  <si>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</si>
  <si>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</si>
  <si>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</si>
  <si>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</si>
  <si>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</si>
  <si>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</si>
  <si>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</si>
  <si>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</si>
  <si>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</si>
  <si>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</si>
  <si>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</si>
  <si>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</si>
  <si>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</si>
  <si>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</si>
  <si>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</si>
  <si>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</si>
  <si>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</si>
  <si>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</si>
  <si>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</si>
  <si>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</si>
  <si>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</si>
  <si>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</si>
  <si>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</si>
  <si>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</si>
  <si>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</si>
  <si>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</si>
  <si>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</si>
  <si>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</si>
  <si>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</si>
  <si>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</si>
  <si>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</si>
  <si>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</si>
  <si>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</si>
  <si>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</si>
  <si>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</si>
  <si>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</si>
  <si>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</si>
  <si>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</si>
  <si>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</si>
  <si>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</si>
  <si>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</si>
  <si>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</si>
  <si>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</si>
  <si>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</si>
  <si>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</si>
  <si>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</si>
  <si>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</si>
  <si>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</si>
  <si>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</si>
  <si>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</si>
  <si>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</si>
  <si>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</si>
  <si>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</si>
  <si>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</si>
  <si>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</si>
  <si>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</si>
  <si>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</si>
  <si>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</si>
  <si>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</si>
  <si>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</si>
  <si>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</si>
  <si>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</si>
  <si>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</si>
  <si>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</si>
  <si>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</si>
  <si>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</si>
  <si>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</si>
  <si>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</si>
  <si>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</si>
  <si>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</si>
  <si>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</si>
  <si>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</si>
  <si>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</si>
  <si>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</si>
  <si>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</si>
  <si>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</si>
  <si>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</si>
  <si>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</si>
  <si>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</si>
  <si>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</si>
  <si>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</si>
  <si>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</si>
  <si>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</si>
  <si>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</si>
  <si>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</si>
  <si>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</si>
  <si>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</si>
  <si>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</si>
  <si>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</si>
  <si>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</si>
  <si>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</si>
  <si>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</si>
  <si>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</si>
  <si>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</si>
  <si>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</si>
  <si>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</si>
  <si>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</si>
  <si>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</si>
  <si>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</si>
  <si>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</si>
  <si>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</si>
  <si>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</si>
  <si>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</si>
  <si>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</si>
  <si>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</si>
  <si>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</si>
  <si>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</si>
  <si>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</si>
  <si>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</si>
  <si>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</si>
  <si>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</si>
  <si>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</si>
  <si>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</si>
  <si>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</si>
  <si>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</si>
  <si>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</si>
  <si>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</si>
  <si>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</si>
  <si>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</si>
  <si>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</si>
  <si>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</si>
  <si>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</si>
  <si>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</si>
  <si>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</si>
  <si>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</si>
  <si>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</si>
  <si>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</si>
  <si>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</si>
  <si>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</si>
  <si>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</si>
  <si>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</si>
  <si>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</si>
  <si>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</si>
  <si>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</si>
  <si>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</si>
  <si>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</si>
  <si>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</si>
  <si>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</si>
  <si>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</si>
  <si>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</si>
  <si>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</si>
  <si>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</si>
  <si>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</si>
  <si>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</si>
  <si>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</si>
  <si>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</si>
  <si>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</si>
  <si>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</si>
  <si>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</si>
  <si>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</si>
  <si>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</si>
  <si>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</si>
  <si>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</si>
  <si>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</si>
  <si>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</si>
  <si>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</si>
  <si>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</si>
  <si>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</si>
  <si>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</si>
  <si>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</si>
  <si>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</si>
  <si>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</si>
  <si>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</si>
  <si>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</si>
  <si>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</si>
  <si>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</si>
  <si>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</si>
  <si>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</si>
  <si>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</si>
  <si>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</si>
  <si>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</si>
  <si>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</si>
  <si>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</si>
  <si>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</si>
  <si>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</si>
  <si>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</si>
  <si>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</si>
  <si>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</si>
  <si>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</si>
  <si>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</si>
  <si>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</si>
  <si>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</si>
  <si>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</si>
  <si>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</si>
  <si>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</si>
  <si>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</si>
  <si>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</si>
  <si>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</si>
  <si>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</si>
  <si>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</si>
  <si>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</si>
  <si>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</si>
  <si>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</si>
  <si>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</si>
  <si>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</si>
  <si>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</si>
  <si>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</si>
  <si>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</si>
  <si>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</si>
  <si>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</si>
  <si>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</si>
  <si>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</si>
  <si>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</si>
  <si>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</si>
  <si>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</si>
  <si>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</si>
  <si>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</si>
  <si>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</si>
  <si>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</si>
  <si>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</si>
  <si>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</si>
  <si>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</si>
  <si>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</si>
  <si>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</si>
  <si>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</si>
  <si>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</si>
  <si>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</si>
  <si>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</si>
  <si>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</si>
  <si>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</si>
  <si>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</si>
  <si>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</si>
  <si>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</si>
  <si>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</si>
  <si>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</si>
  <si>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</si>
  <si>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</si>
  <si>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</si>
  <si>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</si>
  <si>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</si>
  <si>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</si>
  <si>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</si>
  <si>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</si>
  <si>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</si>
  <si>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</si>
  <si>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</si>
  <si>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</si>
  <si>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</si>
  <si>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</si>
  <si>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</si>
  <si>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</si>
  <si>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</si>
  <si>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</si>
  <si>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</si>
  <si>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</si>
  <si>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</si>
  <si>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</si>
  <si>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</si>
  <si>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</si>
  <si>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</si>
  <si>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</si>
  <si>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</si>
  <si>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</si>
  <si>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</si>
  <si>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</si>
  <si>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</si>
  <si>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</si>
  <si>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</si>
  <si>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</si>
  <si>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</si>
  <si>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</si>
  <si>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</si>
  <si>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</si>
  <si>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</si>
  <si>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</si>
  <si>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</si>
  <si>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</si>
  <si>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</si>
  <si>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</si>
  <si>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</si>
  <si>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</si>
  <si>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</si>
  <si>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</si>
  <si>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</si>
  <si>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</si>
  <si>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</si>
  <si>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</si>
  <si>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</si>
  <si>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</si>
  <si>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</si>
  <si>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</si>
  <si>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</si>
  <si>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</si>
  <si>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</si>
  <si>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</si>
  <si>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</si>
  <si>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</si>
  <si>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</si>
  <si>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</si>
  <si>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</si>
  <si>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</si>
  <si>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</si>
  <si>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</si>
  <si>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</si>
  <si>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</si>
  <si>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</si>
  <si>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</si>
  <si>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</si>
  <si>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</si>
  <si>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</si>
  <si>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</si>
  <si>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</si>
  <si>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</si>
  <si>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</si>
  <si>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</si>
  <si>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</si>
  <si>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</si>
  <si>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</si>
  <si>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</si>
  <si>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</si>
  <si>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</si>
  <si>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</si>
  <si>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</si>
  <si>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</si>
  <si>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</si>
  <si>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</si>
  <si>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</si>
  <si>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</si>
  <si>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</si>
  <si>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</si>
  <si>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</si>
  <si>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</si>
  <si>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</si>
  <si>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</si>
  <si>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</si>
  <si>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</si>
  <si>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</si>
  <si>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</si>
  <si>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</si>
  <si>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</si>
  <si>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</si>
  <si>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</si>
  <si>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</si>
  <si>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</si>
  <si>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</si>
  <si>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</si>
  <si>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</si>
  <si>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</si>
  <si>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</si>
  <si>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</si>
  <si>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</si>
  <si>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</si>
  <si>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</si>
  <si>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</si>
  <si>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</si>
  <si>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</si>
  <si>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</si>
  <si>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</si>
  <si>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</si>
  <si>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</si>
  <si>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</si>
  <si>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</si>
  <si>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</si>
  <si>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</si>
  <si>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</si>
  <si>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</si>
  <si>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</si>
  <si>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</si>
  <si>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</si>
  <si>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</si>
  <si>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</si>
  <si>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</si>
  <si>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</si>
  <si>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</si>
  <si>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</si>
  <si>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</si>
  <si>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</si>
  <si>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</si>
  <si>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</si>
  <si>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</si>
  <si>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</si>
  <si>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</si>
  <si>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</si>
  <si>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</si>
  <si>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</si>
  <si>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</si>
  <si>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</si>
  <si>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</si>
  <si>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</si>
  <si>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</si>
  <si>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</si>
  <si>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</si>
  <si>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</si>
  <si>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</si>
  <si>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</si>
  <si>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</si>
  <si>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</si>
  <si>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</si>
  <si>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</si>
  <si>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</si>
  <si>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</si>
  <si>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</si>
  <si>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</si>
  <si>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</si>
  <si>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</si>
  <si>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</si>
  <si>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</si>
  <si>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</si>
  <si>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</si>
  <si>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</si>
  <si>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</si>
  <si>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</si>
  <si>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</si>
  <si>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</si>
  <si>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</si>
  <si>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</si>
  <si>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</si>
  <si>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</si>
  <si>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</si>
  <si>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</si>
  <si>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</si>
  <si>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</si>
  <si>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</si>
  <si>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</si>
  <si>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</si>
  <si>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</si>
  <si>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</si>
  <si>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</si>
  <si>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</si>
  <si>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</si>
  <si>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</si>
  <si>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</si>
  <si>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</si>
  <si>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</si>
  <si>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</si>
  <si>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</si>
  <si>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</si>
  <si>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</si>
  <si>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</si>
  <si>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</si>
  <si>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</si>
  <si>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</si>
  <si>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</si>
  <si>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</si>
  <si>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</si>
  <si>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</si>
  <si>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</si>
  <si>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</si>
  <si>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</si>
  <si>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</si>
  <si>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</si>
  <si>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</si>
  <si>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</si>
  <si>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</si>
  <si>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</si>
  <si>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</si>
  <si>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</si>
  <si>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</si>
  <si>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</si>
  <si>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</si>
  <si>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</si>
  <si>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</si>
  <si>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</si>
  <si>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</si>
  <si>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</si>
  <si>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</si>
  <si>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</si>
  <si>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</si>
  <si>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</si>
  <si>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</si>
  <si>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</si>
  <si>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</si>
  <si>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</si>
  <si>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</si>
  <si>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</si>
  <si>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</si>
  <si>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</si>
  <si>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</si>
  <si>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</si>
  <si>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</si>
  <si>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</si>
  <si>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</si>
  <si>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</si>
  <si>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</si>
  <si>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</si>
  <si>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</si>
  <si>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</si>
  <si>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</si>
  <si>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</si>
  <si>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</si>
  <si>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</si>
  <si>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</si>
  <si>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</si>
  <si>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</si>
  <si>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</si>
  <si>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</si>
  <si>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</si>
  <si>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</si>
  <si>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</si>
  <si>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</si>
  <si>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</si>
  <si>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</si>
  <si>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</si>
  <si>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</si>
  <si>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</si>
  <si>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</si>
  <si>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</si>
  <si>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</si>
  <si>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</si>
  <si>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</si>
  <si>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</si>
  <si>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</si>
  <si>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</si>
  <si>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</si>
  <si>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</si>
  <si>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</si>
  <si>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</si>
  <si>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</si>
  <si>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</si>
  <si>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</si>
  <si>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</si>
  <si>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</si>
  <si>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</si>
  <si>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</si>
  <si>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</si>
  <si>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</si>
  <si>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</si>
  <si>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</si>
  <si>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</si>
  <si>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</si>
  <si>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</si>
  <si>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</si>
  <si>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</si>
  <si>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</si>
  <si>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</si>
  <si>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</si>
  <si>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</si>
  <si>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</si>
  <si>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</si>
  <si>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</si>
  <si>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</si>
  <si>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</si>
  <si>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</si>
  <si>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</si>
  <si>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</si>
  <si>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</si>
  <si>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</si>
  <si>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</si>
  <si>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</si>
  <si>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</si>
  <si>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</si>
  <si>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</si>
  <si>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</si>
  <si>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</si>
  <si>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</si>
  <si>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</si>
  <si>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</si>
  <si>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</si>
  <si>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</si>
  <si>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</si>
  <si>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</si>
  <si>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</si>
  <si>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</si>
  <si>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</si>
  <si>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</si>
  <si>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</si>
  <si>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</si>
  <si>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</si>
  <si>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</si>
  <si>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</si>
  <si>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</si>
  <si>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</si>
  <si>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</si>
  <si>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</si>
  <si>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</si>
  <si>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</si>
  <si>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</si>
  <si>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</si>
  <si>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</si>
  <si>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</si>
  <si>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</si>
  <si>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</si>
  <si>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</si>
  <si>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</si>
  <si>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</si>
  <si>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</si>
  <si>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</si>
  <si>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</si>
  <si>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</si>
  <si>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</si>
  <si>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</si>
  <si>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</si>
  <si>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</si>
  <si>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</si>
  <si>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</si>
  <si>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</si>
  <si>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</si>
  <si>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</si>
  <si>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</si>
  <si>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</si>
  <si>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</si>
  <si>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</si>
  <si>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</si>
  <si>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</si>
  <si>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</si>
  <si>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</si>
  <si>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</si>
  <si>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</si>
  <si>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</si>
  <si>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</si>
  <si>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</si>
  <si>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</si>
  <si>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</si>
  <si>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</si>
  <si>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</si>
  <si>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</si>
  <si>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</si>
  <si>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</si>
  <si>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</si>
  <si>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</si>
  <si>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</si>
  <si>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</si>
  <si>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</si>
  <si>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</si>
  <si>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</si>
  <si>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</si>
  <si>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</si>
  <si>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</si>
  <si>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</si>
  <si>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</si>
  <si>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</si>
  <si>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</si>
  <si>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</si>
  <si>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</si>
  <si>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</si>
  <si>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</si>
  <si>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</si>
  <si>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</si>
  <si>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</si>
  <si>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</si>
  <si>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</si>
  <si>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</si>
  <si>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</si>
  <si>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</si>
  <si>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</si>
  <si>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</si>
  <si>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</si>
  <si>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</si>
  <si>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</si>
  <si>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</si>
  <si>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</si>
  <si>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</si>
  <si>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</si>
  <si>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</si>
  <si>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</si>
  <si>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</si>
  <si>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</si>
  <si>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</si>
  <si>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</si>
  <si>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</si>
  <si>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</si>
  <si>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</si>
  <si>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</si>
  <si>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</si>
  <si>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</si>
  <si>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</si>
  <si>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</si>
  <si>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</si>
  <si>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</si>
  <si>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</si>
  <si>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</si>
  <si>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</si>
  <si>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</si>
  <si>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</si>
  <si>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</si>
  <si>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</si>
  <si>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</si>
  <si>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</si>
  <si>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</si>
  <si>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</si>
  <si>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</si>
  <si>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</si>
  <si>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</si>
  <si>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</si>
  <si>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</si>
  <si>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</si>
  <si>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</si>
  <si>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</si>
  <si>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</si>
  <si>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</si>
  <si>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</si>
  <si>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</si>
  <si>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</si>
  <si>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</si>
  <si>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</si>
  <si>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</si>
  <si>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</si>
  <si>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</si>
  <si>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</si>
  <si>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</si>
  <si>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</si>
  <si>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</si>
  <si>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</si>
  <si>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</si>
  <si>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</si>
  <si>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</si>
  <si>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</si>
  <si>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</si>
  <si>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</si>
  <si>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</si>
  <si>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</si>
  <si>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</si>
  <si>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</si>
  <si>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</si>
  <si>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</si>
  <si>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</si>
  <si>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</si>
  <si>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</si>
  <si>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</si>
  <si>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</si>
  <si>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</si>
  <si>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</si>
  <si>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</si>
  <si>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</si>
  <si>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</si>
  <si>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</si>
  <si>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</si>
  <si>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</si>
  <si>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</si>
  <si>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</si>
  <si>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</si>
  <si>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</si>
  <si>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</si>
  <si>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</si>
  <si>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</si>
  <si>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</si>
  <si>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</si>
  <si>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</si>
  <si>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</si>
  <si>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</si>
  <si>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</si>
  <si>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</si>
  <si>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</si>
  <si>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</si>
  <si>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</si>
  <si>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</si>
  <si>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</si>
  <si>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</si>
  <si>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</si>
  <si>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</si>
  <si>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</si>
  <si>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</si>
  <si>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</si>
  <si>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</si>
  <si>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</si>
  <si>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</si>
  <si>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</si>
  <si>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</si>
  <si>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</si>
  <si>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</si>
  <si>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</si>
  <si>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</si>
  <si>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</si>
  <si>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</si>
  <si>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</si>
  <si>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</si>
  <si>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</si>
  <si>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</si>
  <si>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</si>
  <si>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</si>
  <si>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</si>
  <si>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</si>
  <si>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</si>
  <si>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</si>
  <si>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</si>
  <si>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</si>
  <si>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</si>
  <si>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</si>
  <si>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</si>
  <si>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</si>
  <si>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</si>
  <si>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</si>
  <si>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</si>
  <si>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</si>
  <si>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</si>
  <si>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</si>
  <si>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</si>
  <si>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</si>
  <si>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</si>
  <si>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</si>
  <si>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</si>
  <si>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</si>
  <si>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</si>
  <si>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</si>
  <si>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</si>
  <si>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</si>
  <si>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</si>
  <si>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</si>
  <si>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</si>
  <si>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</si>
  <si>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</si>
  <si>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</si>
  <si>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</si>
  <si>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</si>
  <si>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</si>
  <si>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</si>
  <si>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</si>
  <si>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</si>
  <si>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</si>
  <si>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</si>
  <si>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</si>
  <si>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</si>
  <si>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</si>
  <si>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</si>
  <si>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</si>
  <si>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</si>
  <si>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</si>
  <si>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</si>
  <si>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</si>
  <si>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</si>
  <si>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</si>
  <si>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</si>
  <si>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</si>
  <si>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</si>
  <si>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</si>
  <si>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</si>
  <si>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</si>
  <si>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</si>
  <si>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</si>
  <si>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</si>
  <si>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</si>
  <si>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</si>
  <si>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</si>
  <si>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</si>
  <si>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</si>
  <si>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</si>
  <si>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</si>
  <si>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</si>
  <si>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</si>
  <si>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</si>
  <si>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</si>
  <si>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</si>
  <si>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</si>
  <si>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</si>
  <si>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</si>
  <si>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</si>
  <si>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</si>
  <si>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</si>
  <si>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</si>
  <si>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</si>
  <si>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</si>
  <si>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</si>
  <si>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</si>
  <si>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</si>
  <si>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</si>
  <si>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</si>
  <si>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</si>
  <si>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</si>
  <si>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</si>
  <si>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</si>
  <si>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</si>
  <si>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</si>
  <si>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</si>
  <si>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</si>
  <si>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</si>
  <si>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</si>
  <si>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</si>
  <si>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</si>
  <si>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</si>
  <si>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</si>
  <si>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</si>
  <si>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</si>
  <si>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</si>
  <si>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</si>
  <si>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</si>
  <si>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</si>
  <si>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</si>
  <si>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</si>
  <si>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</si>
  <si>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</si>
  <si>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</si>
  <si>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</si>
  <si>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</si>
  <si>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</si>
  <si>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</si>
  <si>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</si>
  <si>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</si>
  <si>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</si>
  <si>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</si>
  <si>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</si>
  <si>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</si>
  <si>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</si>
  <si>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</si>
  <si>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</si>
  <si>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</si>
  <si>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</si>
  <si>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</si>
  <si>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</si>
  <si>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</si>
  <si>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</si>
  <si>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</si>
  <si>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</si>
  <si>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</si>
  <si>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</si>
  <si>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</si>
  <si>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</si>
  <si>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</si>
  <si>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</si>
  <si>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</si>
  <si>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</si>
  <si>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</si>
  <si>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</si>
  <si>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</si>
  <si>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</si>
  <si>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</si>
  <si>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</si>
  <si>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</si>
  <si>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</si>
  <si>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</si>
  <si>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</si>
  <si>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</si>
  <si>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</si>
  <si>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</si>
  <si>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</si>
  <si>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</si>
  <si>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</si>
  <si>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</si>
  <si>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</si>
  <si>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</si>
  <si>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</si>
  <si>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</si>
  <si>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</si>
  <si>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</si>
  <si>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</si>
  <si>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</si>
  <si>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</si>
  <si>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</si>
  <si>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</si>
  <si>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</si>
  <si>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</si>
  <si>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</si>
  <si>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</si>
  <si>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</si>
  <si>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</si>
  <si>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</si>
  <si>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</si>
  <si>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</si>
  <si>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</si>
  <si>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</si>
  <si>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</si>
  <si>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</si>
  <si>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</si>
  <si>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</si>
  <si>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</si>
  <si>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</si>
  <si>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</si>
  <si>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</si>
  <si>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</si>
  <si>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</si>
  <si>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</si>
  <si>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</si>
  <si>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</si>
  <si>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</si>
  <si>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</si>
  <si>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</si>
  <si>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</si>
  <si>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</si>
  <si>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</si>
  <si>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</si>
  <si>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</si>
  <si>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</si>
  <si>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</si>
  <si>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</si>
  <si>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</si>
  <si>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</si>
  <si>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</si>
  <si>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</si>
  <si>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</si>
  <si>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</si>
  <si>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</si>
  <si>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</si>
  <si>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</si>
  <si>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</si>
  <si>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</si>
  <si>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</si>
  <si>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</si>
  <si>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</si>
  <si>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</si>
  <si>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</si>
  <si>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</si>
  <si>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</si>
  <si>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</si>
  <si>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</si>
  <si>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</si>
  <si>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</si>
  <si>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</si>
  <si>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</si>
  <si>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</si>
  <si>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</si>
  <si>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</si>
  <si>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</si>
  <si>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</si>
  <si>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</si>
  <si>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</si>
  <si>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</si>
  <si>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</si>
  <si>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</si>
  <si>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</si>
  <si>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</si>
  <si>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</si>
  <si>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</si>
  <si>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</si>
  <si>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</si>
  <si>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</si>
  <si>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</si>
  <si>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</si>
  <si>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</si>
  <si>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</si>
  <si>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</si>
  <si>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</si>
  <si>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</si>
  <si>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</si>
  <si>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</si>
  <si>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</si>
  <si>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</si>
  <si>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</si>
  <si>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</si>
  <si>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</si>
  <si>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</si>
  <si>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</si>
  <si>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</si>
  <si>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</si>
  <si>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</si>
  <si>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</si>
  <si>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</si>
  <si>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</si>
  <si>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</si>
  <si>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</si>
  <si>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</si>
  <si>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</si>
  <si>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</si>
  <si>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</si>
  <si>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</si>
  <si>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</si>
  <si>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</si>
  <si>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</si>
  <si>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</si>
  <si>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</si>
  <si>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</si>
  <si>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</si>
  <si>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</si>
  <si>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</si>
  <si>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</si>
  <si>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</si>
  <si>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</si>
  <si>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</si>
  <si>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</si>
  <si>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</si>
  <si>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</si>
  <si>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</si>
  <si>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</si>
  <si>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</si>
  <si>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</si>
  <si>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</si>
  <si>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</si>
  <si>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</si>
  <si>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</si>
  <si>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</si>
  <si>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</si>
  <si>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</si>
  <si>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</si>
  <si>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</si>
  <si>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</si>
  <si>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</si>
  <si>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</si>
  <si>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</si>
  <si>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</si>
  <si>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</si>
  <si>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</si>
  <si>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</si>
  <si>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</si>
  <si>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</si>
  <si>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</si>
  <si>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</si>
  <si>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</si>
  <si>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</si>
  <si>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</si>
  <si>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</si>
  <si>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</si>
  <si>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</si>
  <si>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</si>
  <si>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</si>
  <si>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</si>
  <si>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</si>
  <si>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</si>
  <si>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</si>
  <si>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</si>
  <si>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</si>
  <si>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</si>
  <si>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</si>
  <si>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</si>
  <si>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</si>
  <si>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</si>
  <si>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</si>
  <si>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</si>
  <si>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</si>
  <si>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</si>
  <si>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</si>
  <si>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</si>
  <si>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</si>
  <si>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</si>
  <si>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</si>
  <si>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</si>
  <si>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</si>
  <si>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</si>
  <si>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</si>
  <si>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</si>
  <si>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</si>
  <si>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</si>
  <si>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</si>
  <si>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</si>
  <si>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</si>
  <si>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</si>
  <si>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</si>
  <si>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</si>
  <si>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</si>
  <si>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</si>
  <si>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</si>
  <si>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</si>
  <si>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</si>
  <si>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</si>
  <si>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</si>
  <si>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</si>
  <si>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</si>
  <si>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</si>
  <si>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</si>
  <si>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</si>
  <si>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</si>
  <si>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</si>
  <si>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</si>
  <si>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</si>
  <si>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</si>
  <si>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</si>
  <si>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</si>
  <si>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</si>
  <si>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</si>
  <si>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</si>
  <si>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</si>
  <si>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</si>
  <si>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</si>
  <si>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</si>
  <si>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</si>
  <si>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</si>
  <si>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</si>
  <si>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</si>
  <si>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</si>
  <si>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</si>
  <si>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</si>
  <si>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</si>
  <si>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</si>
  <si>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</si>
  <si>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</si>
  <si>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</si>
  <si>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</si>
  <si>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</si>
  <si>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</si>
  <si>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</si>
  <si>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</si>
  <si>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</si>
  <si>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</si>
  <si>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</si>
  <si>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</si>
  <si>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</si>
  <si>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</si>
  <si>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</si>
  <si>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</si>
  <si>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</si>
  <si>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</si>
  <si>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</si>
  <si>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</si>
  <si>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</si>
  <si>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</si>
  <si>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</si>
  <si>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</si>
  <si>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</si>
  <si>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</si>
  <si>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</si>
  <si>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</si>
  <si>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</si>
  <si>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</si>
  <si>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</si>
  <si>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</si>
  <si>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</si>
  <si>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</si>
  <si>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</si>
  <si>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</si>
  <si>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</si>
  <si>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</si>
  <si>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</si>
  <si>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</si>
  <si>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</si>
  <si>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</si>
  <si>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</si>
  <si>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</si>
  <si>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</si>
  <si>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</si>
  <si>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</si>
  <si>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</si>
  <si>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</si>
  <si>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</si>
  <si>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</si>
  <si>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</si>
  <si>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</si>
  <si>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</si>
  <si>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</si>
  <si>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</si>
  <si>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</si>
  <si>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</si>
  <si>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</si>
  <si>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</si>
  <si>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</si>
  <si>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</si>
  <si>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</si>
  <si>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</si>
  <si>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</si>
  <si>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</si>
  <si>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</si>
  <si>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</si>
  <si>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</si>
  <si>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</si>
  <si>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</si>
  <si>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</si>
  <si>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</si>
  <si>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</si>
  <si>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</si>
  <si>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</si>
  <si>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</si>
  <si>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</si>
  <si>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</si>
  <si>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</si>
  <si>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</si>
  <si>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</si>
  <si>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</si>
  <si>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</si>
  <si>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</si>
  <si>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</si>
  <si>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</si>
  <si>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</si>
  <si>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</si>
  <si>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</si>
  <si>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</si>
  <si>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</si>
  <si>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</si>
  <si>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</si>
  <si>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</si>
  <si>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</si>
  <si>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</si>
  <si>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</si>
  <si>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</si>
  <si>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</si>
  <si>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</si>
  <si>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</si>
  <si>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</si>
  <si>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</si>
  <si>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</si>
  <si>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</si>
  <si>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</si>
  <si>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</si>
  <si>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</si>
  <si>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</si>
  <si>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</si>
  <si>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</si>
  <si>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</si>
  <si>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</si>
  <si>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</si>
  <si>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</si>
  <si>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</si>
  <si>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</si>
  <si>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</si>
  <si>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</si>
  <si>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</si>
  <si>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</si>
  <si>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</si>
  <si>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</si>
  <si>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</si>
  <si>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</si>
  <si>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</si>
  <si>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</si>
  <si>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</si>
  <si>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</si>
  <si>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</si>
  <si>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</si>
  <si>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</si>
  <si>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</si>
  <si>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</si>
  <si>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</si>
  <si>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</si>
  <si>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</si>
  <si>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</si>
  <si>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</si>
  <si>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</si>
  <si>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</si>
  <si>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</si>
  <si>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</si>
  <si>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</si>
  <si>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</si>
  <si>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</si>
  <si>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</si>
  <si>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</si>
  <si>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</si>
  <si>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</si>
  <si>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</si>
  <si>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</si>
  <si>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</si>
  <si>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</si>
  <si>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</si>
  <si>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</si>
  <si>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</si>
  <si>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</si>
  <si>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</si>
  <si>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</si>
  <si>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</si>
  <si>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</si>
  <si>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</si>
  <si>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</si>
  <si>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</si>
  <si>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</si>
  <si>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</si>
  <si>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</si>
  <si>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</si>
  <si>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</si>
  <si>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</si>
  <si>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</si>
  <si>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</si>
  <si>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</si>
  <si>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</si>
  <si>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</si>
  <si>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</si>
  <si>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</si>
  <si>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</si>
  <si>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</si>
  <si>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</si>
  <si>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</si>
  <si>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</si>
  <si>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</si>
  <si>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</si>
  <si>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</si>
  <si>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</si>
  <si>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</si>
  <si>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</si>
  <si>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</si>
  <si>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</si>
  <si>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</si>
  <si>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</si>
  <si>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</si>
  <si>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</si>
  <si>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</si>
  <si>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</si>
  <si>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</si>
  <si>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</si>
  <si>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</si>
  <si>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</si>
  <si>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</si>
  <si>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</si>
  <si>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</si>
  <si>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</si>
  <si>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</si>
  <si>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</si>
  <si>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</si>
  <si>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</si>
  <si>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</si>
  <si>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</si>
  <si>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</si>
  <si>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</si>
  <si>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</si>
  <si>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</si>
  <si>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</si>
  <si>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</si>
  <si>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</si>
  <si>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</si>
  <si>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</si>
  <si>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</si>
  <si>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</si>
  <si>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</si>
  <si>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</si>
  <si>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</si>
  <si>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</si>
  <si>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</si>
  <si>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</si>
  <si>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</si>
  <si>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</si>
  <si>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</si>
  <si>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</si>
  <si>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</si>
  <si>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</si>
  <si>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</si>
  <si>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</si>
  <si>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</si>
  <si>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</si>
  <si>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</si>
  <si>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</si>
  <si>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</si>
  <si>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</si>
  <si>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</si>
  <si>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</si>
  <si>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</si>
  <si>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</si>
  <si>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</si>
  <si>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</si>
  <si>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</si>
  <si>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</si>
  <si>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</si>
  <si>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</si>
  <si>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</si>
  <si>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</si>
  <si>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</si>
  <si>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</si>
  <si>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</si>
  <si>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</si>
  <si>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</si>
  <si>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</si>
  <si>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</si>
  <si>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</si>
  <si>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</si>
  <si>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</si>
  <si>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</si>
  <si>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</si>
  <si>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</si>
  <si>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</si>
  <si>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</si>
  <si>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</si>
  <si>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</si>
  <si>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</si>
  <si>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</si>
  <si>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</si>
  <si>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</si>
  <si>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</si>
  <si>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</si>
  <si>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</si>
  <si>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</si>
  <si>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</si>
  <si>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</si>
  <si>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</si>
  <si>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</si>
  <si>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</si>
  <si>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</si>
  <si>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</si>
  <si>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</si>
  <si>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</si>
  <si>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</si>
  <si>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</si>
  <si>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</si>
  <si>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</si>
  <si>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</si>
  <si>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</si>
  <si>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</si>
  <si>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</si>
  <si>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</si>
  <si>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</si>
  <si>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</si>
  <si>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</si>
  <si>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</si>
  <si>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</si>
  <si>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</si>
  <si>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</si>
  <si>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</si>
  <si>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</si>
  <si>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</si>
  <si>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</si>
  <si>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</si>
  <si>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</si>
  <si>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</si>
  <si>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</si>
  <si>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</si>
  <si>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</si>
  <si>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</si>
  <si>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</si>
  <si>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</si>
  <si>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</si>
  <si>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</si>
  <si>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</si>
  <si>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</si>
  <si>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</si>
  <si>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</si>
  <si>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</si>
  <si>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</si>
  <si>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</si>
  <si>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</si>
  <si>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</si>
  <si>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</si>
  <si>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</si>
  <si>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</si>
  <si>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</si>
  <si>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</si>
  <si>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</si>
  <si>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</si>
  <si>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</si>
  <si>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</si>
  <si>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</si>
  <si>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</si>
  <si>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</si>
  <si>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</si>
  <si>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</si>
  <si>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</si>
  <si>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</si>
  <si>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</si>
  <si>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</si>
  <si>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</si>
  <si>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</si>
  <si>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</si>
  <si>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</si>
  <si>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</si>
  <si>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</si>
  <si>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</si>
  <si>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</si>
  <si>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</si>
  <si>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</si>
  <si>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</si>
  <si>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</si>
  <si>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</si>
  <si>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</si>
  <si>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</si>
  <si>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</si>
  <si>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</si>
  <si>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</si>
  <si>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</si>
  <si>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</si>
  <si>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</si>
  <si>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</si>
  <si>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</si>
  <si>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</si>
  <si>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</si>
  <si>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</si>
  <si>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</si>
  <si>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</si>
  <si>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</si>
  <si>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</si>
  <si>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</si>
  <si>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</si>
  <si>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</si>
  <si>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</si>
  <si>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</si>
  <si>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</si>
  <si>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</si>
  <si>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</si>
  <si>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</si>
  <si>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</si>
  <si>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</si>
  <si>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</si>
  <si>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</si>
  <si>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</si>
  <si>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</si>
  <si>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</si>
  <si>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</si>
  <si>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</si>
  <si>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</si>
  <si>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</si>
  <si>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</si>
  <si>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</si>
  <si>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</si>
  <si>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</si>
  <si>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</si>
  <si>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</si>
  <si>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</si>
  <si>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</si>
  <si>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</si>
  <si>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</si>
  <si>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</si>
  <si>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</si>
  <si>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</si>
  <si>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</si>
  <si>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</si>
  <si>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</si>
  <si>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</si>
  <si>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</si>
  <si>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</si>
  <si>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</si>
  <si>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</si>
  <si>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</si>
  <si>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</si>
  <si>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</si>
  <si>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</si>
  <si>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</si>
  <si>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</si>
  <si>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</si>
  <si>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</si>
  <si>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</si>
  <si>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</si>
  <si>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</si>
  <si>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</si>
  <si>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</si>
  <si>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</si>
  <si>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</si>
  <si>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</si>
  <si>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</si>
  <si>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</si>
  <si>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</si>
  <si>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</si>
  <si>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</si>
  <si>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</si>
  <si>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</si>
  <si>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</si>
  <si>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</si>
  <si>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</si>
  <si>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</si>
  <si>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</si>
  <si>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</si>
  <si>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</si>
  <si>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</si>
  <si>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</si>
  <si>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</si>
  <si>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</si>
  <si>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</si>
  <si>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</si>
  <si>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</si>
  <si>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</si>
  <si>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</si>
  <si>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</si>
  <si>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</si>
  <si>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</si>
  <si>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</si>
  <si>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</si>
  <si>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</si>
  <si>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</si>
  <si>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</si>
  <si>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</si>
  <si>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</si>
  <si>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</si>
  <si>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</si>
  <si>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</si>
  <si>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</si>
  <si>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</si>
  <si>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</si>
  <si>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</si>
  <si>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</si>
  <si>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</si>
  <si>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</si>
  <si>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</si>
  <si>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</si>
  <si>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</si>
  <si>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</si>
  <si>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</si>
  <si>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</si>
  <si>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</si>
  <si>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</si>
  <si>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</si>
  <si>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</si>
  <si>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</si>
  <si>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</si>
  <si>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</si>
  <si>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</si>
  <si>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</si>
  <si>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</si>
  <si>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</si>
  <si>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</si>
  <si>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</si>
  <si>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</si>
  <si>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</si>
  <si>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</si>
  <si>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</si>
  <si>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</si>
  <si>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</si>
  <si>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</si>
  <si>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</si>
  <si>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</si>
  <si>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</si>
  <si>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</si>
  <si>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</si>
  <si>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</si>
  <si>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</si>
  <si>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</si>
  <si>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</si>
  <si>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</si>
  <si>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</si>
  <si>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</si>
  <si>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</si>
  <si>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</si>
  <si>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</si>
  <si>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</si>
  <si>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</si>
  <si>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</si>
  <si>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</si>
  <si>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</si>
  <si>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</si>
  <si>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</si>
  <si>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</si>
  <si>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</si>
  <si>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</si>
  <si>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</si>
  <si>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</si>
  <si>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</si>
  <si>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</si>
  <si>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</si>
  <si>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</si>
  <si>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</si>
  <si>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</si>
  <si>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</si>
  <si>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</si>
  <si>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</si>
  <si>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</si>
  <si>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</si>
  <si>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</si>
  <si>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</si>
  <si>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</si>
  <si>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</si>
  <si>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</si>
  <si>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</si>
  <si>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</si>
  <si>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</si>
  <si>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</si>
  <si>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</si>
  <si>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</si>
  <si>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</si>
  <si>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</si>
  <si>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</si>
  <si>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</si>
  <si>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</si>
  <si>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</si>
  <si>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</si>
  <si>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</si>
  <si>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</si>
  <si>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</si>
  <si>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</si>
  <si>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</si>
  <si>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</si>
  <si>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</si>
  <si>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</si>
  <si>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</si>
  <si>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</si>
  <si>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</si>
  <si>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</si>
  <si>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</si>
  <si>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</si>
  <si>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</si>
  <si>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</si>
  <si>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</si>
  <si>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</si>
  <si>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</si>
  <si>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</si>
  <si>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</si>
  <si>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</si>
  <si>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</si>
  <si>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</si>
  <si>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</si>
  <si>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</si>
  <si>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</si>
  <si>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</si>
  <si>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</si>
  <si>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</si>
  <si>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</si>
  <si>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</si>
  <si>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</si>
  <si>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</si>
  <si>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</si>
  <si>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</si>
  <si>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</si>
  <si>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</si>
  <si>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</si>
  <si>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</si>
  <si>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</si>
  <si>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</si>
  <si>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</si>
  <si>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</si>
  <si>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</si>
  <si>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</si>
  <si>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</si>
  <si>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</si>
  <si>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</si>
  <si>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</si>
  <si>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</si>
  <si>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</si>
  <si>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</si>
  <si>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</si>
  <si>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</si>
  <si>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</si>
  <si>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</si>
  <si>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</si>
  <si>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</si>
  <si>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</si>
  <si>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</si>
  <si>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</si>
  <si>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</si>
  <si>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</si>
  <si>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</si>
  <si>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</si>
  <si>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</si>
  <si>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</si>
  <si>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</si>
  <si>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</si>
  <si>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</si>
  <si>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</si>
  <si>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</si>
  <si>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</si>
  <si>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</si>
  <si>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</si>
  <si>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</si>
  <si>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</si>
  <si>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</si>
  <si>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</si>
  <si>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</si>
  <si>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</si>
  <si>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</si>
  <si>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</si>
  <si>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</si>
  <si>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</si>
  <si>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</si>
  <si>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</si>
  <si>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</si>
  <si>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</si>
  <si>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</si>
  <si>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</si>
  <si>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</si>
  <si>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</si>
  <si>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</si>
  <si>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</si>
  <si>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</si>
  <si>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</si>
  <si>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</si>
  <si>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</si>
  <si>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</si>
  <si>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</si>
  <si>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</si>
  <si>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</si>
  <si>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</si>
  <si>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</si>
  <si>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</si>
  <si>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</si>
  <si>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</si>
  <si>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</si>
  <si>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</si>
  <si>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</si>
  <si>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</si>
  <si>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</si>
  <si>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</si>
  <si>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</si>
  <si>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</si>
  <si>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</si>
  <si>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</si>
  <si>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</si>
  <si>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</si>
  <si>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</si>
  <si>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</si>
  <si>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</si>
  <si>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</si>
  <si>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</si>
  <si>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</si>
  <si>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</si>
  <si>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</si>
  <si>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</si>
  <si>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</si>
  <si>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</si>
  <si>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</si>
  <si>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</si>
  <si>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</si>
  <si>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</si>
  <si>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</si>
  <si>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</si>
  <si>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</si>
  <si>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</si>
  <si>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</si>
  <si>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</si>
  <si>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</si>
  <si>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</si>
  <si>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</si>
  <si>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</si>
  <si>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</si>
  <si>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</si>
  <si>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</si>
  <si>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</si>
  <si>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</si>
  <si>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</si>
  <si>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</si>
  <si>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</si>
  <si>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</si>
  <si>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</si>
  <si>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</si>
  <si>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</si>
  <si>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</si>
  <si>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</si>
  <si>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</si>
  <si>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</si>
  <si>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</si>
  <si>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</si>
  <si>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</si>
  <si>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</si>
  <si>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</si>
  <si>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</si>
  <si>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</si>
  <si>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</si>
  <si>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</si>
  <si>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</si>
  <si>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</si>
  <si>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</si>
  <si>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</si>
  <si>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</si>
  <si>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</si>
  <si>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</si>
  <si>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</si>
  <si>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</si>
  <si>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</si>
  <si>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</si>
  <si>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</si>
  <si>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</si>
  <si>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</si>
  <si>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</si>
  <si>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</si>
  <si>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</si>
  <si>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</si>
  <si>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</si>
  <si>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</si>
  <si>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</si>
  <si>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</si>
  <si>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</si>
  <si>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</si>
  <si>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</si>
  <si>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</si>
  <si>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</si>
  <si>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</si>
  <si>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</si>
  <si>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</si>
  <si>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</si>
  <si>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</si>
  <si>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</si>
  <si>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</si>
  <si>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</si>
  <si>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</si>
  <si>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</si>
  <si>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</si>
  <si>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</si>
  <si>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</si>
  <si>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</si>
  <si>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</si>
  <si>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</si>
  <si>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</si>
  <si>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</si>
  <si>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</si>
  <si>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</si>
  <si>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</si>
  <si>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</si>
  <si>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</si>
  <si>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</si>
  <si>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</si>
  <si>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</si>
  <si>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</si>
  <si>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</si>
  <si>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</si>
  <si>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</si>
  <si>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</si>
  <si>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</si>
  <si>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</si>
  <si>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</si>
  <si>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</si>
  <si>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</si>
  <si>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</si>
  <si>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</si>
  <si>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</si>
  <si>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</si>
  <si>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</si>
  <si>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</si>
  <si>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</si>
  <si>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</si>
  <si>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</si>
  <si>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</si>
  <si>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</si>
  <si>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</si>
  <si>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</si>
  <si>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</si>
  <si>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</si>
  <si>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</si>
  <si>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</si>
  <si>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</si>
  <si>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</si>
  <si>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</si>
  <si>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</si>
  <si>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</si>
  <si>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</si>
  <si>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</si>
  <si>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</si>
  <si>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</si>
  <si>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</si>
  <si>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</si>
  <si>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</si>
  <si>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</si>
  <si>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</si>
  <si>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</si>
  <si>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</si>
  <si>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</si>
  <si>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</si>
  <si>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</si>
  <si>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</si>
  <si>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</si>
  <si>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</si>
  <si>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</si>
  <si>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</si>
  <si>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</si>
  <si>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</si>
  <si>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</si>
  <si>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</si>
  <si>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</si>
  <si>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</si>
  <si>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</si>
  <si>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</si>
  <si>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</si>
  <si>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</si>
  <si>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</si>
  <si>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</si>
  <si>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</si>
  <si>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</si>
  <si>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</si>
  <si>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</si>
  <si>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</si>
  <si>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</si>
  <si>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</si>
  <si>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</si>
  <si>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</si>
  <si>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</si>
  <si>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</si>
  <si>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</si>
  <si>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</si>
  <si>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</si>
  <si>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</si>
  <si>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</si>
  <si>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</si>
  <si>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</si>
  <si>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</si>
  <si>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</si>
  <si>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</si>
  <si>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</si>
  <si>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</si>
  <si>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</si>
  <si>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</si>
  <si>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</si>
  <si>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</si>
  <si>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</si>
  <si>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</si>
  <si>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</si>
  <si>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</si>
  <si>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</si>
  <si>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</si>
  <si>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</si>
  <si>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</si>
  <si>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</si>
  <si>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</si>
  <si>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</si>
  <si>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</si>
  <si>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</si>
  <si>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</si>
  <si>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</si>
  <si>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</si>
  <si>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</si>
  <si>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</si>
  <si>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</si>
  <si>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</si>
  <si>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</si>
  <si>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</si>
  <si>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</si>
  <si>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</si>
  <si>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</si>
  <si>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</si>
  <si>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</si>
  <si>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</si>
  <si>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</si>
  <si>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</si>
  <si>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</si>
  <si>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</si>
  <si>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</si>
  <si>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</si>
  <si>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</si>
  <si>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</si>
  <si>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</si>
  <si>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</si>
  <si>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</si>
  <si>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</si>
  <si>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</si>
  <si>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</si>
  <si>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</si>
  <si>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</si>
  <si>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</si>
  <si>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</si>
  <si>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</si>
  <si>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</si>
  <si>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</si>
  <si>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</si>
  <si>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</si>
  <si>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</si>
  <si>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</si>
  <si>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</si>
  <si>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</si>
  <si>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</si>
  <si>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</si>
  <si>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</si>
  <si>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</si>
  <si>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</si>
  <si>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</si>
  <si>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</si>
  <si>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</si>
  <si>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</si>
  <si>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</si>
  <si>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</si>
  <si>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</si>
  <si>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</si>
  <si>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</si>
  <si>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</si>
  <si>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</si>
  <si>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</si>
  <si>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</si>
  <si>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</si>
  <si>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</si>
  <si>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</si>
  <si>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</si>
  <si>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</si>
  <si>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</si>
  <si>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</si>
  <si>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</si>
  <si>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</si>
  <si>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</si>
  <si>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</si>
  <si>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</si>
  <si>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</si>
  <si>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</si>
  <si>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</si>
  <si>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</si>
  <si>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</si>
  <si>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</si>
  <si>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</si>
  <si>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</si>
  <si>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</si>
  <si>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</si>
  <si>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</si>
  <si>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</si>
  <si>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</si>
  <si>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</si>
  <si>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</si>
  <si>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</si>
  <si>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</si>
  <si>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</si>
  <si>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</si>
  <si>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</si>
  <si>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</si>
  <si>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</si>
  <si>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</si>
  <si>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</si>
  <si>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</si>
  <si>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</si>
  <si>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</si>
  <si>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</si>
  <si>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</si>
  <si>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</si>
  <si>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</si>
  <si>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</si>
  <si>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</si>
  <si>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</si>
  <si>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</si>
  <si>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</si>
  <si>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</si>
  <si>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</si>
  <si>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</si>
  <si>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</si>
  <si>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</si>
  <si>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</si>
  <si>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</si>
  <si>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</si>
  <si>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</si>
  <si>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</si>
  <si>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</si>
  <si>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</si>
  <si>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</si>
  <si>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</si>
  <si>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</si>
  <si>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</si>
  <si>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</si>
  <si>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</si>
  <si>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</si>
  <si>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</si>
  <si>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</si>
  <si>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</si>
  <si>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</si>
  <si>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</si>
  <si>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</si>
  <si>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</si>
  <si>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</si>
  <si>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</si>
  <si>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</si>
  <si>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</si>
  <si>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</si>
  <si>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</si>
  <si>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</si>
  <si>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</si>
  <si>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</si>
  <si>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</si>
  <si>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</si>
  <si>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</si>
  <si>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</si>
  <si>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</si>
  <si>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</si>
  <si>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</si>
  <si>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</si>
  <si>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</si>
  <si>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</si>
  <si>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</si>
  <si>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</si>
  <si>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</si>
  <si>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</si>
  <si>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</si>
  <si>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</si>
  <si>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</si>
  <si>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</si>
  <si>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</si>
  <si>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</si>
  <si>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</si>
  <si>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</si>
  <si>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</si>
  <si>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</si>
  <si>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</si>
  <si>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</si>
  <si>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</si>
  <si>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</si>
  <si>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</si>
  <si>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</si>
  <si>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</si>
  <si>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</si>
  <si>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</si>
  <si>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</si>
  <si>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</si>
  <si>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</si>
  <si>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</si>
  <si>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</si>
  <si>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</si>
  <si>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</si>
  <si>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</si>
  <si>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</si>
  <si>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</si>
  <si>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</si>
  <si>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</si>
  <si>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</si>
  <si>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</si>
  <si>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</si>
  <si>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</si>
  <si>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</si>
  <si>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</si>
  <si>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</si>
  <si>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</si>
  <si>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</si>
  <si>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</si>
  <si>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</si>
  <si>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</si>
  <si>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</si>
  <si>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</si>
  <si>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</si>
  <si>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</si>
  <si>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</si>
  <si>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</si>
  <si>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</si>
  <si>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</si>
  <si>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</si>
  <si>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</si>
  <si>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</si>
  <si>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</si>
  <si>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</si>
  <si>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</si>
  <si>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</si>
  <si>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</si>
  <si>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</si>
  <si>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</si>
  <si>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</si>
  <si>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</si>
  <si>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</si>
  <si>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</si>
  <si>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</si>
  <si>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</si>
  <si>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</si>
  <si>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</si>
  <si>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</si>
  <si>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</si>
  <si>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</si>
  <si>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</si>
  <si>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</si>
  <si>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</si>
  <si>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</si>
  <si>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</si>
  <si>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</si>
  <si>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</si>
  <si>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</si>
  <si>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</si>
  <si>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</si>
  <si>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</si>
  <si>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</si>
  <si>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</si>
  <si>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</si>
  <si>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</si>
  <si>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</si>
  <si>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</si>
  <si>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</si>
  <si>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</si>
  <si>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</si>
  <si>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</si>
  <si>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</si>
  <si>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</si>
  <si>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</si>
  <si>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</si>
  <si>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</si>
  <si>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</si>
  <si>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</si>
  <si>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</si>
  <si>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</si>
  <si>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</si>
  <si>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</si>
  <si>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</si>
  <si>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</si>
  <si>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</si>
  <si>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</si>
  <si>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</si>
  <si>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</si>
  <si>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</si>
  <si>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</si>
  <si>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</si>
  <si>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</si>
  <si>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</si>
  <si>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</si>
  <si>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</si>
  <si>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</si>
  <si>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</si>
  <si>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</si>
  <si>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</si>
  <si>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</si>
  <si>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</si>
  <si>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</si>
  <si>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</si>
  <si>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</si>
  <si>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</si>
  <si>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</si>
  <si>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</si>
  <si>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</si>
  <si>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</si>
  <si>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</si>
  <si>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</si>
  <si>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</si>
  <si>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</si>
  <si>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</si>
  <si>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</si>
  <si>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</si>
  <si>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</si>
  <si>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</si>
  <si>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</si>
  <si>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</si>
  <si>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</si>
  <si>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</si>
  <si>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</si>
  <si>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</si>
  <si>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</si>
  <si>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</si>
  <si>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</si>
  <si>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</si>
  <si>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</si>
  <si>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</si>
  <si>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</si>
  <si>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</si>
  <si>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</si>
  <si>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</si>
  <si>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</si>
  <si>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</si>
  <si>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</si>
  <si>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</si>
  <si>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</si>
  <si>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</si>
  <si>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</si>
  <si>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</si>
  <si>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</si>
  <si>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</si>
  <si>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</si>
  <si>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</si>
  <si>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</si>
  <si>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</si>
  <si>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</si>
  <si>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</si>
  <si>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</si>
  <si>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</si>
  <si>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</si>
  <si>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</si>
  <si>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</si>
  <si>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</si>
  <si>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</si>
  <si>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</si>
  <si>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</si>
  <si>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</si>
  <si>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</si>
  <si>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</si>
  <si>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</si>
  <si>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</si>
  <si>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</si>
  <si>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</si>
  <si>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</si>
  <si>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</si>
  <si>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</si>
  <si>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</si>
  <si>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</si>
  <si>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</si>
  <si>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</si>
  <si>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</si>
  <si>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</si>
  <si>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</si>
  <si>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</si>
  <si>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</si>
  <si>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</si>
  <si>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</si>
  <si>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</si>
  <si>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</si>
  <si>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</si>
  <si>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</si>
  <si>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</si>
  <si>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</si>
  <si>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</si>
  <si>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</si>
  <si>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</si>
  <si>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</si>
  <si>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</si>
  <si>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</si>
  <si>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</si>
  <si>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</si>
  <si>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</si>
  <si>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</si>
  <si>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</si>
  <si>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</si>
  <si>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</si>
  <si>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</si>
  <si>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</si>
  <si>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</si>
  <si>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</si>
  <si>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</si>
  <si>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</si>
  <si>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</si>
  <si>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</si>
  <si>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</si>
  <si>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</si>
  <si>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</si>
  <si>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</si>
  <si>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</si>
  <si>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</si>
  <si>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</si>
  <si>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</si>
  <si>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</si>
  <si>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</si>
  <si>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</si>
  <si>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</si>
  <si>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</si>
  <si>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</si>
  <si>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</si>
  <si>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</si>
  <si>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</si>
  <si>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</si>
  <si>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</si>
  <si>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</si>
  <si>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</si>
  <si>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</si>
  <si>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</si>
  <si>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</si>
  <si>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</si>
  <si>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</si>
  <si>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</si>
  <si>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</si>
  <si>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</si>
  <si>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</si>
  <si>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</si>
  <si>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</si>
  <si>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</si>
  <si>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</si>
  <si>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</si>
  <si>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</si>
  <si>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</si>
  <si>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</si>
  <si>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</si>
  <si>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</si>
  <si>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</si>
  <si>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</si>
  <si>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</si>
  <si>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</si>
  <si>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</si>
  <si>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</si>
  <si>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</si>
  <si>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</si>
  <si>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</si>
  <si>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</si>
  <si>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</si>
  <si>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</si>
  <si>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</si>
  <si>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</si>
  <si>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</si>
  <si>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</si>
  <si>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</si>
  <si>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</si>
  <si>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</si>
  <si>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</si>
  <si>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</si>
  <si>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</si>
  <si>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</si>
  <si>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</si>
  <si>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</si>
  <si>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</si>
  <si>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</si>
  <si>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</si>
  <si>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</si>
  <si>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</si>
  <si>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</si>
  <si>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</si>
  <si>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</si>
  <si>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</si>
  <si>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</si>
  <si>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</si>
  <si>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</si>
  <si>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</si>
  <si>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</si>
  <si>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</si>
  <si>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</si>
  <si>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</si>
  <si>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</si>
  <si>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</si>
  <si>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</si>
  <si>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</si>
  <si>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</si>
  <si>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</si>
  <si>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</si>
  <si>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</si>
  <si>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</si>
  <si>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</si>
  <si>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</si>
  <si>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</si>
  <si>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</si>
  <si>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</si>
  <si>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</si>
  <si>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</si>
  <si>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</si>
  <si>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</si>
  <si>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</si>
  <si>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</si>
  <si>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</si>
  <si>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</si>
  <si>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</si>
  <si>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</si>
  <si>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</si>
  <si>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</si>
  <si>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</si>
  <si>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</si>
  <si>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</si>
  <si>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</si>
  <si>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</si>
  <si>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</si>
  <si>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</si>
  <si>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</si>
  <si>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</si>
  <si>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</si>
  <si>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</si>
  <si>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</si>
  <si>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</si>
  <si>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</si>
  <si>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</si>
  <si>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</si>
  <si>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</si>
  <si>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</si>
  <si>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</si>
  <si>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</si>
  <si>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</si>
  <si>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</si>
  <si>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</si>
  <si>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</si>
  <si>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</si>
  <si>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</si>
  <si>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</si>
  <si>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</si>
  <si>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</si>
  <si>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</si>
  <si>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</si>
  <si>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</si>
  <si>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</si>
  <si>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</si>
  <si>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</si>
  <si>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</si>
  <si>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</si>
  <si>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</si>
  <si>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</si>
  <si>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</si>
  <si>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</si>
  <si>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</si>
  <si>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</si>
  <si>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</si>
  <si>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</si>
  <si>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</si>
  <si>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</si>
  <si>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</si>
  <si>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</si>
  <si>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</si>
  <si>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</si>
  <si>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</si>
  <si>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</si>
  <si>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</si>
  <si>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</si>
  <si>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</si>
  <si>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</si>
  <si>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</si>
  <si>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</si>
  <si>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</si>
  <si>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</si>
  <si>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</si>
  <si>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</si>
  <si>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</si>
  <si>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</si>
  <si>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</si>
  <si>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</si>
  <si>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</si>
  <si>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</si>
  <si>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</si>
  <si>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</si>
  <si>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</si>
  <si>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</si>
  <si>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</si>
  <si>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</si>
  <si>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</si>
  <si>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</si>
  <si>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</si>
  <si>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</si>
  <si>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</si>
  <si>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</si>
  <si>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</si>
  <si>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</si>
  <si>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</si>
  <si>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</si>
  <si>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</si>
  <si>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</si>
  <si>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</si>
  <si>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</si>
  <si>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</si>
  <si>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</si>
  <si>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</si>
  <si>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</si>
  <si>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</si>
  <si>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</si>
  <si>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</si>
  <si>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</si>
  <si>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</si>
  <si>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</si>
  <si>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</si>
  <si>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</si>
  <si>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</si>
  <si>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</si>
  <si>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</si>
  <si>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</si>
  <si>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</si>
  <si>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</si>
  <si>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</si>
  <si>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</si>
  <si>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</si>
  <si>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</si>
  <si>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</si>
  <si>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</si>
  <si>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</si>
  <si>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</si>
  <si>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</si>
  <si>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</si>
  <si>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</si>
  <si>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</si>
  <si>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</si>
  <si>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</si>
  <si>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</si>
  <si>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</si>
  <si>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</si>
  <si>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</si>
  <si>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</si>
  <si>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</si>
  <si>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</si>
  <si>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</si>
  <si>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</si>
  <si>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</si>
  <si>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</si>
  <si>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</si>
  <si>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</si>
  <si>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</si>
  <si>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</si>
  <si>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</si>
  <si>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</si>
  <si>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</si>
  <si>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</si>
  <si>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</si>
  <si>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</si>
  <si>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</si>
  <si>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</si>
  <si>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</si>
  <si>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</si>
  <si>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</si>
  <si>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</si>
  <si>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</si>
  <si>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</si>
  <si>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</si>
  <si>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</si>
  <si>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</si>
  <si>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</si>
  <si>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</si>
  <si>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</si>
  <si>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</si>
  <si>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</si>
  <si>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</si>
  <si>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</si>
  <si>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</si>
  <si>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</si>
  <si>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</si>
  <si>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</si>
  <si>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</si>
  <si>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</si>
  <si>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</si>
  <si>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</si>
  <si>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</si>
  <si>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</si>
  <si>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</si>
  <si>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</si>
  <si>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</si>
  <si>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</si>
  <si>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</si>
  <si>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</si>
  <si>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</si>
  <si>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</si>
  <si>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</si>
  <si>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</si>
  <si>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</si>
  <si>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</si>
  <si>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</si>
  <si>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</si>
  <si>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</si>
  <si>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</si>
  <si>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</si>
  <si>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</si>
  <si>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</si>
  <si>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</si>
  <si>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</si>
  <si>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</si>
  <si>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</si>
  <si>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</si>
  <si>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</si>
  <si>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</si>
  <si>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</si>
  <si>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</si>
  <si>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</si>
  <si>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</si>
  <si>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</si>
  <si>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</si>
  <si>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</si>
  <si>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</si>
  <si>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</si>
  <si>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</si>
  <si>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</si>
  <si>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</si>
  <si>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</si>
  <si>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</si>
  <si>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</si>
  <si>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</si>
  <si>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</si>
  <si>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</si>
  <si>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</si>
  <si>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</si>
  <si>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</si>
  <si>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</si>
  <si>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</si>
  <si>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</si>
  <si>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</si>
  <si>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</si>
  <si>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</si>
  <si>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</si>
  <si>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</si>
  <si>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</si>
  <si>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</si>
  <si>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</si>
  <si>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</si>
  <si>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</si>
  <si>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</si>
  <si>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</si>
  <si>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</si>
  <si>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</si>
  <si>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</si>
  <si>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</si>
  <si>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</si>
  <si>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</si>
  <si>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</si>
  <si>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</si>
  <si>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</si>
  <si>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</si>
  <si>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</si>
  <si>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</si>
  <si>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</si>
  <si>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</si>
  <si>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</si>
  <si>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</si>
  <si>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</si>
  <si>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</si>
  <si>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</si>
  <si>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</si>
  <si>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</si>
  <si>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</si>
  <si>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</si>
  <si>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</si>
  <si>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</si>
  <si>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</si>
  <si>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</si>
  <si>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</si>
  <si>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</si>
  <si>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</si>
  <si>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</si>
  <si>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</si>
  <si>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</si>
  <si>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</si>
  <si>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</si>
  <si>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</si>
  <si>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</si>
  <si>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</si>
  <si>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</si>
  <si>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</si>
  <si>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</si>
  <si>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</si>
  <si>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</si>
  <si>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</si>
  <si>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</si>
  <si>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</si>
  <si>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</si>
  <si>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</si>
  <si>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</si>
  <si>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</si>
  <si>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</si>
  <si>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</si>
  <si>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</si>
  <si>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</si>
  <si>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</si>
  <si>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</si>
  <si>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</si>
  <si>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</si>
  <si>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</si>
  <si>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</si>
  <si>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</si>
  <si>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</si>
  <si>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</si>
  <si>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</si>
  <si>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</si>
  <si>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</si>
  <si>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</si>
  <si>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</si>
  <si>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</si>
  <si>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</si>
  <si>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</si>
  <si>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</si>
  <si>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</si>
  <si>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</si>
  <si>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</si>
  <si>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</si>
  <si>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</si>
  <si>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</si>
  <si>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</si>
  <si>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</si>
  <si>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</si>
  <si>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</si>
  <si>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</si>
  <si>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</si>
  <si>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</si>
  <si>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</si>
  <si>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</si>
  <si>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</si>
  <si>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</si>
  <si>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</si>
  <si>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</si>
  <si>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</si>
  <si>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</si>
  <si>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</si>
  <si>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</si>
  <si>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</si>
  <si>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</si>
  <si>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</si>
  <si>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</si>
  <si>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</si>
  <si>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</si>
  <si>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</si>
  <si>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</si>
  <si>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</si>
  <si>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</si>
  <si>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</si>
  <si>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</si>
  <si>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</si>
  <si>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</si>
  <si>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</si>
  <si>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</si>
  <si>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</si>
  <si>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</si>
  <si>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</si>
  <si>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</si>
  <si>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</si>
  <si>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</si>
  <si>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</si>
  <si>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</si>
  <si>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</si>
  <si>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</si>
  <si>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</si>
  <si>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</si>
  <si>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</si>
  <si>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</si>
  <si>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</si>
  <si>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</si>
  <si>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</si>
  <si>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</si>
  <si>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</si>
  <si>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</si>
  <si>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</si>
  <si>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</si>
  <si>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</si>
  <si>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</si>
  <si>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</si>
  <si>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</si>
  <si>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</si>
  <si>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</si>
  <si>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</si>
  <si>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</si>
  <si>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</si>
  <si>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</si>
  <si>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</si>
  <si>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</si>
  <si>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</si>
  <si>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</si>
  <si>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</si>
  <si>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</si>
  <si>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</si>
  <si>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</si>
  <si>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</si>
  <si>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</si>
  <si>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</si>
  <si>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</si>
  <si>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</si>
  <si>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</si>
  <si>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</si>
  <si>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</si>
  <si>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</si>
  <si>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</si>
  <si>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</si>
  <si>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</si>
  <si>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</si>
  <si>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</si>
  <si>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</si>
  <si>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</si>
  <si>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</si>
  <si>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</si>
  <si>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</si>
  <si>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</si>
  <si>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</si>
  <si>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</si>
  <si>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</si>
  <si>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</si>
  <si>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</si>
  <si>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</si>
  <si>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</si>
  <si>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</si>
  <si>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</si>
  <si>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</si>
  <si>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</si>
  <si>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</si>
  <si>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</si>
  <si>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</si>
  <si>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</si>
  <si>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</si>
  <si>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</si>
  <si>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</si>
  <si>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</si>
  <si>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</si>
  <si>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</si>
  <si>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</si>
  <si>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</si>
  <si>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</si>
  <si>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</si>
  <si>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</si>
  <si>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</si>
  <si>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</si>
  <si>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</si>
  <si>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</si>
  <si>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</si>
  <si>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</si>
  <si>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</si>
  <si>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</si>
  <si>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</si>
  <si>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</si>
  <si>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</si>
  <si>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</si>
  <si>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</si>
  <si>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</si>
  <si>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</si>
  <si>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</si>
  <si>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</si>
  <si>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</si>
  <si>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</si>
  <si>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</si>
  <si>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</si>
  <si>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</si>
  <si>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</si>
  <si>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</si>
  <si>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</si>
  <si>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</si>
  <si>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</si>
  <si>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</si>
  <si>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</si>
  <si>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</si>
  <si>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</si>
  <si>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</si>
  <si>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</si>
  <si>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</si>
  <si>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</si>
  <si>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</si>
  <si>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</si>
  <si>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</si>
  <si>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</si>
  <si>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</si>
  <si>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</si>
  <si>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</si>
  <si>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</si>
  <si>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</si>
  <si>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</si>
  <si>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</si>
  <si>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</si>
  <si>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</si>
  <si>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</si>
  <si>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</si>
  <si>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</si>
  <si>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</si>
  <si>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</si>
  <si>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</si>
  <si>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</si>
  <si>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</si>
  <si>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</si>
  <si>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</si>
  <si>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</si>
  <si>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</si>
  <si>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</si>
  <si>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</si>
  <si>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</si>
  <si>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</si>
  <si>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</si>
  <si>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</si>
  <si>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</si>
  <si>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</si>
  <si>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</si>
  <si>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</si>
  <si>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</si>
  <si>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</si>
  <si>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</si>
  <si>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</si>
  <si>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</si>
  <si>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</si>
  <si>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</si>
  <si>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</si>
  <si>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</si>
  <si>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</si>
  <si>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</si>
  <si>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</si>
  <si>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</si>
  <si>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</si>
  <si>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</si>
  <si>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</si>
  <si>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</si>
  <si>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</si>
  <si>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</si>
  <si>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</si>
  <si>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</si>
  <si>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</si>
  <si>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</si>
  <si>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</si>
  <si>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</si>
  <si>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</si>
  <si>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</si>
  <si>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</si>
  <si>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</si>
  <si>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</si>
  <si>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</si>
  <si>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</si>
  <si>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</si>
  <si>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</si>
  <si>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</si>
  <si>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</si>
  <si>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</si>
  <si>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</si>
  <si>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</si>
  <si>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</si>
  <si>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</si>
  <si>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</si>
  <si>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</si>
  <si>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</si>
  <si>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</si>
  <si>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</si>
  <si>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</si>
  <si>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</si>
  <si>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</si>
  <si>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</si>
  <si>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</si>
  <si>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</si>
  <si>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</si>
  <si>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</si>
  <si>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</si>
  <si>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</si>
  <si>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</si>
  <si>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</si>
  <si>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</si>
  <si>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</si>
  <si>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</si>
  <si>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</si>
  <si>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</si>
  <si>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</si>
  <si>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</si>
  <si>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</si>
  <si>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</si>
  <si>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</si>
  <si>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</si>
  <si>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</si>
  <si>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</si>
  <si>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</si>
  <si>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</si>
  <si>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</si>
  <si>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</si>
  <si>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</si>
  <si>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</si>
  <si>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</si>
  <si>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</si>
  <si>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</si>
  <si>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</si>
  <si>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</si>
  <si>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</si>
  <si>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</si>
  <si>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</si>
  <si>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</si>
  <si>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</si>
  <si>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</si>
  <si>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</si>
  <si>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</si>
  <si>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</si>
  <si>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</si>
  <si>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</si>
  <si>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</si>
  <si>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</si>
  <si>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</si>
  <si>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</si>
  <si>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</si>
  <si>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</si>
  <si>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</si>
  <si>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</si>
  <si>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</si>
  <si>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</si>
  <si>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</si>
  <si>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</si>
  <si>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</si>
  <si>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</si>
  <si>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</si>
  <si>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</si>
  <si>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</si>
  <si>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</si>
  <si>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</si>
  <si>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</si>
  <si>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</si>
  <si>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</si>
  <si>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</si>
  <si>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</si>
  <si>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</si>
  <si>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</si>
  <si>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</si>
  <si>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</si>
  <si>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</si>
  <si>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</si>
  <si>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</si>
  <si>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</si>
  <si>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</si>
  <si>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</si>
  <si>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</si>
  <si>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</si>
  <si>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</si>
  <si>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</si>
  <si>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</si>
  <si>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</si>
  <si>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</si>
  <si>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</si>
  <si>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</si>
  <si>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</si>
  <si>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</si>
  <si>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</si>
  <si>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</si>
  <si>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</si>
  <si>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</si>
  <si>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</si>
  <si>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</si>
  <si>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</si>
  <si>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</si>
  <si>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</si>
  <si>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</si>
  <si>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</si>
  <si>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</si>
  <si>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</si>
  <si>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</si>
  <si>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</si>
  <si>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</si>
  <si>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</si>
  <si>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</si>
  <si>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自然人</t>
  </si>
  <si>
    <t>商业</t>
    <phoneticPr fontId="4" type="noConversion"/>
  </si>
  <si>
    <t>是</t>
  </si>
  <si>
    <t>地上</t>
  </si>
  <si>
    <t>成新度</t>
  </si>
  <si>
    <t>收益法 (元)</t>
  </si>
  <si>
    <t>押一</t>
  </si>
  <si>
    <t>砖混</t>
  </si>
  <si>
    <t>非生产用房</t>
  </si>
  <si>
    <t>否</t>
  </si>
  <si>
    <t>比较法-商业</t>
  </si>
  <si>
    <t>单套模式</t>
  </si>
  <si>
    <t>售价</t>
  </si>
  <si>
    <t>估价方法</t>
  </si>
  <si>
    <t>现房</t>
  </si>
  <si>
    <t>项目局部</t>
  </si>
  <si>
    <t>较好</t>
  </si>
  <si>
    <t>七通</t>
  </si>
  <si>
    <t>单面临街</t>
  </si>
  <si>
    <t>较大</t>
  </si>
  <si>
    <t>1层</t>
  </si>
  <si>
    <t>混合</t>
  </si>
  <si>
    <t>简单装修</t>
  </si>
  <si>
    <t>一般</t>
  </si>
  <si>
    <t>住宅底商</t>
  </si>
  <si>
    <t>双面临街</t>
  </si>
  <si>
    <t>影人峰汇</t>
    <phoneticPr fontId="135" type="noConversion"/>
  </si>
  <si>
    <t>面积</t>
    <phoneticPr fontId="135" type="noConversion"/>
  </si>
  <si>
    <t>单价</t>
    <phoneticPr fontId="135" type="noConversion"/>
  </si>
  <si>
    <t>街角地，楼前有隔离带，不可餐饮，年租金净得6-10万</t>
    <phoneticPr fontId="135" type="noConversion"/>
  </si>
  <si>
    <t>开放路</t>
    <phoneticPr fontId="135" type="noConversion"/>
  </si>
  <si>
    <t>育龙铭居</t>
    <phoneticPr fontId="135" type="noConversion"/>
  </si>
  <si>
    <t>正常</t>
  </si>
  <si>
    <t>挂牌</t>
  </si>
  <si>
    <t>挂牌</t>
    <phoneticPr fontId="31" type="noConversion"/>
  </si>
  <si>
    <t>双面临街</t>
    <phoneticPr fontId="4" type="noConversion"/>
  </si>
  <si>
    <t>单面临街</t>
    <phoneticPr fontId="4" type="noConversion"/>
  </si>
  <si>
    <t>较好</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</si>
  <si>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</si>
  <si>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</si>
  <si>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</si>
  <si>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</si>
  <si>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t>配套商业</t>
    <phoneticPr fontId="4" type="noConversion"/>
  </si>
  <si>
    <t>住宅底商</t>
    <phoneticPr fontId="4" type="noConversion"/>
  </si>
  <si>
    <t>可餐饮</t>
    <phoneticPr fontId="4" type="noConversion"/>
  </si>
  <si>
    <t>不可餐饮</t>
    <phoneticPr fontId="4" type="noConversion"/>
  </si>
  <si>
    <t>标准层高</t>
  </si>
  <si>
    <t>标准层高</t>
    <phoneticPr fontId="4" type="noConversion"/>
  </si>
  <si>
    <t>超高层高</t>
  </si>
  <si>
    <t>超高层高</t>
    <phoneticPr fontId="4" type="noConversion"/>
  </si>
  <si>
    <t>精装修</t>
    <phoneticPr fontId="4" type="noConversion"/>
  </si>
  <si>
    <t>普通装修</t>
    <phoneticPr fontId="4" type="noConversion"/>
  </si>
  <si>
    <t>简单装修</t>
    <phoneticPr fontId="4" type="noConversion"/>
  </si>
  <si>
    <t>毛坯</t>
    <phoneticPr fontId="4" type="noConversion"/>
  </si>
  <si>
    <t>普通装修</t>
  </si>
  <si>
    <t>收益比率</t>
  </si>
  <si>
    <t>情况4</t>
  </si>
  <si>
    <t>转让取得</t>
  </si>
  <si>
    <t>个人其他（无凭证）</t>
  </si>
  <si>
    <t>郑燚</t>
  </si>
  <si>
    <t>吴薇</t>
  </si>
  <si>
    <t>楼面单价</t>
  </si>
  <si>
    <t>开放路</t>
    <phoneticPr fontId="31" type="noConversion"/>
  </si>
  <si>
    <t>育龙铭居</t>
    <phoneticPr fontId="31" type="noConversion"/>
  </si>
  <si>
    <t>影人峰汇</t>
    <phoneticPr fontId="31" type="noConversion"/>
  </si>
  <si>
    <r>
      <rPr>
        <sz val="11"/>
        <color indexed="8"/>
        <rFont val="宋体"/>
        <family val="3"/>
        <charset val="134"/>
      </rPr>
      <t>小于</t>
    </r>
    <r>
      <rPr>
        <sz val="11"/>
        <color indexed="8"/>
        <rFont val="Arial"/>
        <family val="2"/>
      </rPr>
      <t>20</t>
    </r>
    <r>
      <rPr>
        <sz val="11"/>
        <color indexed="8"/>
        <rFont val="宋体"/>
        <family val="3"/>
        <charset val="134"/>
      </rPr>
      <t>年</t>
    </r>
    <phoneticPr fontId="31" type="noConversion"/>
  </si>
  <si>
    <r>
      <t>25-30</t>
    </r>
    <r>
      <rPr>
        <sz val="11"/>
        <color indexed="8"/>
        <rFont val="宋体"/>
        <family val="3"/>
        <charset val="134"/>
      </rPr>
      <t>年</t>
    </r>
    <phoneticPr fontId="31" type="noConversion"/>
  </si>
  <si>
    <r>
      <rPr>
        <sz val="11"/>
        <rFont val="宋体"/>
        <family val="3"/>
        <charset val="134"/>
      </rPr>
      <t>小于</t>
    </r>
    <r>
      <rPr>
        <sz val="11"/>
        <rFont val="Arial"/>
        <family val="2"/>
      </rPr>
      <t>20</t>
    </r>
    <r>
      <rPr>
        <sz val="11"/>
        <rFont val="宋体"/>
        <family val="3"/>
        <charset val="134"/>
      </rPr>
      <t>年</t>
    </r>
    <phoneticPr fontId="31" type="noConversion"/>
  </si>
  <si>
    <r>
      <t>20-25</t>
    </r>
    <r>
      <rPr>
        <sz val="11"/>
        <rFont val="宋体"/>
        <family val="3"/>
        <charset val="134"/>
      </rPr>
      <t>年</t>
    </r>
    <phoneticPr fontId="31" type="noConversion"/>
  </si>
  <si>
    <r>
      <t>25-30</t>
    </r>
    <r>
      <rPr>
        <sz val="11"/>
        <rFont val="宋体"/>
        <family val="3"/>
        <charset val="134"/>
      </rPr>
      <t>年</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</si>
</sst>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0" borderId="1" xfId="0" applyFont="1" applyBorder="1" applyAlignment="1" applyProtection="1">
      <alignment horizontal="center" vertical="center" wrapTex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54" fillId="6" borderId="54" xfId="0" applyFont="1" applyFill="1" applyBorder="1" applyAlignment="1" applyProtection="1">
      <alignment horizontal="left" vertical="center"/>
      <protection locked="0"/>
    </xf>
    <xf numFmtId="1" fontId="107" fillId="6" borderId="1" xfId="0" applyNumberFormat="1" applyFont="1" applyFill="1" applyBorder="1" applyAlignment="1">
      <alignment horizontal="left" vertical="center" wrapText="1"/>
    </xf>
    <xf numFmtId="0" fontId="165" fillId="6" borderId="1" xfId="0" applyFont="1" applyFill="1" applyBorder="1" applyAlignment="1" applyProtection="1">
      <alignment horizontal="center" vertical="center" wrapText="1"/>
      <protection locked="0"/>
    </xf>
    <xf numFmtId="0" fontId="47" fillId="8" borderId="62" xfId="0" applyFont="1" applyFill="1" applyBorder="1" applyAlignment="1" applyProtection="1">
      <alignment horizontal="right" vertical="center"/>
      <protection locked="0"/>
    </xf>
    <xf numFmtId="0" fontId="161" fillId="8" borderId="13" xfId="12" applyFont="1" applyFill="1" applyBorder="1" applyAlignment="1" applyProtection="1">
      <alignment horizontal="left" vertical="center" wrapText="1"/>
      <protection locked="0"/>
    </xf>
    <xf numFmtId="183" fontId="48" fillId="18" borderId="1" xfId="0" applyNumberFormat="1" applyFont="1" applyFill="1" applyBorder="1" applyAlignment="1" applyProtection="1">
      <alignment horizontal="center" vertical="center" shrinkToFit="1"/>
      <protection locked="0"/>
    </xf>
    <xf numFmtId="176" fontId="45" fillId="18" borderId="23" xfId="0" applyNumberFormat="1"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123825</xdr:rowOff>
    </xdr:from>
    <xdr:to>
      <xdr:col>9</xdr:col>
      <xdr:colOff>552451</xdr:colOff>
      <xdr:row>74</xdr:row>
      <xdr:rowOff>10850</xdr:rowOff>
    </xdr:to>
    <xdr:pic>
      <xdr:nvPicPr>
        <xdr:cNvPr id="6" name="图片 5">
          <a:extLst>
            <a:ext uri="{FF2B5EF4-FFF2-40B4-BE49-F238E27FC236}">
              <a16:creationId xmlns:a16="http://schemas.microsoft.com/office/drawing/2014/main" id="{2C9048E0-E1B0-4F54-A3D3-DDF161A534EE}"/>
            </a:ext>
          </a:extLst>
        </xdr:cNvPr>
        <xdr:cNvPicPr>
          <a:picLocks noChangeAspect="1"/>
        </xdr:cNvPicPr>
      </xdr:nvPicPr>
      <xdr:blipFill>
        <a:blip xmlns:r="http://schemas.openxmlformats.org/officeDocument/2006/relationships" r:embed="rId1"/>
        <a:stretch>
          <a:fillRect/>
        </a:stretch>
      </xdr:blipFill>
      <xdr:spPr>
        <a:xfrm>
          <a:off x="1" y="8353425"/>
          <a:ext cx="6724650" cy="4344725"/>
        </a:xfrm>
        <a:prstGeom prst="rect">
          <a:avLst/>
        </a:prstGeom>
      </xdr:spPr>
    </xdr:pic>
    <xdr:clientData/>
  </xdr:twoCellAnchor>
  <xdr:twoCellAnchor editAs="oneCell">
    <xdr:from>
      <xdr:col>0</xdr:col>
      <xdr:colOff>0</xdr:colOff>
      <xdr:row>0</xdr:row>
      <xdr:rowOff>0</xdr:rowOff>
    </xdr:from>
    <xdr:to>
      <xdr:col>9</xdr:col>
      <xdr:colOff>219075</xdr:colOff>
      <xdr:row>25</xdr:row>
      <xdr:rowOff>77742</xdr:rowOff>
    </xdr:to>
    <xdr:pic>
      <xdr:nvPicPr>
        <xdr:cNvPr id="5" name="图片 4">
          <a:extLst>
            <a:ext uri="{FF2B5EF4-FFF2-40B4-BE49-F238E27FC236}">
              <a16:creationId xmlns:a16="http://schemas.microsoft.com/office/drawing/2014/main" id="{E9D970F7-A2F6-C93F-AB22-FD0A3CC089F2}"/>
            </a:ext>
          </a:extLst>
        </xdr:cNvPr>
        <xdr:cNvPicPr>
          <a:picLocks noChangeAspect="1"/>
        </xdr:cNvPicPr>
      </xdr:nvPicPr>
      <xdr:blipFill>
        <a:blip xmlns:r="http://schemas.openxmlformats.org/officeDocument/2006/relationships" r:embed="rId2"/>
        <a:stretch>
          <a:fillRect/>
        </a:stretch>
      </xdr:blipFill>
      <xdr:spPr>
        <a:xfrm>
          <a:off x="0" y="0"/>
          <a:ext cx="6391275" cy="4363992"/>
        </a:xfrm>
        <a:prstGeom prst="rect">
          <a:avLst/>
        </a:prstGeom>
      </xdr:spPr>
    </xdr:pic>
    <xdr:clientData/>
  </xdr:twoCellAnchor>
  <xdr:twoCellAnchor editAs="oneCell">
    <xdr:from>
      <xdr:col>0</xdr:col>
      <xdr:colOff>1</xdr:colOff>
      <xdr:row>26</xdr:row>
      <xdr:rowOff>1</xdr:rowOff>
    </xdr:from>
    <xdr:to>
      <xdr:col>9</xdr:col>
      <xdr:colOff>323851</xdr:colOff>
      <xdr:row>48</xdr:row>
      <xdr:rowOff>143385</xdr:rowOff>
    </xdr:to>
    <xdr:pic>
      <xdr:nvPicPr>
        <xdr:cNvPr id="7" name="图片 6">
          <a:extLst>
            <a:ext uri="{FF2B5EF4-FFF2-40B4-BE49-F238E27FC236}">
              <a16:creationId xmlns:a16="http://schemas.microsoft.com/office/drawing/2014/main" id="{161FAA23-284B-43F3-9F9B-71567CCCC1F3}"/>
            </a:ext>
          </a:extLst>
        </xdr:cNvPr>
        <xdr:cNvPicPr>
          <a:picLocks noChangeAspect="1"/>
        </xdr:cNvPicPr>
      </xdr:nvPicPr>
      <xdr:blipFill>
        <a:blip xmlns:r="http://schemas.openxmlformats.org/officeDocument/2006/relationships" r:embed="rId3"/>
        <a:stretch>
          <a:fillRect/>
        </a:stretch>
      </xdr:blipFill>
      <xdr:spPr>
        <a:xfrm>
          <a:off x="1" y="4457701"/>
          <a:ext cx="6496050" cy="3915284"/>
        </a:xfrm>
        <a:prstGeom prst="rect">
          <a:avLst/>
        </a:prstGeom>
      </xdr:spPr>
    </xdr:pic>
    <xdr:clientData/>
  </xdr:twoCellAnchor>
  <xdr:twoCellAnchor editAs="oneCell">
    <xdr:from>
      <xdr:col>13</xdr:col>
      <xdr:colOff>419100</xdr:colOff>
      <xdr:row>0</xdr:row>
      <xdr:rowOff>0</xdr:rowOff>
    </xdr:from>
    <xdr:to>
      <xdr:col>23</xdr:col>
      <xdr:colOff>437290</xdr:colOff>
      <xdr:row>36</xdr:row>
      <xdr:rowOff>103990</xdr:rowOff>
    </xdr:to>
    <xdr:pic>
      <xdr:nvPicPr>
        <xdr:cNvPr id="8" name="图片 7">
          <a:extLst>
            <a:ext uri="{FF2B5EF4-FFF2-40B4-BE49-F238E27FC236}">
              <a16:creationId xmlns:a16="http://schemas.microsoft.com/office/drawing/2014/main" id="{D2165BAB-C4A3-FFFC-4235-EB560AEBBF80}"/>
            </a:ext>
          </a:extLst>
        </xdr:cNvPr>
        <xdr:cNvPicPr>
          <a:picLocks noChangeAspect="1"/>
        </xdr:cNvPicPr>
      </xdr:nvPicPr>
      <xdr:blipFill>
        <a:blip xmlns:r="http://schemas.openxmlformats.org/officeDocument/2006/relationships" r:embed="rId4"/>
        <a:stretch>
          <a:fillRect/>
        </a:stretch>
      </xdr:blipFill>
      <xdr:spPr>
        <a:xfrm>
          <a:off x="9334500" y="0"/>
          <a:ext cx="6876190" cy="6276190"/>
        </a:xfrm>
        <a:prstGeom prst="rect">
          <a:avLst/>
        </a:prstGeom>
      </xdr:spPr>
    </xdr:pic>
    <xdr:clientData/>
  </xdr:twoCellAnchor>
  <xdr:twoCellAnchor editAs="oneCell">
    <xdr:from>
      <xdr:col>25</xdr:col>
      <xdr:colOff>0</xdr:colOff>
      <xdr:row>75</xdr:row>
      <xdr:rowOff>106136</xdr:rowOff>
    </xdr:from>
    <xdr:to>
      <xdr:col>41</xdr:col>
      <xdr:colOff>400153</xdr:colOff>
      <xdr:row>117</xdr:row>
      <xdr:rowOff>89908</xdr:rowOff>
    </xdr:to>
    <xdr:pic>
      <xdr:nvPicPr>
        <xdr:cNvPr id="9" name="图片 8">
          <a:extLst>
            <a:ext uri="{FF2B5EF4-FFF2-40B4-BE49-F238E27FC236}">
              <a16:creationId xmlns:a16="http://schemas.microsoft.com/office/drawing/2014/main" id="{CC851674-5ED2-435F-A690-905BFC09F06F}"/>
            </a:ext>
          </a:extLst>
        </xdr:cNvPr>
        <xdr:cNvPicPr>
          <a:picLocks noChangeAspect="1"/>
        </xdr:cNvPicPr>
      </xdr:nvPicPr>
      <xdr:blipFill>
        <a:blip xmlns:r="http://schemas.openxmlformats.org/officeDocument/2006/relationships" r:embed="rId5"/>
        <a:stretch>
          <a:fillRect/>
        </a:stretch>
      </xdr:blipFill>
      <xdr:spPr>
        <a:xfrm>
          <a:off x="17008929" y="13373100"/>
          <a:ext cx="11285867" cy="7413272"/>
        </a:xfrm>
        <a:prstGeom prst="rect">
          <a:avLst/>
        </a:prstGeom>
      </xdr:spPr>
    </xdr:pic>
    <xdr:clientData/>
  </xdr:twoCellAnchor>
  <xdr:twoCellAnchor editAs="oneCell">
    <xdr:from>
      <xdr:col>25</xdr:col>
      <xdr:colOff>0</xdr:colOff>
      <xdr:row>118</xdr:row>
      <xdr:rowOff>43543</xdr:rowOff>
    </xdr:from>
    <xdr:to>
      <xdr:col>42</xdr:col>
      <xdr:colOff>491234</xdr:colOff>
      <xdr:row>159</xdr:row>
      <xdr:rowOff>166113</xdr:rowOff>
    </xdr:to>
    <xdr:pic>
      <xdr:nvPicPr>
        <xdr:cNvPr id="10" name="图片 9">
          <a:extLst>
            <a:ext uri="{FF2B5EF4-FFF2-40B4-BE49-F238E27FC236}">
              <a16:creationId xmlns:a16="http://schemas.microsoft.com/office/drawing/2014/main" id="{4579BAD5-A8B4-474B-8E54-847F9222C793}"/>
            </a:ext>
          </a:extLst>
        </xdr:cNvPr>
        <xdr:cNvPicPr>
          <a:picLocks noChangeAspect="1"/>
        </xdr:cNvPicPr>
      </xdr:nvPicPr>
      <xdr:blipFill>
        <a:blip xmlns:r="http://schemas.openxmlformats.org/officeDocument/2006/relationships" r:embed="rId6"/>
        <a:stretch>
          <a:fillRect/>
        </a:stretch>
      </xdr:blipFill>
      <xdr:spPr>
        <a:xfrm>
          <a:off x="17008929" y="20916900"/>
          <a:ext cx="12057305" cy="7375177"/>
        </a:xfrm>
        <a:prstGeom prst="rect">
          <a:avLst/>
        </a:prstGeom>
      </xdr:spPr>
    </xdr:pic>
    <xdr:clientData/>
  </xdr:twoCellAnchor>
  <xdr:twoCellAnchor editAs="oneCell">
    <xdr:from>
      <xdr:col>25</xdr:col>
      <xdr:colOff>0</xdr:colOff>
      <xdr:row>160</xdr:row>
      <xdr:rowOff>157843</xdr:rowOff>
    </xdr:from>
    <xdr:to>
      <xdr:col>42</xdr:col>
      <xdr:colOff>215043</xdr:colOff>
      <xdr:row>202</xdr:row>
      <xdr:rowOff>103520</xdr:rowOff>
    </xdr:to>
    <xdr:pic>
      <xdr:nvPicPr>
        <xdr:cNvPr id="11" name="图片 10">
          <a:extLst>
            <a:ext uri="{FF2B5EF4-FFF2-40B4-BE49-F238E27FC236}">
              <a16:creationId xmlns:a16="http://schemas.microsoft.com/office/drawing/2014/main" id="{7B796889-011B-4A5C-BB3F-FC45B3C34509}"/>
            </a:ext>
          </a:extLst>
        </xdr:cNvPr>
        <xdr:cNvPicPr>
          <a:picLocks noChangeAspect="1"/>
        </xdr:cNvPicPr>
      </xdr:nvPicPr>
      <xdr:blipFill>
        <a:blip xmlns:r="http://schemas.openxmlformats.org/officeDocument/2006/relationships" r:embed="rId7"/>
        <a:stretch>
          <a:fillRect/>
        </a:stretch>
      </xdr:blipFill>
      <xdr:spPr>
        <a:xfrm>
          <a:off x="17008929" y="28460700"/>
          <a:ext cx="11781114" cy="7375177"/>
        </a:xfrm>
        <a:prstGeom prst="rect">
          <a:avLst/>
        </a:prstGeom>
      </xdr:spPr>
    </xdr:pic>
    <xdr:clientData/>
  </xdr:twoCellAnchor>
  <xdr:twoCellAnchor editAs="oneCell">
    <xdr:from>
      <xdr:col>25</xdr:col>
      <xdr:colOff>0</xdr:colOff>
      <xdr:row>202</xdr:row>
      <xdr:rowOff>131173</xdr:rowOff>
    </xdr:from>
    <xdr:to>
      <xdr:col>41</xdr:col>
      <xdr:colOff>419200</xdr:colOff>
      <xdr:row>244</xdr:row>
      <xdr:rowOff>153040</xdr:rowOff>
    </xdr:to>
    <xdr:pic>
      <xdr:nvPicPr>
        <xdr:cNvPr id="12" name="图片 11">
          <a:extLst>
            <a:ext uri="{FF2B5EF4-FFF2-40B4-BE49-F238E27FC236}">
              <a16:creationId xmlns:a16="http://schemas.microsoft.com/office/drawing/2014/main" id="{C1D9FFF6-6423-43A0-9FA4-61CB342739DA}"/>
            </a:ext>
          </a:extLst>
        </xdr:cNvPr>
        <xdr:cNvPicPr>
          <a:picLocks noChangeAspect="1"/>
        </xdr:cNvPicPr>
      </xdr:nvPicPr>
      <xdr:blipFill>
        <a:blip xmlns:r="http://schemas.openxmlformats.org/officeDocument/2006/relationships" r:embed="rId8"/>
        <a:stretch>
          <a:fillRect/>
        </a:stretch>
      </xdr:blipFill>
      <xdr:spPr>
        <a:xfrm>
          <a:off x="17008929" y="35863530"/>
          <a:ext cx="11304914" cy="7451367"/>
        </a:xfrm>
        <a:prstGeom prst="rect">
          <a:avLst/>
        </a:prstGeom>
      </xdr:spPr>
    </xdr:pic>
    <xdr:clientData/>
  </xdr:twoCellAnchor>
  <xdr:twoCellAnchor editAs="oneCell">
    <xdr:from>
      <xdr:col>25</xdr:col>
      <xdr:colOff>0</xdr:colOff>
      <xdr:row>0</xdr:row>
      <xdr:rowOff>0</xdr:rowOff>
    </xdr:from>
    <xdr:to>
      <xdr:col>39</xdr:col>
      <xdr:colOff>352425</xdr:colOff>
      <xdr:row>26</xdr:row>
      <xdr:rowOff>102472</xdr:rowOff>
    </xdr:to>
    <xdr:pic>
      <xdr:nvPicPr>
        <xdr:cNvPr id="13" name="图片 12">
          <a:extLst>
            <a:ext uri="{FF2B5EF4-FFF2-40B4-BE49-F238E27FC236}">
              <a16:creationId xmlns:a16="http://schemas.microsoft.com/office/drawing/2014/main" id="{A9ACC1CF-4179-40D7-8B27-D6965D5D2300}"/>
            </a:ext>
          </a:extLst>
        </xdr:cNvPr>
        <xdr:cNvPicPr>
          <a:picLocks noChangeAspect="1"/>
        </xdr:cNvPicPr>
      </xdr:nvPicPr>
      <xdr:blipFill>
        <a:blip xmlns:r="http://schemas.openxmlformats.org/officeDocument/2006/relationships" r:embed="rId9"/>
        <a:stretch>
          <a:fillRect/>
        </a:stretch>
      </xdr:blipFill>
      <xdr:spPr>
        <a:xfrm>
          <a:off x="17008929" y="0"/>
          <a:ext cx="9877425" cy="4701686"/>
        </a:xfrm>
        <a:prstGeom prst="rect">
          <a:avLst/>
        </a:prstGeom>
      </xdr:spPr>
    </xdr:pic>
    <xdr:clientData/>
  </xdr:twoCellAnchor>
  <xdr:twoCellAnchor editAs="oneCell">
    <xdr:from>
      <xdr:col>25</xdr:col>
      <xdr:colOff>0</xdr:colOff>
      <xdr:row>27</xdr:row>
      <xdr:rowOff>24493</xdr:rowOff>
    </xdr:from>
    <xdr:to>
      <xdr:col>39</xdr:col>
      <xdr:colOff>333375</xdr:colOff>
      <xdr:row>54</xdr:row>
      <xdr:rowOff>94517</xdr:rowOff>
    </xdr:to>
    <xdr:pic>
      <xdr:nvPicPr>
        <xdr:cNvPr id="14" name="图片 13">
          <a:extLst>
            <a:ext uri="{FF2B5EF4-FFF2-40B4-BE49-F238E27FC236}">
              <a16:creationId xmlns:a16="http://schemas.microsoft.com/office/drawing/2014/main" id="{1983C400-11D0-4C9D-8EC3-CD6D5A91801F}"/>
            </a:ext>
          </a:extLst>
        </xdr:cNvPr>
        <xdr:cNvPicPr>
          <a:picLocks noChangeAspect="1"/>
        </xdr:cNvPicPr>
      </xdr:nvPicPr>
      <xdr:blipFill>
        <a:blip xmlns:r="http://schemas.openxmlformats.org/officeDocument/2006/relationships" r:embed="rId10"/>
        <a:stretch>
          <a:fillRect/>
        </a:stretch>
      </xdr:blipFill>
      <xdr:spPr>
        <a:xfrm>
          <a:off x="17008929" y="4800600"/>
          <a:ext cx="9858375" cy="4846131"/>
        </a:xfrm>
        <a:prstGeom prst="rect">
          <a:avLst/>
        </a:prstGeom>
      </xdr:spPr>
    </xdr:pic>
    <xdr:clientData/>
  </xdr:twoCellAnchor>
  <xdr:twoCellAnchor editAs="oneCell">
    <xdr:from>
      <xdr:col>25</xdr:col>
      <xdr:colOff>21308</xdr:colOff>
      <xdr:row>54</xdr:row>
      <xdr:rowOff>64226</xdr:rowOff>
    </xdr:from>
    <xdr:to>
      <xdr:col>36</xdr:col>
      <xdr:colOff>440872</xdr:colOff>
      <xdr:row>75</xdr:row>
      <xdr:rowOff>157137</xdr:rowOff>
    </xdr:to>
    <xdr:pic>
      <xdr:nvPicPr>
        <xdr:cNvPr id="15" name="图片 14">
          <a:extLst>
            <a:ext uri="{FF2B5EF4-FFF2-40B4-BE49-F238E27FC236}">
              <a16:creationId xmlns:a16="http://schemas.microsoft.com/office/drawing/2014/main" id="{21012658-507D-4DEA-9583-B36A9A116CE4}"/>
            </a:ext>
          </a:extLst>
        </xdr:cNvPr>
        <xdr:cNvPicPr>
          <a:picLocks noChangeAspect="1"/>
        </xdr:cNvPicPr>
      </xdr:nvPicPr>
      <xdr:blipFill>
        <a:blip xmlns:r="http://schemas.openxmlformats.org/officeDocument/2006/relationships" r:embed="rId11"/>
        <a:stretch>
          <a:fillRect/>
        </a:stretch>
      </xdr:blipFill>
      <xdr:spPr>
        <a:xfrm>
          <a:off x="17030237" y="9616440"/>
          <a:ext cx="7903492" cy="3807661"/>
        </a:xfrm>
        <a:prstGeom prst="rect">
          <a:avLst/>
        </a:prstGeom>
      </xdr:spPr>
    </xdr:pic>
    <xdr:clientData/>
  </xdr:twoCellAnchor>
  <xdr:twoCellAnchor editAs="oneCell">
    <xdr:from>
      <xdr:col>10</xdr:col>
      <xdr:colOff>0</xdr:colOff>
      <xdr:row>38</xdr:row>
      <xdr:rowOff>0</xdr:rowOff>
    </xdr:from>
    <xdr:to>
      <xdr:col>21</xdr:col>
      <xdr:colOff>544642</xdr:colOff>
      <xdr:row>47</xdr:row>
      <xdr:rowOff>103203</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2"/>
        <a:stretch>
          <a:fillRect/>
        </a:stretch>
      </xdr:blipFill>
      <xdr:spPr>
        <a:xfrm>
          <a:off x="6803571" y="6721929"/>
          <a:ext cx="8028571" cy="1695238"/>
        </a:xfrm>
        <a:prstGeom prst="rect">
          <a:avLst/>
        </a:prstGeom>
      </xdr:spPr>
    </xdr:pic>
    <xdr:clientData/>
  </xdr:twoCellAnchor>
  <xdr:twoCellAnchor editAs="oneCell">
    <xdr:from>
      <xdr:col>10</xdr:col>
      <xdr:colOff>0</xdr:colOff>
      <xdr:row>57</xdr:row>
      <xdr:rowOff>0</xdr:rowOff>
    </xdr:from>
    <xdr:to>
      <xdr:col>19</xdr:col>
      <xdr:colOff>524404</xdr:colOff>
      <xdr:row>86</xdr:row>
      <xdr:rowOff>98678</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3"/>
        <a:stretch>
          <a:fillRect/>
        </a:stretch>
      </xdr:blipFill>
      <xdr:spPr>
        <a:xfrm>
          <a:off x="6803571" y="10082893"/>
          <a:ext cx="6647619" cy="5228571"/>
        </a:xfrm>
        <a:prstGeom prst="rect">
          <a:avLst/>
        </a:prstGeom>
      </xdr:spPr>
    </xdr:pic>
    <xdr:clientData/>
  </xdr:twoCellAnchor>
  <xdr:twoCellAnchor editAs="oneCell">
    <xdr:from>
      <xdr:col>43</xdr:col>
      <xdr:colOff>0</xdr:colOff>
      <xdr:row>1</xdr:row>
      <xdr:rowOff>0</xdr:rowOff>
    </xdr:from>
    <xdr:to>
      <xdr:col>48</xdr:col>
      <xdr:colOff>655357</xdr:colOff>
      <xdr:row>21</xdr:row>
      <xdr:rowOff>109762</xdr:rowOff>
    </xdr:to>
    <xdr:pic>
      <xdr:nvPicPr>
        <xdr:cNvPr id="4" name="图片 3">
          <a:extLst>
            <a:ext uri="{FF2B5EF4-FFF2-40B4-BE49-F238E27FC236}">
              <a16:creationId xmlns:a16="http://schemas.microsoft.com/office/drawing/2014/main" id="{E1D93BA0-7273-BB5B-0806-5DF5C00017B2}"/>
            </a:ext>
          </a:extLst>
        </xdr:cNvPr>
        <xdr:cNvPicPr>
          <a:picLocks noChangeAspect="1"/>
        </xdr:cNvPicPr>
      </xdr:nvPicPr>
      <xdr:blipFill>
        <a:blip xmlns:r="http://schemas.openxmlformats.org/officeDocument/2006/relationships" r:embed="rId14"/>
        <a:stretch>
          <a:fillRect/>
        </a:stretch>
      </xdr:blipFill>
      <xdr:spPr>
        <a:xfrm>
          <a:off x="29255357" y="176893"/>
          <a:ext cx="4057143" cy="3647619"/>
        </a:xfrm>
        <a:prstGeom prst="rect">
          <a:avLst/>
        </a:prstGeom>
      </xdr:spPr>
    </xdr:pic>
    <xdr:clientData/>
  </xdr:twoCellAnchor>
  <xdr:twoCellAnchor editAs="oneCell">
    <xdr:from>
      <xdr:col>42</xdr:col>
      <xdr:colOff>653143</xdr:colOff>
      <xdr:row>23</xdr:row>
      <xdr:rowOff>27214</xdr:rowOff>
    </xdr:from>
    <xdr:to>
      <xdr:col>48</xdr:col>
      <xdr:colOff>609095</xdr:colOff>
      <xdr:row>49</xdr:row>
      <xdr:rowOff>37524</xdr:rowOff>
    </xdr:to>
    <xdr:pic>
      <xdr:nvPicPr>
        <xdr:cNvPr id="16" name="图片 15">
          <a:extLst>
            <a:ext uri="{FF2B5EF4-FFF2-40B4-BE49-F238E27FC236}">
              <a16:creationId xmlns:a16="http://schemas.microsoft.com/office/drawing/2014/main" id="{4FDB6333-3E82-330C-54D4-8B13FE9B252F}"/>
            </a:ext>
          </a:extLst>
        </xdr:cNvPr>
        <xdr:cNvPicPr>
          <a:picLocks noChangeAspect="1"/>
        </xdr:cNvPicPr>
      </xdr:nvPicPr>
      <xdr:blipFill>
        <a:blip xmlns:r="http://schemas.openxmlformats.org/officeDocument/2006/relationships" r:embed="rId15"/>
        <a:stretch>
          <a:fillRect/>
        </a:stretch>
      </xdr:blipFill>
      <xdr:spPr>
        <a:xfrm>
          <a:off x="29228143" y="4095750"/>
          <a:ext cx="4038095" cy="4609524"/>
        </a:xfrm>
        <a:prstGeom prst="rect">
          <a:avLst/>
        </a:prstGeom>
      </xdr:spPr>
    </xdr:pic>
    <xdr:clientData/>
  </xdr:twoCellAnchor>
  <xdr:twoCellAnchor editAs="oneCell">
    <xdr:from>
      <xdr:col>43</xdr:col>
      <xdr:colOff>0</xdr:colOff>
      <xdr:row>50</xdr:row>
      <xdr:rowOff>0</xdr:rowOff>
    </xdr:from>
    <xdr:to>
      <xdr:col>48</xdr:col>
      <xdr:colOff>598214</xdr:colOff>
      <xdr:row>69</xdr:row>
      <xdr:rowOff>105703</xdr:rowOff>
    </xdr:to>
    <xdr:pic>
      <xdr:nvPicPr>
        <xdr:cNvPr id="17" name="图片 16">
          <a:extLst>
            <a:ext uri="{FF2B5EF4-FFF2-40B4-BE49-F238E27FC236}">
              <a16:creationId xmlns:a16="http://schemas.microsoft.com/office/drawing/2014/main" id="{27170A4A-A797-E7B2-5A95-9E6E5CDE65F4}"/>
            </a:ext>
          </a:extLst>
        </xdr:cNvPr>
        <xdr:cNvPicPr>
          <a:picLocks noChangeAspect="1"/>
        </xdr:cNvPicPr>
      </xdr:nvPicPr>
      <xdr:blipFill>
        <a:blip xmlns:r="http://schemas.openxmlformats.org/officeDocument/2006/relationships" r:embed="rId16"/>
        <a:stretch>
          <a:fillRect/>
        </a:stretch>
      </xdr:blipFill>
      <xdr:spPr>
        <a:xfrm>
          <a:off x="29255357" y="8844643"/>
          <a:ext cx="4000000" cy="3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估价对象为北京市房地产,属开发建设的，该项目尚在开发建设中。根据《国有土地使用证》[]，估价对象（分摊）出让国有建设用地使用权面积为0平方米，规划建筑面积为75.68平方米。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2024年11月18日（评估专业人员实地查勘之日）</v>
      </c>
    </row>
    <row r="13" spans="1:2">
      <c r="A13" s="1119" t="s">
        <v>529</v>
      </c>
      <c r="B13" s="1120"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174</v>
      </c>
    </row>
    <row r="21" spans="1:2">
      <c r="A21" s="1119" t="s">
        <v>537</v>
      </c>
      <c r="B21" s="1120">
        <f ca="1">'预评函-2'!D7</f>
        <v>23018</v>
      </c>
    </row>
    <row r="22" spans="1:2">
      <c r="A22" s="1119" t="s">
        <v>538</v>
      </c>
      <c r="B22" s="1120" t="str">
        <f ca="1">'预评函-2'!D6</f>
        <v>壹佰柒拾肆万元整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174</v>
      </c>
    </row>
    <row r="31" spans="1:2">
      <c r="A31" s="1119" t="s">
        <v>576</v>
      </c>
      <c r="B31" s="1120">
        <f ca="1">'预评函-2'!D15</f>
        <v>23018</v>
      </c>
    </row>
    <row r="32" spans="1:2">
      <c r="A32" s="1119" t="s">
        <v>543</v>
      </c>
      <c r="B32" s="1120" t="str">
        <f ca="1">'预评函-2'!D14</f>
        <v>壹佰柒拾肆万元整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75.680000000000007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133</v>
      </c>
    </row>
    <row r="48" spans="1:2">
      <c r="A48" s="1119" t="s">
        <v>549</v>
      </c>
      <c r="B48" s="1120">
        <f ca="1">'预评函-3'!E4</f>
        <v>17586</v>
      </c>
    </row>
    <row r="49" spans="1:2">
      <c r="A49" s="1119" t="s">
        <v>550</v>
      </c>
      <c r="B49" s="1120" t="str">
        <f ca="1">'预评函-3'!D5</f>
        <v>壹佰叁拾叁万元整</v>
      </c>
    </row>
    <row r="50" spans="1:2">
      <c r="A50" s="1119" t="s">
        <v>574</v>
      </c>
      <c r="B50" s="1120" t="str">
        <f>'预评函-3'!F2</f>
        <v>在建建筑物价值</v>
      </c>
    </row>
    <row r="51" spans="1:2">
      <c r="A51" s="1119" t="s">
        <v>551</v>
      </c>
      <c r="B51" s="1120">
        <f ca="1">'预评函-3'!F4</f>
        <v>41</v>
      </c>
    </row>
    <row r="52" spans="1:2">
      <c r="A52" s="1119" t="s">
        <v>552</v>
      </c>
      <c r="B52" s="1120">
        <f ca="1">'预评函-3'!G4</f>
        <v>5432</v>
      </c>
    </row>
    <row r="53" spans="1:2">
      <c r="A53" s="1119" t="s">
        <v>580</v>
      </c>
      <c r="B53" s="1120" t="str">
        <f ca="1">'预评函-3'!F5</f>
        <v>肆拾壹万元整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8" t="s">
        <v>2573</v>
      </c>
      <c r="J2" s="3198"/>
      <c r="K2" s="3198"/>
      <c r="L2" s="3198"/>
      <c r="M2" s="3198"/>
      <c r="N2" s="3198"/>
      <c r="O2" s="3198"/>
      <c r="P2" s="3198"/>
      <c r="Q2" s="3198"/>
      <c r="R2" s="3198"/>
    </row>
    <row r="3" spans="1:18">
      <c r="A3" s="2762" t="s">
        <v>2494</v>
      </c>
      <c r="B3" s="2763">
        <f>项目基本情况!D3</f>
        <v>45614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2.08</v>
      </c>
      <c r="D5" s="2767">
        <f>IF(ISERROR(ROUND(POWER(1+E5,A5-C5)*(POWER(1+E5,C5)-1)/(POWER(1+E5,A5)-1),3)),0,ROUND(POWER(1+E5,A5-C5)*(POWER(1+E5,C5)-1)/(POWER(1+E5,A5)-1),4))</f>
        <v>9.9000000000000005E-2</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12.09</v>
      </c>
      <c r="D6" s="2767">
        <f>IF(ISERROR(ROUND(POWER(1+E6,A6-C6)*(POWER(1+E6,C6)-1)/(POWER(1+E6,A6)-1),3)),0,ROUND(POWER(1+E6,A6-C6)*(POWER(1+E6,C6)-1)/(POWER(1+E6,A6)-1),4))</f>
        <v>0.43940000000000001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v>
      </c>
      <c r="D7" s="2767">
        <f>IF(ISERROR(ROUND(POWER(1+E7,A7-C7)*(POWER(1+E7,C7)-1)/(POWER(1+E7,A7)-1),3)),0,ROUND(POWER(1+E7,A7-C7)*(POWER(1+E7,C7)-1)/(POWER(1+E7,A7)-1),4))</f>
        <v>0.76519999999999999</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H28" sqref="H28"/>
    </sheetView>
  </sheetViews>
  <sheetFormatPr defaultColWidth="10" defaultRowHeight="12.75"/>
  <cols>
    <col min="1" max="1" width="21.875" style="1618" bestFit="1"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45614</v>
      </c>
      <c r="C3" s="2185" t="s">
        <v>2171</v>
      </c>
      <c r="D3" s="2184">
        <v>45614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3443</v>
      </c>
      <c r="C4" s="2187">
        <f ca="1">SUMIF(注册房地产估价师,B4,估价师及机构信息!B3:B24)</f>
        <v>1120070131</v>
      </c>
      <c r="D4" s="2186" t="s">
        <v>3444</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2"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3"/>
      <c r="E9" s="2204" t="s">
        <v>43</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3155">
        <v>49997</v>
      </c>
      <c r="E13" s="803"/>
      <c r="F13" s="803"/>
      <c r="G13" s="803"/>
      <c r="H13" s="803"/>
      <c r="I13" s="803"/>
      <c r="J13" s="2802"/>
      <c r="K13" s="2398"/>
      <c r="L13" s="2398"/>
      <c r="M13" s="2244"/>
      <c r="N13" s="1669"/>
      <c r="O13" s="2244"/>
      <c r="P13" s="2244"/>
      <c r="Q13" s="2244"/>
      <c r="AD13" s="1618"/>
    </row>
    <row r="14" spans="1:30">
      <c r="A14" s="1018"/>
      <c r="B14" s="2217" t="s">
        <v>2191</v>
      </c>
      <c r="C14" s="2218"/>
      <c r="D14" s="2218">
        <v>40</v>
      </c>
      <c r="E14" s="2218"/>
      <c r="F14" s="2218"/>
      <c r="G14" s="2218"/>
      <c r="H14" s="2218"/>
      <c r="I14" s="2218"/>
      <c r="J14" s="2803"/>
      <c r="K14" s="2398"/>
      <c r="L14" s="2398"/>
      <c r="M14" s="2244"/>
      <c r="N14" s="1669"/>
      <c r="O14" s="2244"/>
      <c r="P14" s="2244"/>
      <c r="Q14" s="2244"/>
      <c r="AD14" s="1618"/>
    </row>
    <row r="15" spans="1:30">
      <c r="A15" s="312"/>
      <c r="B15" s="2219" t="s">
        <v>2192</v>
      </c>
      <c r="C15" s="2220" t="str">
        <f>IF(A13="出让",IF(C13="","",ROUNDDOWN(MIN((C13-$D$3)/365,C14),2)),C14)</f>
        <v/>
      </c>
      <c r="D15" s="2220">
        <f>IF(A13="出让",IF(D13="","",ROUNDDOWN(MIN((D13-$D$3)/365,D14),2)),D14)</f>
        <v>12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8"/>
    </row>
    <row r="16" spans="1:30">
      <c r="A16" s="2210" t="s">
        <v>2193</v>
      </c>
      <c r="B16" s="3209"/>
      <c r="C16" s="3210"/>
      <c r="D16" s="3211"/>
      <c r="E16" s="2221" t="s">
        <v>2194</v>
      </c>
      <c r="F16" s="3212"/>
      <c r="G16" s="3213"/>
      <c r="H16" s="3213"/>
      <c r="I16" s="3214"/>
      <c r="J16" s="2244"/>
      <c r="K16" s="2402"/>
      <c r="L16" s="1669"/>
      <c r="M16" s="1669"/>
      <c r="N16" s="2244"/>
      <c r="O16" s="1669"/>
      <c r="P16" s="2244"/>
      <c r="Q16" s="2244"/>
      <c r="R16" s="2244"/>
    </row>
    <row r="17" spans="1:28">
      <c r="A17" s="305" t="s">
        <v>2195</v>
      </c>
      <c r="B17" s="294" t="s">
        <v>2196</v>
      </c>
      <c r="C17" s="8">
        <f>'数据-汇总表'!E3</f>
        <v>75.680000000000007</v>
      </c>
      <c r="D17" s="1256" t="s">
        <v>2197</v>
      </c>
      <c r="E17" s="3215" t="s">
        <v>2198</v>
      </c>
      <c r="F17" s="3216"/>
      <c r="G17" s="3216"/>
      <c r="H17" s="3216"/>
      <c r="I17" s="3217"/>
      <c r="J17" s="2244"/>
      <c r="K17" s="2403"/>
      <c r="L17" s="1669"/>
      <c r="M17" s="1669"/>
      <c r="N17" s="2244"/>
      <c r="O17" s="1669"/>
      <c r="P17" s="2244"/>
      <c r="Q17" s="2244"/>
      <c r="R17" s="2244"/>
      <c r="S17" s="2244"/>
      <c r="T17" s="2244"/>
      <c r="U17" s="2244"/>
      <c r="V17" s="2244"/>
    </row>
    <row r="18" spans="1:28" ht="13.5" thickBot="1">
      <c r="A18" s="2222" t="s">
        <v>2199</v>
      </c>
      <c r="B18" s="1027" t="s">
        <v>2200</v>
      </c>
      <c r="C18" s="2223">
        <f>'数据-汇总表'!D3</f>
        <v>0</v>
      </c>
      <c r="D18" s="1029" t="s">
        <v>2201</v>
      </c>
      <c r="E18" s="3218" t="s">
        <v>2202</v>
      </c>
      <c r="F18" s="3219"/>
      <c r="G18" s="3219"/>
      <c r="H18" s="3219"/>
      <c r="I18" s="3220"/>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75.680000000000007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75.680000000000007</v>
      </c>
      <c r="H5" s="13">
        <f t="shared" ref="H5:AT5" si="0">SUM(H13:H656)</f>
        <v>75.680000000000007</v>
      </c>
      <c r="I5" s="13">
        <f t="shared" si="0"/>
        <v>75.680000000000007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75.680000000000007</v>
      </c>
      <c r="BA5" s="15">
        <f t="shared" si="1"/>
        <v>75.680000000000007</v>
      </c>
      <c r="BB5" s="15">
        <f t="shared" si="1"/>
        <v>75.680000000000007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4" t="s">
        <v>3385</v>
      </c>
      <c r="D13" s="1513" t="s">
        <v>3386</v>
      </c>
      <c r="E13" s="13">
        <f>IF($C$3="是",ROUND($A$3*G13/$B$3,2),ROUND($A$3*(G13-AT13)/$B$3,2))</f>
        <v>0</v>
      </c>
      <c r="F13" s="29"/>
      <c r="G13" s="30">
        <f>H13+AC13+AT13</f>
        <v>75.680000000000007</v>
      </c>
      <c r="H13" s="17">
        <f>SUMIF(I$12:AB$12,"总值",I13:AB13)</f>
        <v>75.680000000000007</v>
      </c>
      <c r="I13" s="1514">
        <v>75.680000000000007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75.680000000000007</v>
      </c>
      <c r="BA13" s="13">
        <f>SUM(BB13:BK13)</f>
        <v>75.680000000000007</v>
      </c>
      <c r="BB13" s="13">
        <f>IF($D13="是",I13-J13,0)</f>
        <v>75.680000000000007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0</v>
      </c>
      <c r="E3" s="41">
        <f>'数据-基础表'!AZ5</f>
        <v>75.680000000000007</v>
      </c>
      <c r="F3" s="2438"/>
      <c r="G3" s="42"/>
      <c r="H3" s="43" t="s">
        <v>1106</v>
      </c>
      <c r="I3" s="802" t="e">
        <f>ROUND('数据-基础表'!B3/'数据-基础表'!A3,2)</f>
        <v>#DIV/0!</v>
      </c>
      <c r="J3" s="2438"/>
      <c r="K3" s="2438"/>
      <c r="L3" s="2438"/>
      <c r="M3" s="2438"/>
      <c r="N3" s="2439"/>
      <c r="O3" s="2438"/>
      <c r="P3" s="2438"/>
    </row>
    <row r="4" spans="1:16" ht="15">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2" t="s">
        <v>1110</v>
      </c>
      <c r="C5" s="32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75.680000000000007</v>
      </c>
      <c r="F6" s="2438"/>
      <c r="G6" s="1529" t="s">
        <v>1112</v>
      </c>
      <c r="H6" s="45" t="s">
        <v>1113</v>
      </c>
      <c r="I6" s="2434" t="e">
        <f>ROUND(F31/D31,2)</f>
        <v>#DIV/0!</v>
      </c>
      <c r="J6" s="2438"/>
      <c r="K6" s="2438"/>
      <c r="L6" s="2438"/>
      <c r="M6" s="2438"/>
      <c r="N6" s="2438"/>
      <c r="O6" s="2438"/>
      <c r="P6" s="2438"/>
    </row>
    <row r="7" spans="1:16" ht="15.75" thickBot="1">
      <c r="A7" s="3234"/>
      <c r="B7" s="3235"/>
      <c r="C7" s="323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75.680000000000007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75.680000000000007</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商业</v>
      </c>
      <c r="D19" s="43">
        <f>ROUND($D$3*E19/$E$3,2)</f>
        <v>0</v>
      </c>
      <c r="E19" s="51">
        <f t="shared" ref="E19:E26" si="1">SUM(F19:G19)</f>
        <v>75.680000000000007</v>
      </c>
      <c r="F19" s="2557">
        <f>'数据-基础表'!I13</f>
        <v>75.680000000000007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75.680000000000007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75.680000000000007</v>
      </c>
      <c r="F27" s="1072">
        <f>IF(SUM(F19:F26)=E8,SUM(F19:F26),"地上面积有误")</f>
        <v>75.680000000000007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75.680000000000007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75.680000000000007</v>
      </c>
      <c r="F31" s="644">
        <f>F27+F30</f>
        <v>75.680000000000007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6" activePane="bottomRight" state="frozen"/>
      <selection activeCell="C50" sqref="C50"/>
      <selection pane="topRight" activeCell="C50" sqref="C50"/>
      <selection pane="bottomLeft" activeCell="C50" sqref="C50"/>
      <selection pane="bottomRight" activeCell="H35" sqref="H3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49997</v>
      </c>
      <c r="F6" s="61">
        <f>SUMIF(项目基本情况!C$12:I$12,C6,项目基本情况!C$15:I$15)</f>
        <v>12</v>
      </c>
      <c r="G6" s="62">
        <f>IF(ISERROR(ROUND(POWER(1+H6,D6-F6)*(POWER(1+H6,F6)-1)/(POWER(1+H6,D6)-1),3)),0,ROUND(POWER(1+H6,D6-F6)*(POWER(1+H6,F6)-1)/(POWER(1+H6,D6)-1),3))</f>
        <v>0.51700000000000002</v>
      </c>
      <c r="H6" s="691">
        <v>0.05</v>
      </c>
      <c r="I6" s="691">
        <v>5.5E-2</v>
      </c>
      <c r="J6" s="63">
        <v>7.4999999999999997E-2</v>
      </c>
      <c r="K6" s="970">
        <f>SUMIF('数据-汇总表'!C$19:C$33,A6,'数据-汇总表'!E$19:E$33)</f>
        <v>75.680000000000007</v>
      </c>
      <c r="L6" s="692">
        <v>3000</v>
      </c>
      <c r="M6" s="64">
        <f t="shared" ref="M6:M14" si="0">ROUND(K6*L6/10000,0)</f>
        <v>23</v>
      </c>
      <c r="N6" s="690">
        <f>ROUND((1-(2024-1997)/60+80%)/2,2)</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3.2</v>
      </c>
      <c r="V6" s="67">
        <v>0.02</v>
      </c>
      <c r="W6" s="67">
        <v>0.1</v>
      </c>
      <c r="X6" s="979"/>
      <c r="Y6" s="68">
        <f>N6</f>
        <v>0.68</v>
      </c>
      <c r="Z6" s="69"/>
      <c r="AA6" s="63"/>
      <c r="AB6" s="63"/>
      <c r="AC6" s="979"/>
      <c r="AD6" s="70"/>
      <c r="AE6" s="980">
        <f ca="1">IF(AN6="",0,SUMIF(INDIRECT("'"&amp;AN6&amp;"'"&amp;"!E:E"),$AE$5,INDIRECT("'"&amp;AN6&amp;"'"&amp;"!F:F")))</f>
        <v>12</v>
      </c>
      <c r="AF6" s="74"/>
      <c r="AG6" s="130">
        <f>IF(AF6="",0,AE6-AF6)</f>
        <v>0</v>
      </c>
      <c r="AH6" s="71"/>
      <c r="AI6" s="73">
        <v>365</v>
      </c>
      <c r="AJ6" s="74"/>
      <c r="AK6" s="75">
        <v>2E-3</v>
      </c>
      <c r="AL6" s="76">
        <v>1E-3</v>
      </c>
      <c r="AM6" s="77">
        <v>0.01</v>
      </c>
      <c r="AN6" s="1589" t="s">
        <v>3389</v>
      </c>
      <c r="AO6" s="50">
        <f ca="1">SUMIF(INDIRECT("'"&amp;AN6&amp;"'"&amp;"!A:A"),"总价",INDIRECT("'"&amp;AN6&amp;"'"&amp;"!B:B"))</f>
        <v>74.448300000000003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0.51700000000000002</v>
      </c>
      <c r="H16" s="84">
        <f>ROUND(SUMPRODUCT(H6:H13,K6:K13)/SUMPRODUCT((H6:H13&gt;0)*(K6:K13)),3)</f>
        <v>0.05</v>
      </c>
      <c r="I16" s="85"/>
      <c r="J16" s="85"/>
      <c r="K16" s="86">
        <f>SUM(K6:K15)</f>
        <v>75.680000000000007</v>
      </c>
      <c r="L16" s="87">
        <f>ROUND(M16*10000/SUM(K6:K14),0)</f>
        <v>3039</v>
      </c>
      <c r="M16" s="87">
        <f>SUM(M6:M14)</f>
        <v>23</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2292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120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160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v>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2277</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G5" sqref="G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75.680000000000007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45614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174.2002</v>
      </c>
      <c r="C5" s="2299">
        <f ca="1">IF(B5=D14,结果表!H102,ROUND(B5*10000/$B$1,0))</f>
        <v>23018</v>
      </c>
      <c r="D5" s="2299" t="e">
        <f ca="1">ROUND(B5*10000/$B$2,0)</f>
        <v>#DIV/0!</v>
      </c>
      <c r="E5" s="2461"/>
      <c r="F5" s="2462"/>
      <c r="G5" s="2462"/>
      <c r="H5" s="2462"/>
      <c r="I5" s="2462"/>
      <c r="J5" s="2462"/>
      <c r="K5" s="2462"/>
    </row>
    <row r="6" spans="1:11" ht="16.5">
      <c r="A6" s="2299" t="s">
        <v>656</v>
      </c>
      <c r="B6" s="2299">
        <f ca="1">SUM(G14:G23)</f>
        <v>174.2002</v>
      </c>
      <c r="C6" s="2299">
        <f ca="1">IF(B6=G14,结果表!H108,ROUND(B6*10000/$B$1,0))</f>
        <v>23018</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154.9511</v>
      </c>
      <c r="C8" s="2299" t="str">
        <f ca="1">IF(B8=I14,结果表!H112,ROUND(B8*10000/$B$1,0))</f>
        <v>——</v>
      </c>
      <c r="D8" s="2299" t="e">
        <f ca="1">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3154">
        <f>结果表!B118</f>
        <v>75.680000000000007</v>
      </c>
      <c r="C14" s="2305"/>
      <c r="D14" s="3154">
        <f ca="1">ROUND(E14*B14/10000,4)</f>
        <v>174.2002</v>
      </c>
      <c r="E14" s="2305">
        <f ca="1">结果表!G20</f>
        <v>23018</v>
      </c>
      <c r="F14" s="2305" t="e">
        <f ca="1">ROUND(D14*10000/C14,0)</f>
        <v>#DIV/0!</v>
      </c>
      <c r="G14" s="3154">
        <f ca="1">D14</f>
        <v>174.2002</v>
      </c>
      <c r="H14" s="2305"/>
      <c r="I14" s="3154">
        <f ca="1">ROUND(结果表!Q59/10000,4)</f>
        <v>154.9511</v>
      </c>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L55" zoomScaleNormal="100" zoomScaleSheetLayoutView="100" zoomScalePageLayoutView="80" workbookViewId="0">
      <selection activeCell="S55" sqref="S5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3398</v>
      </c>
      <c r="H1" s="1621" t="str">
        <f>IF(G1="现房","——","估价对象范围")</f>
        <v>——</v>
      </c>
      <c r="I1" s="1622" t="s">
        <v>3399</v>
      </c>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3394</v>
      </c>
      <c r="D4" s="1626" t="s">
        <v>3389</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3" t="s">
        <v>1269</v>
      </c>
      <c r="F5" s="1627"/>
      <c r="G5" s="1627"/>
      <c r="H5" s="1627"/>
      <c r="I5" s="1281"/>
    </row>
    <row r="6" spans="1:12" ht="12.75">
      <c r="A6" s="3260"/>
      <c r="B6" s="3315"/>
      <c r="C6" s="3320"/>
      <c r="D6" s="3306"/>
      <c r="E6" s="123" t="s">
        <v>1270</v>
      </c>
      <c r="F6" s="1627"/>
      <c r="G6" s="1627"/>
      <c r="H6" s="1627"/>
      <c r="I6" s="1281"/>
    </row>
    <row r="7" spans="1:12" ht="12.75">
      <c r="A7" s="3260"/>
      <c r="B7" s="3315"/>
      <c r="C7" s="3319"/>
      <c r="D7" s="3306"/>
      <c r="E7" s="123" t="s">
        <v>1271</v>
      </c>
      <c r="F7" s="1627"/>
      <c r="G7" s="1627"/>
      <c r="H7" s="1627"/>
      <c r="I7" s="1281"/>
    </row>
    <row r="8" spans="1:12" ht="12.75">
      <c r="A8" s="3260" t="s">
        <v>1272</v>
      </c>
      <c r="B8" s="3315">
        <v>15</v>
      </c>
      <c r="C8" s="3318"/>
      <c r="D8" s="3306"/>
      <c r="E8" s="123" t="s">
        <v>1273</v>
      </c>
      <c r="F8" s="1627"/>
      <c r="G8" s="1627"/>
      <c r="H8" s="1627"/>
      <c r="I8" s="1281"/>
    </row>
    <row r="9" spans="1:12" ht="12.75">
      <c r="A9" s="3260"/>
      <c r="B9" s="3315"/>
      <c r="C9" s="3319"/>
      <c r="D9" s="3306"/>
      <c r="E9" s="123" t="s">
        <v>1274</v>
      </c>
      <c r="F9" s="1627"/>
      <c r="G9" s="1627"/>
      <c r="H9" s="1627"/>
      <c r="I9" s="1281"/>
    </row>
    <row r="10" spans="1:12" ht="12.75">
      <c r="A10" s="3260" t="s">
        <v>1275</v>
      </c>
      <c r="B10" s="3315">
        <v>15</v>
      </c>
      <c r="C10" s="3318"/>
      <c r="D10" s="3306"/>
      <c r="E10" s="123" t="s">
        <v>1276</v>
      </c>
      <c r="F10" s="1627"/>
      <c r="G10" s="1627"/>
      <c r="H10" s="1627"/>
      <c r="I10" s="1281"/>
    </row>
    <row r="11" spans="1:12" ht="12.75">
      <c r="A11" s="3260"/>
      <c r="B11" s="3315"/>
      <c r="C11" s="3319"/>
      <c r="D11" s="3306"/>
      <c r="E11" s="123" t="s">
        <v>1277</v>
      </c>
      <c r="F11" s="1627"/>
      <c r="G11" s="1627"/>
      <c r="H11" s="1627"/>
      <c r="I11" s="1281"/>
    </row>
    <row r="12" spans="1:12" ht="12.75">
      <c r="A12" s="3260" t="s">
        <v>1278</v>
      </c>
      <c r="B12" s="3315">
        <v>15</v>
      </c>
      <c r="C12" s="3318"/>
      <c r="D12" s="3306"/>
      <c r="E12" s="123" t="s">
        <v>1279</v>
      </c>
      <c r="F12" s="1627"/>
      <c r="G12" s="1627"/>
      <c r="H12" s="1627"/>
      <c r="I12" s="1281"/>
    </row>
    <row r="13" spans="1:12" ht="12.75">
      <c r="A13" s="3260"/>
      <c r="B13" s="3315"/>
      <c r="C13" s="3319"/>
      <c r="D13" s="3306"/>
      <c r="E13" s="123" t="s">
        <v>1280</v>
      </c>
      <c r="F13" s="1627"/>
      <c r="G13" s="1627"/>
      <c r="H13" s="1627"/>
      <c r="I13" s="1281"/>
    </row>
    <row r="14" spans="1:12" ht="12.75">
      <c r="A14" s="3260" t="s">
        <v>1281</v>
      </c>
      <c r="B14" s="3315">
        <v>30</v>
      </c>
      <c r="C14" s="3318">
        <v>6</v>
      </c>
      <c r="D14" s="3306">
        <v>4</v>
      </c>
      <c r="E14" s="123" t="s">
        <v>1282</v>
      </c>
      <c r="F14" s="1627"/>
      <c r="G14" s="1627"/>
      <c r="H14" s="1627"/>
      <c r="I14" s="1281"/>
    </row>
    <row r="15" spans="1:12" ht="12.75">
      <c r="A15" s="3260"/>
      <c r="B15" s="3315"/>
      <c r="C15" s="3320"/>
      <c r="D15" s="3306"/>
      <c r="E15" s="123" t="s">
        <v>1283</v>
      </c>
      <c r="F15" s="1627"/>
      <c r="G15" s="1627"/>
      <c r="H15" s="1627"/>
      <c r="I15" s="1281"/>
    </row>
    <row r="16" spans="1:12" ht="12.75">
      <c r="A16" s="3260"/>
      <c r="B16" s="3315"/>
      <c r="C16" s="3319"/>
      <c r="D16" s="330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7" t="s">
        <v>2131</v>
      </c>
      <c r="F18" s="3338"/>
      <c r="G18" s="3338"/>
      <c r="H18" s="3338"/>
      <c r="I18" s="3338"/>
      <c r="K18" s="294" t="s">
        <v>1289</v>
      </c>
      <c r="L18" s="294">
        <f>IF(C1="",'数据-汇总表'!E3,SUMIF(项目类型,C1,'数据-汇总表'!E17:E26)+SUMIF(项目类型,C1,'数据-汇总表'!I17:I26))</f>
        <v>75.680000000000007</v>
      </c>
      <c r="M18" s="294">
        <f>IF(C1="",'数据-汇总表'!E3,SUMIF(项目类型,C1,'数据-汇总表'!E17:E26))</f>
        <v>75.680000000000007</v>
      </c>
    </row>
    <row r="19" spans="1:36" ht="15">
      <c r="A19" s="1630" t="s">
        <v>1290</v>
      </c>
      <c r="B19" s="1631" t="s">
        <v>1291</v>
      </c>
      <c r="C19" s="126">
        <f ca="1">SUMIF(INDIRECT("'"&amp;C4&amp;"'"&amp;"!A:A"),结果表!B19,INDIRECT("'"&amp;C4&amp;"'"&amp;"!B:B"))</f>
        <v>240.7002</v>
      </c>
      <c r="D19" s="127">
        <f ca="1">SUMIF(INDIRECT("'"&amp;D4&amp;"'"&amp;"!A:A"),结果表!B19,INDIRECT("'"&amp;D4&amp;"'"&amp;"!B:B"))</f>
        <v>74.448300000000003</v>
      </c>
      <c r="E19" s="1630" t="s">
        <v>1292</v>
      </c>
      <c r="F19" s="1631" t="s">
        <v>1291</v>
      </c>
      <c r="G19" s="128">
        <f ca="1">ROUND(C19*$C$18+D19*$D$18,0)</f>
        <v>174</v>
      </c>
      <c r="H19" s="1632" t="s">
        <v>1293</v>
      </c>
      <c r="I19" s="121">
        <f ca="1">ROUND(G20*L18,0)</f>
        <v>1742002</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31805</v>
      </c>
      <c r="D20" s="130">
        <f ca="1">SUMIF(INDIRECT("'"&amp;D4&amp;"'"&amp;"!A:A"),结果表!B20,INDIRECT("'"&amp;D4&amp;"'"&amp;"!B:B"))</f>
        <v>9837</v>
      </c>
      <c r="E20" s="1633"/>
      <c r="F20" s="43" t="s">
        <v>1295</v>
      </c>
      <c r="G20" s="131">
        <f ca="1">ROUND(C20*$C$18+D20*$D$18,0)</f>
        <v>23018</v>
      </c>
      <c r="H20" s="760" t="s">
        <v>1296</v>
      </c>
      <c r="I20" s="3150" t="str">
        <f ca="1">NUMBERSTRING(INT(I19),2)&amp;"元整"</f>
        <v>壹佰柒拾肆万贰仟零贰元整</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2.2331188220550366</v>
      </c>
      <c r="E22" s="121"/>
      <c r="F22" s="121"/>
      <c r="G22" s="121"/>
      <c r="H22" s="121"/>
      <c r="I22" s="121"/>
    </row>
    <row r="23" spans="1:36" ht="13.5" thickBot="1">
      <c r="A23" s="646"/>
      <c r="B23" s="646"/>
      <c r="C23" s="646"/>
      <c r="D23" s="646"/>
      <c r="E23" s="121"/>
      <c r="F23" s="121"/>
      <c r="G23" s="121"/>
      <c r="H23" s="121"/>
      <c r="I23" s="121"/>
    </row>
    <row r="24" spans="1:36" ht="14.25">
      <c r="A24" s="3330" t="s">
        <v>1299</v>
      </c>
      <c r="B24" s="1631" t="s">
        <v>1291</v>
      </c>
      <c r="C24" s="128">
        <f>IF(B30=0,0,D30)</f>
        <v>0</v>
      </c>
      <c r="D24" s="1637"/>
      <c r="E24" s="121"/>
      <c r="F24" s="121"/>
      <c r="G24" s="121"/>
      <c r="H24" s="121"/>
      <c r="I24" s="121"/>
    </row>
    <row r="25" spans="1:36" ht="14.25">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23018</v>
      </c>
      <c r="D32" s="3153" t="s">
        <v>3445</v>
      </c>
      <c r="E32" s="121"/>
      <c r="F32" s="121"/>
      <c r="G32" s="121"/>
      <c r="H32" s="121"/>
      <c r="I32" s="121"/>
    </row>
    <row r="33" spans="1:17" ht="15">
      <c r="A33" s="740" t="s">
        <v>1306</v>
      </c>
      <c r="B33" s="123"/>
      <c r="C33" s="1641" t="s">
        <v>3439</v>
      </c>
      <c r="D33" s="1642" t="s">
        <v>3389</v>
      </c>
      <c r="E33" s="1643" t="s">
        <v>1307</v>
      </c>
      <c r="F33" s="1644" t="str">
        <f>IF(D32="楼面单价","取值（单价）","取值（总价）")</f>
        <v>取值（单价）</v>
      </c>
      <c r="G33" s="121"/>
      <c r="H33" s="121"/>
      <c r="I33" s="121"/>
    </row>
    <row r="34" spans="1:17" ht="15">
      <c r="A34" s="1645"/>
      <c r="B34" s="1646" t="s">
        <v>1308</v>
      </c>
      <c r="C34" s="140">
        <f ca="1">IF(C33="自定义",F34,C32-C35)</f>
        <v>17586</v>
      </c>
      <c r="D34" s="808">
        <f ca="1">IF(C33="自定义",ROUND(C34/C32,3),IF(C33="收益比率",SUMIF(INDIRECT("'"&amp;D33&amp;"'"&amp;"!b:b"),"土地收益比率",INDIRECT("'"&amp;D33&amp;"'"&amp;"!c:c")),SUMIF(INDIRECT("'"&amp;D33&amp;"'"&amp;"!b:b"),"土地成本比率",INDIRECT("'"&amp;D33&amp;"'"&amp;"!c:c"))))</f>
        <v>0.76400000000000001</v>
      </c>
      <c r="E34" s="1647" t="s">
        <v>1309</v>
      </c>
      <c r="F34" s="1243"/>
      <c r="G34" s="121"/>
      <c r="H34" s="121"/>
      <c r="I34" s="121"/>
    </row>
    <row r="35" spans="1:17" ht="15.75" thickBot="1">
      <c r="A35" s="1648"/>
      <c r="B35" s="1649" t="s">
        <v>1310</v>
      </c>
      <c r="C35" s="1090">
        <f ca="1">IF(C33="自定义",F35,ROUND(C32*D35,0))</f>
        <v>5432</v>
      </c>
      <c r="D35" s="1091">
        <f ca="1">IF(C33="自定义",ROUND(C35/C32,3),IF(C33="收益比率",SUMIF(INDIRECT("'"&amp;D33&amp;"'"&amp;"!b:b"),"建筑物收益比率",INDIRECT("'"&amp;D33&amp;"'"&amp;"!c:c")),SUMIF(INDIRECT("'"&amp;D33&amp;"'"&amp;"!b:b"),"建筑物成本比率",INDIRECT("'"&amp;D33&amp;"'"&amp;"!c:c"))))</f>
        <v>0.23599999999999999</v>
      </c>
      <c r="E35" s="1650" t="s">
        <v>1311</v>
      </c>
      <c r="F35" s="146"/>
      <c r="G35" s="121"/>
      <c r="H35" s="121"/>
      <c r="I35" s="121"/>
    </row>
    <row r="36" spans="1:17" ht="15.75" thickBot="1">
      <c r="A36" s="3307" t="s">
        <v>1312</v>
      </c>
      <c r="B36" s="1651" t="s">
        <v>1313</v>
      </c>
      <c r="C36" s="137"/>
      <c r="D36" s="1652"/>
      <c r="E36" s="1567"/>
      <c r="F36" s="1653"/>
      <c r="G36" s="121"/>
      <c r="H36" s="121"/>
      <c r="I36" s="121"/>
    </row>
    <row r="37" spans="1:17" ht="15.75" thickBot="1">
      <c r="A37" s="3308"/>
      <c r="B37" s="1555" t="s">
        <v>1314</v>
      </c>
      <c r="C37" s="139"/>
      <c r="D37" s="1071"/>
      <c r="E37" s="1071"/>
      <c r="F37" s="1653"/>
      <c r="G37" s="121"/>
      <c r="H37" s="121"/>
      <c r="I37" s="121"/>
    </row>
    <row r="38" spans="1:17" ht="15.75" thickBot="1">
      <c r="A38" s="3309"/>
      <c r="B38" s="1654" t="s">
        <v>1315</v>
      </c>
      <c r="C38" s="641"/>
      <c r="D38" s="1655" t="s">
        <v>1316</v>
      </c>
      <c r="E38" s="1071"/>
      <c r="F38" s="1653"/>
      <c r="G38" s="121"/>
      <c r="H38" s="121"/>
      <c r="I38" s="121"/>
    </row>
    <row r="39" spans="1:17" ht="15">
      <c r="A39" s="1633"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327" t="s">
        <v>1326</v>
      </c>
      <c r="B45" s="3328"/>
      <c r="C45" s="3329"/>
      <c r="D45" s="147">
        <f ca="1">ROUND(H101*F45,0)</f>
        <v>174</v>
      </c>
      <c r="E45" s="148" t="s">
        <v>1327</v>
      </c>
      <c r="F45" s="149">
        <v>1</v>
      </c>
      <c r="G45" s="150" t="s">
        <v>1328</v>
      </c>
      <c r="H45" s="121"/>
      <c r="I45" s="121"/>
      <c r="J45" s="3247" t="s">
        <v>1329</v>
      </c>
      <c r="K45" s="3247"/>
      <c r="L45" s="3247"/>
      <c r="M45" s="3247"/>
      <c r="N45" s="3247"/>
      <c r="O45" s="3247"/>
    </row>
    <row r="46" spans="1:17" ht="14.25" customHeight="1">
      <c r="A46" s="3324" t="s">
        <v>1330</v>
      </c>
      <c r="B46" s="3325"/>
      <c r="C46" s="3325"/>
      <c r="D46" s="3325"/>
      <c r="E46" s="3325"/>
      <c r="F46" s="3325"/>
      <c r="G46" s="3326"/>
      <c r="H46" s="1667"/>
      <c r="I46" s="151"/>
      <c r="J46" s="2309">
        <v>1</v>
      </c>
      <c r="K46" s="3248" t="s">
        <v>1331</v>
      </c>
      <c r="L46" s="3248"/>
      <c r="M46" s="3249"/>
      <c r="N46" s="3249"/>
      <c r="O46" s="3249"/>
    </row>
    <row r="47" spans="1:17"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45614</v>
      </c>
      <c r="N47" s="3250"/>
      <c r="O47" s="3250"/>
    </row>
    <row r="48" spans="1:17" ht="25.5">
      <c r="A48" s="3310" t="s">
        <v>1338</v>
      </c>
      <c r="B48" s="3311"/>
      <c r="C48" s="3311"/>
      <c r="D48" s="12">
        <f ca="1">IF(H48="情况1",0,IF(H48="情况2",D52,IF(H48="情况3",D53,IF(H48="情况4",D54))))</f>
        <v>9</v>
      </c>
      <c r="E48" s="1256" t="str">
        <f>IF(H48="情况4","(销售额-原购置价)×税（费）率","销售额×税（费）率")</f>
        <v>(销售额-原购置价)×税（费）率</v>
      </c>
      <c r="F48" s="2334">
        <f>IF(H48="情况1","免征",'数据-取费表'!B41)</f>
        <v>5.5000000000000007E-2</v>
      </c>
      <c r="G48" s="2335" t="s">
        <v>1339</v>
      </c>
      <c r="H48" s="2336" t="s">
        <v>3440</v>
      </c>
      <c r="I48" s="1667"/>
      <c r="J48" s="2309">
        <v>3</v>
      </c>
      <c r="K48" s="3248" t="s">
        <v>1340</v>
      </c>
      <c r="L48" s="3248"/>
      <c r="M48" s="3251">
        <f ca="1">H101</f>
        <v>174</v>
      </c>
      <c r="N48" s="3251"/>
      <c r="O48" s="3251"/>
      <c r="Q48" s="3152">
        <f ca="1">I19</f>
        <v>1742002</v>
      </c>
    </row>
    <row r="49" spans="1:35" ht="25.5" customHeight="1">
      <c r="A49" s="2151" t="s">
        <v>1341</v>
      </c>
      <c r="B49" s="3296" t="s">
        <v>1342</v>
      </c>
      <c r="C49" s="3296"/>
      <c r="D49" s="1478">
        <v>0</v>
      </c>
      <c r="E49" s="316" t="s">
        <v>1343</v>
      </c>
      <c r="F49" s="2232" t="s">
        <v>28</v>
      </c>
      <c r="G49" s="3279"/>
      <c r="H49" s="2133" t="s">
        <v>2134</v>
      </c>
      <c r="I49" s="2134"/>
      <c r="J49" s="2309">
        <v>4</v>
      </c>
      <c r="K49" s="3248" t="str">
        <f>IF(项目基本情况!E8="房地产抵押价值","房地产抵押价值","抵押担保权已注销时的房地产抵押价值")</f>
        <v>房地产抵押价值</v>
      </c>
      <c r="L49" s="3248"/>
      <c r="M49" s="3251">
        <f ca="1">IF(项目基本情况!E8="房地产抵押价值",H107,H109)</f>
        <v>174</v>
      </c>
      <c r="N49" s="3251"/>
      <c r="O49" s="3251"/>
      <c r="Q49" s="3152" t="str">
        <f ca="1">NUMBERSTRING(INT(Q48),2)&amp;"元整"</f>
        <v>壹佰柒拾肆万贰仟零贰元整</v>
      </c>
    </row>
    <row r="50" spans="1:35" ht="25.5" customHeight="1">
      <c r="A50" s="2337"/>
      <c r="B50" s="3296" t="s">
        <v>1344</v>
      </c>
      <c r="C50" s="3296"/>
      <c r="D50" s="2188"/>
      <c r="E50" s="323"/>
      <c r="F50" s="2232"/>
      <c r="G50" s="3280"/>
      <c r="H50" s="2135" t="s">
        <v>2135</v>
      </c>
      <c r="I50" s="2134"/>
      <c r="J50" s="3247" t="s">
        <v>1345</v>
      </c>
      <c r="K50" s="3247"/>
      <c r="L50" s="3247"/>
      <c r="M50" s="3247"/>
      <c r="N50" s="3247"/>
      <c r="O50" s="3247"/>
      <c r="Q50" s="3152"/>
    </row>
    <row r="51" spans="1:35" ht="20.45" customHeight="1">
      <c r="A51" s="2338"/>
      <c r="B51" s="3296" t="s">
        <v>1346</v>
      </c>
      <c r="C51" s="3296"/>
      <c r="D51" s="1024"/>
      <c r="E51" s="319"/>
      <c r="F51" s="2232"/>
      <c r="G51" s="3281"/>
      <c r="H51" s="2135" t="s">
        <v>2136</v>
      </c>
      <c r="I51" s="2134"/>
      <c r="J51" s="2310" t="s">
        <v>1347</v>
      </c>
      <c r="K51" s="3248" t="s">
        <v>1348</v>
      </c>
      <c r="L51" s="3248"/>
      <c r="M51" s="2310" t="s">
        <v>1349</v>
      </c>
      <c r="N51" s="2310" t="s">
        <v>1350</v>
      </c>
      <c r="O51" s="2310" t="s">
        <v>1351</v>
      </c>
      <c r="Q51" s="3152"/>
    </row>
    <row r="52" spans="1:35" ht="24" customHeight="1">
      <c r="A52" s="2152" t="s">
        <v>1352</v>
      </c>
      <c r="B52" s="3296" t="s">
        <v>1353</v>
      </c>
      <c r="C52" s="3296"/>
      <c r="D52" s="1024">
        <f ca="1">ROUND(D45*'数据-取费表'!B41/(1+'数据-取费表'!C42),0)</f>
        <v>9</v>
      </c>
      <c r="E52" s="1256" t="s">
        <v>1354</v>
      </c>
      <c r="F52" s="2339">
        <f>'数据-取费表'!B41</f>
        <v>5.5000000000000007E-2</v>
      </c>
      <c r="G52" s="2340"/>
      <c r="H52" s="2330"/>
      <c r="I52" s="1668"/>
      <c r="J52" s="2309">
        <v>1</v>
      </c>
      <c r="K52" s="3273" t="s">
        <v>1355</v>
      </c>
      <c r="L52" s="3273"/>
      <c r="M52" s="3151">
        <f ca="1">D48</f>
        <v>9</v>
      </c>
      <c r="N52" s="2309" t="str">
        <f>E48</f>
        <v>(销售额-原购置价)×税（费）率</v>
      </c>
      <c r="O52" s="2312">
        <f>F48</f>
        <v>5.5000000000000007E-2</v>
      </c>
      <c r="Q52" s="3152">
        <f ca="1">ROUND(Q48/1.05*5.5%,0)</f>
        <v>91248</v>
      </c>
    </row>
    <row r="53" spans="1:35" ht="12" customHeight="1">
      <c r="A53" s="2152" t="s">
        <v>1356</v>
      </c>
      <c r="B53" s="3297" t="s">
        <v>2282</v>
      </c>
      <c r="C53" s="3298"/>
      <c r="D53" s="1024">
        <f ca="1">ROUND(D45*'数据-取费表'!B41/(1+'数据-取费表'!C42),0)</f>
        <v>9</v>
      </c>
      <c r="E53" s="1256" t="s">
        <v>1354</v>
      </c>
      <c r="F53" s="2339">
        <f>'数据-取费表'!B41</f>
        <v>5.5000000000000007E-2</v>
      </c>
      <c r="G53" s="2340"/>
      <c r="H53" s="2330"/>
      <c r="I53" s="1668"/>
      <c r="J53" s="2309">
        <v>2</v>
      </c>
      <c r="K53" s="3273" t="s">
        <v>1357</v>
      </c>
      <c r="L53" s="3273"/>
      <c r="M53" s="2311">
        <f t="shared" ref="M53:O54" ca="1" si="0">D55</f>
        <v>0</v>
      </c>
      <c r="N53" s="2309" t="str">
        <f t="shared" si="0"/>
        <v>销售额×税（费）率</v>
      </c>
      <c r="O53" s="2312">
        <f t="shared" si="0"/>
        <v>5.0000000000000001E-4</v>
      </c>
      <c r="Q53" s="3152">
        <f ca="1">ROUND(Q48*O53,0)</f>
        <v>871</v>
      </c>
    </row>
    <row r="54" spans="1:35" ht="12" customHeight="1">
      <c r="A54" s="2152" t="s">
        <v>1358</v>
      </c>
      <c r="B54" s="3297" t="s">
        <v>2283</v>
      </c>
      <c r="C54" s="3298"/>
      <c r="D54" s="1024">
        <f ca="1">C68</f>
        <v>9</v>
      </c>
      <c r="E54" s="319" t="s">
        <v>1359</v>
      </c>
      <c r="F54" s="2339">
        <f>'数据-取费表'!B41</f>
        <v>5.5000000000000007E-2</v>
      </c>
      <c r="G54" s="2340"/>
      <c r="H54" s="2341"/>
      <c r="I54" s="1668"/>
      <c r="J54" s="2309">
        <v>3</v>
      </c>
      <c r="K54" s="3273" t="s">
        <v>1360</v>
      </c>
      <c r="L54" s="3273"/>
      <c r="M54" s="2311">
        <f t="shared" ca="1" si="0"/>
        <v>99</v>
      </c>
      <c r="N54" s="2309" t="str">
        <f t="shared" si="0"/>
        <v>增值额×税（费）率</v>
      </c>
      <c r="O54" s="2313" t="str">
        <f t="shared" si="0"/>
        <v>——</v>
      </c>
      <c r="Q54" s="3152">
        <f ca="1">ROUND(Q48/1.05*0.05,0)</f>
        <v>82952</v>
      </c>
    </row>
    <row r="55" spans="1:35" ht="24" customHeight="1">
      <c r="A55" s="3333" t="s">
        <v>1361</v>
      </c>
      <c r="B55" s="3311"/>
      <c r="C55" s="3311"/>
      <c r="D55" s="12">
        <f ca="1">IF(H55="个人住宅",0,ROUND(D45*I55,0))</f>
        <v>0</v>
      </c>
      <c r="E55" s="1256" t="s">
        <v>1362</v>
      </c>
      <c r="F55" s="2339">
        <f>IF(H55="正常",I55,"免征")</f>
        <v>5.0000000000000001E-4</v>
      </c>
      <c r="G55" s="2340"/>
      <c r="H55" s="2336" t="s">
        <v>3416</v>
      </c>
      <c r="I55" s="157">
        <f>'数据-取费表'!B49</f>
        <v>5.0000000000000001E-4</v>
      </c>
      <c r="J55" s="2309">
        <f>IF(H59="非个人房产","",4)</f>
        <v>4</v>
      </c>
      <c r="K55" s="3273" t="str">
        <f>IF(H59="非个人房产","——","个人所得税")</f>
        <v>个人所得税</v>
      </c>
      <c r="L55" s="3273"/>
      <c r="M55" s="2314">
        <f ca="1">D59</f>
        <v>2</v>
      </c>
      <c r="N55" s="1882" t="str">
        <f>E59</f>
        <v>销售额×税（费）率</v>
      </c>
      <c r="O55" s="2315">
        <f>F59</f>
        <v>0.01</v>
      </c>
      <c r="Q55" s="3152">
        <f ca="1">ROUND(Q48*O55,0)</f>
        <v>17420</v>
      </c>
    </row>
    <row r="56" spans="1:35" ht="24.75">
      <c r="A56" s="3333" t="s">
        <v>1363</v>
      </c>
      <c r="B56" s="3311"/>
      <c r="C56" s="3311"/>
      <c r="D56" s="12">
        <f ca="1">IF(H56="个人住宅",D57,D58)</f>
        <v>99</v>
      </c>
      <c r="E56" s="1256" t="s">
        <v>1364</v>
      </c>
      <c r="F56" s="2339" t="str">
        <f>IF(H56="正常",F58,"免征")</f>
        <v>——</v>
      </c>
      <c r="G56" s="2342" t="s">
        <v>1365</v>
      </c>
      <c r="H56" s="2343" t="s">
        <v>3416</v>
      </c>
      <c r="I56" s="1669"/>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c r="Q56" s="3152"/>
    </row>
    <row r="57" spans="1:35" ht="12.75">
      <c r="A57" s="2152" t="s">
        <v>1341</v>
      </c>
      <c r="B57" s="3297" t="s">
        <v>1366</v>
      </c>
      <c r="C57" s="3298"/>
      <c r="D57" s="1478">
        <v>0</v>
      </c>
      <c r="E57" s="316" t="s">
        <v>1343</v>
      </c>
      <c r="F57" s="294"/>
      <c r="G57" s="2340"/>
      <c r="H57" s="2344"/>
      <c r="I57" s="1669"/>
      <c r="J57" s="3273">
        <f>IF(AND(J55="",J56=""),4,IF(项目基本情况!K6="上海银行",结果表!J56+1,结果表!J55+1))</f>
        <v>5</v>
      </c>
      <c r="K57" s="3273" t="s">
        <v>1367</v>
      </c>
      <c r="L57" s="2316" t="s">
        <v>1368</v>
      </c>
      <c r="M57" s="2317"/>
      <c r="N57" s="2318">
        <f ca="1">SUMIF(M52:M56,"&lt;9e307")</f>
        <v>110</v>
      </c>
      <c r="O57" s="2319"/>
      <c r="P57" s="2464">
        <f ca="1">N57/M49</f>
        <v>0.63218390804597702</v>
      </c>
      <c r="Q57" s="3152">
        <f ca="1">Q52+Q53+Q54+Q55</f>
        <v>192491</v>
      </c>
      <c r="R57" s="2464">
        <f ca="1">Q57/Q48</f>
        <v>0.11049987313447401</v>
      </c>
    </row>
    <row r="58" spans="1:35" ht="25.5">
      <c r="A58" s="2152" t="s">
        <v>1352</v>
      </c>
      <c r="B58" s="3297" t="s">
        <v>1369</v>
      </c>
      <c r="C58" s="3296"/>
      <c r="D58" s="12">
        <f ca="1">IF(H58="转让取得",C81,C97)</f>
        <v>99</v>
      </c>
      <c r="E58" s="1256" t="s">
        <v>1364</v>
      </c>
      <c r="F58" s="294" t="s">
        <v>28</v>
      </c>
      <c r="G58" s="2340"/>
      <c r="H58" s="2343" t="s">
        <v>3441</v>
      </c>
      <c r="I58" s="1669"/>
      <c r="J58" s="3273"/>
      <c r="K58" s="3273"/>
      <c r="L58" s="2316" t="s">
        <v>1370</v>
      </c>
      <c r="M58" s="2320"/>
      <c r="N58" s="2321" t="str">
        <f ca="1">NUMBERSTRING(INT(N57*10000),2)&amp;"元整"</f>
        <v>壹佰壹拾万元整</v>
      </c>
      <c r="O58" s="2322"/>
      <c r="Q58" s="3152" t="str">
        <f ca="1">NUMBERSTRING(INT(Q57),2)&amp;"元整"</f>
        <v>壹拾玖万贰仟肆佰玖拾壹元整</v>
      </c>
    </row>
    <row r="59" spans="1:35" ht="26.25" thickBot="1">
      <c r="A59" s="3277" t="s">
        <v>1371</v>
      </c>
      <c r="B59" s="3278"/>
      <c r="C59" s="3278"/>
      <c r="D59" s="2345">
        <f ca="1">IF(H59="非个人房产","——",IF(H59="个人住宅（满五唯一有凭证）",0,IF(H59="个人其他（无凭证）",ROUND(D45*F59,0),ROUND(C67*F59,0))))</f>
        <v>2</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1365</v>
      </c>
      <c r="H59" s="2137" t="s">
        <v>3442</v>
      </c>
      <c r="I59" s="2136" t="s">
        <v>2137</v>
      </c>
      <c r="J59" s="3275">
        <f>J57+1</f>
        <v>6</v>
      </c>
      <c r="K59" s="3273" t="s">
        <v>1372</v>
      </c>
      <c r="L59" s="2309" t="s">
        <v>1368</v>
      </c>
      <c r="M59" s="2323"/>
      <c r="N59" s="2324">
        <f ca="1">M49-N57</f>
        <v>64</v>
      </c>
      <c r="O59" s="2325"/>
      <c r="Q59" s="3152">
        <f ca="1">Q48-Q57</f>
        <v>1549511</v>
      </c>
    </row>
    <row r="60" spans="1:35" ht="25.5">
      <c r="A60" s="1670"/>
      <c r="B60" s="646"/>
      <c r="C60" s="646"/>
      <c r="D60" s="646"/>
      <c r="E60" s="1466"/>
      <c r="F60" s="1669"/>
      <c r="G60" s="1669"/>
      <c r="H60" s="151"/>
      <c r="I60" s="121"/>
      <c r="J60" s="3276"/>
      <c r="K60" s="3273"/>
      <c r="L60" s="2316" t="s">
        <v>1370</v>
      </c>
      <c r="M60" s="2320"/>
      <c r="N60" s="2321" t="str">
        <f ca="1">NUMBERSTRING(INT(N59*10000),2)&amp;"元整"</f>
        <v>陆拾肆万元整</v>
      </c>
      <c r="O60" s="2322"/>
      <c r="Q60" s="3152" t="str">
        <f ca="1">NUMBERSTRING(INT(Q59),2)&amp;"元整"</f>
        <v>壹佰伍拾肆万玖仟伍佰壹拾壹元整</v>
      </c>
    </row>
    <row r="61" spans="1:35" ht="13.5" thickBot="1">
      <c r="A61" s="3332" t="s">
        <v>1373</v>
      </c>
      <c r="B61" s="3332"/>
      <c r="C61" s="3332"/>
      <c r="D61" s="3332"/>
      <c r="E61" s="3332"/>
      <c r="F61" s="1669"/>
      <c r="G61" s="1669"/>
      <c r="H61" s="151"/>
      <c r="I61" s="121"/>
      <c r="J61" s="2309">
        <f>J59+1</f>
        <v>7</v>
      </c>
      <c r="K61" s="3273" t="s">
        <v>1374</v>
      </c>
      <c r="L61" s="3273"/>
      <c r="M61" s="2326"/>
      <c r="N61" s="2327">
        <f ca="1">ROUND(N59*10000/'数据-汇总表'!E3,0)</f>
        <v>8457</v>
      </c>
      <c r="O61" s="2328"/>
      <c r="Q61" s="3152">
        <f ca="1">ROUND(Q59/L18,0)</f>
        <v>20475</v>
      </c>
    </row>
    <row r="62" spans="1:35" ht="12.75">
      <c r="A62" s="3292" t="s">
        <v>1375</v>
      </c>
      <c r="B62" s="3293"/>
      <c r="C62" s="1864"/>
      <c r="D62" s="1864" t="s">
        <v>1376</v>
      </c>
      <c r="E62" s="158" t="s">
        <v>1377</v>
      </c>
      <c r="F62" s="1669"/>
      <c r="G62" s="1669"/>
      <c r="H62" s="151"/>
      <c r="I62" s="121"/>
    </row>
    <row r="63" spans="1:35" ht="12.75">
      <c r="A63" s="165" t="s">
        <v>330</v>
      </c>
      <c r="B63" s="159" t="s">
        <v>1378</v>
      </c>
      <c r="C63" s="2349">
        <f ca="1">ROUND((C64+C65)/(1+'数据-取费表'!C42),0)</f>
        <v>166</v>
      </c>
      <c r="D63" s="159"/>
      <c r="E63" s="160"/>
      <c r="F63" s="1669"/>
      <c r="G63" s="1669"/>
      <c r="H63" s="151"/>
      <c r="I63" s="121"/>
      <c r="J63" s="3256" t="s">
        <v>1379</v>
      </c>
      <c r="K63" s="1245" t="s">
        <v>1380</v>
      </c>
      <c r="L63" s="1245">
        <f ca="1">IF(M49&gt;10000,M49*0.5%,IF(AND(M49&gt;1000,M49&lt;=10000),M49*1%,IF(AND(M49&gt;100,M49&lt;=1000),M49*3%,IF(AND(M49&gt;10,M49&lt;=100),M49*5%,M49*8%))))</f>
        <v>5.22</v>
      </c>
      <c r="M63" s="294">
        <f ca="1">ROUND(L63,1)</f>
        <v>5.2</v>
      </c>
      <c r="N63" s="2329"/>
      <c r="Z63" s="1623"/>
      <c r="AI63" s="1561"/>
    </row>
    <row r="64" spans="1:35" ht="14.25" customHeight="1">
      <c r="A64" s="161" t="s">
        <v>325</v>
      </c>
      <c r="B64" s="162" t="s">
        <v>1381</v>
      </c>
      <c r="C64" s="2350">
        <f ca="1">D45</f>
        <v>174</v>
      </c>
      <c r="D64" s="162" t="s">
        <v>26</v>
      </c>
      <c r="E64" s="164"/>
      <c r="F64" s="1669"/>
      <c r="G64" s="1669"/>
      <c r="H64" s="151"/>
      <c r="I64" s="121"/>
      <c r="J64" s="3256"/>
      <c r="K64" s="1245" t="s">
        <v>1382</v>
      </c>
      <c r="L64" s="1245">
        <f ca="1">IF(M49&gt;2000,M49*0.5%,IF(AND(M49&gt;1000,M49&lt;=2000),M49*0.6%,IF(AND(M49&gt;500,M49&lt;=1000),M49*0.7%,IF(AND(M49&gt;200,M49&lt;=500),M49*0.8%,IF(AND(M49&gt;100,M49&lt;=200),M49*0.9%,IF(AND(M49&gt;50,M49&lt;=100),M49*1%,IF(AND(M49&gt;20,M49&lt;=50),M49*1.5%,IF(AND(M49&gt;10,M49&lt;=20),M49*2%,IF(AND(M49&gt;1,M49&lt;=10),M49*2.5%)))))))))</f>
        <v>1.5660000000000003</v>
      </c>
      <c r="M64" s="294">
        <f t="shared" ref="M64:M65" ca="1" si="1">ROUND(L64,1)</f>
        <v>1.6</v>
      </c>
      <c r="N64" s="2330" t="s">
        <v>1383</v>
      </c>
      <c r="Z64" s="1623"/>
      <c r="AI64" s="1561"/>
    </row>
    <row r="65" spans="1:35" ht="14.25" customHeight="1">
      <c r="A65" s="161" t="s">
        <v>326</v>
      </c>
      <c r="B65" s="162" t="s">
        <v>1384</v>
      </c>
      <c r="C65" s="2351"/>
      <c r="D65" s="162"/>
      <c r="E65" s="164"/>
      <c r="F65" s="1669"/>
      <c r="G65" s="1669"/>
      <c r="H65" s="151"/>
      <c r="I65" s="121"/>
      <c r="J65" s="3256"/>
      <c r="K65" s="1245" t="s">
        <v>1385</v>
      </c>
      <c r="L65" s="1245">
        <f ca="1">IF(M49&gt;1000,M49*0.1%,IF(AND(M49&gt;500,M49&lt;=1000),M49*0.5%,IF(AND(M49&gt;50,M49&lt;=500),M49*1%,IF(AND(M49&gt;1,M49&lt;=50),M49*1.5%))))</f>
        <v>1.74</v>
      </c>
      <c r="M65" s="294">
        <f t="shared" ca="1" si="1"/>
        <v>1.7</v>
      </c>
      <c r="N65" s="2330" t="s">
        <v>1383</v>
      </c>
      <c r="Z65" s="1623"/>
      <c r="AI65" s="1561"/>
    </row>
    <row r="66" spans="1:35" ht="14.25" customHeight="1">
      <c r="A66" s="165" t="s">
        <v>327</v>
      </c>
      <c r="B66" s="166" t="s">
        <v>1386</v>
      </c>
      <c r="C66" s="2352"/>
      <c r="D66" s="166" t="s">
        <v>26</v>
      </c>
      <c r="E66" s="1251" t="s">
        <v>671</v>
      </c>
      <c r="F66" s="1669"/>
      <c r="G66" s="1669"/>
      <c r="H66" s="151"/>
      <c r="I66" s="121"/>
      <c r="J66" s="3256"/>
      <c r="K66" s="1245" t="s">
        <v>1387</v>
      </c>
      <c r="L66" s="1245">
        <f ca="1">M49*0.5%</f>
        <v>0.87</v>
      </c>
      <c r="M66" s="294">
        <f ca="1">IF(L66&gt;0.5,0.5,ROUND(L66,0))</f>
        <v>0.5</v>
      </c>
      <c r="N66" s="2330" t="s">
        <v>1388</v>
      </c>
      <c r="Z66" s="1623"/>
      <c r="AI66" s="1561"/>
    </row>
    <row r="67" spans="1:35" ht="14.25" customHeight="1">
      <c r="A67" s="165" t="s">
        <v>328</v>
      </c>
      <c r="B67" s="166" t="s">
        <v>1389</v>
      </c>
      <c r="C67" s="2353">
        <f ca="1">C63-C66</f>
        <v>166</v>
      </c>
      <c r="D67" s="162" t="s">
        <v>26</v>
      </c>
      <c r="E67" s="164"/>
      <c r="F67" s="1669"/>
      <c r="G67" s="1669"/>
      <c r="H67" s="151"/>
      <c r="I67" s="121"/>
      <c r="J67" s="3256"/>
      <c r="K67" s="1245" t="s">
        <v>1390</v>
      </c>
      <c r="L67" s="1245">
        <f ca="1">IF(M49&gt;=10000,(8.25+(M49-10000)*0.01%),IF(AND(M49&gt;=8000,M49&lt;10000),(7.85+(M49-8000)*0.02%),IF(AND(M49&gt;=5000,M49&lt;8000),(6.65+(M49-5000)*0.04%),IF(AND(M49&gt;=2000,M49&lt;5000),(4.25+(PM49-2000)*0.08%),IF(AND(M49&gt;=1000,M49&lt;2000),(2.75+(M49-1000)*0.15%),IF(AND(M49&gt;=100,M49&lt;1000),(0.5+(M49-100)*0.25%),IF(AND(M49&gt;0,M49&lt;100),M49*0.5%)))))))</f>
        <v>0.68500000000000005</v>
      </c>
      <c r="M67" s="294">
        <f ca="1">ROUND(L67*0.9,1)</f>
        <v>0.6</v>
      </c>
      <c r="N67" s="2329"/>
      <c r="Z67" s="1623"/>
      <c r="AI67" s="1561"/>
    </row>
    <row r="68" spans="1:35" ht="14.25" customHeight="1" thickBot="1">
      <c r="A68" s="168" t="s">
        <v>329</v>
      </c>
      <c r="B68" s="169" t="s">
        <v>1391</v>
      </c>
      <c r="C68" s="2354">
        <f ca="1">IF(C67&lt;=0,0,ROUND(C67*D68,0))</f>
        <v>9</v>
      </c>
      <c r="D68" s="2355">
        <f>'数据-取费表'!B41</f>
        <v>5.5000000000000007E-2</v>
      </c>
      <c r="E68" s="170"/>
      <c r="F68" s="1669"/>
      <c r="G68" s="1669"/>
      <c r="H68" s="151"/>
      <c r="I68" s="121"/>
      <c r="J68" s="3256"/>
      <c r="K68" s="1245" t="s">
        <v>1392</v>
      </c>
      <c r="L68" s="1245">
        <f ca="1">IF(M49&gt;10000,M49*0.5%,IF(AND(M49&gt;5000,M49&lt;=10000),M49*1%,IF(AND(M49&gt;1000,M49&lt;=5000),M49*2%,IF(AND(M49&gt;200,M49&lt;=1000),M49*3%,M49*5%))))</f>
        <v>8.7000000000000011</v>
      </c>
      <c r="M68" s="294">
        <f ca="1">ROUND(L68,1)</f>
        <v>8.6999999999999993</v>
      </c>
      <c r="N68" s="2329"/>
      <c r="Z68" s="1623"/>
      <c r="AI68" s="1561"/>
    </row>
    <row r="69" spans="1:35" ht="16.5" customHeight="1">
      <c r="A69" s="1671"/>
      <c r="B69" s="1672"/>
      <c r="C69" s="1673"/>
      <c r="D69" s="1674"/>
      <c r="E69" s="1675"/>
      <c r="F69" s="1466"/>
      <c r="G69" s="1466"/>
      <c r="H69" s="1467"/>
      <c r="I69" s="646"/>
      <c r="J69" s="3256"/>
      <c r="K69" s="1245" t="s">
        <v>1393</v>
      </c>
      <c r="L69" s="1245"/>
      <c r="M69" s="294">
        <f ca="1">ROUND(SUM(M63:M68),0)</f>
        <v>18</v>
      </c>
      <c r="N69" s="2331">
        <f ca="1">M69/M49</f>
        <v>0.10344827586206896</v>
      </c>
      <c r="Z69" s="1623"/>
      <c r="AI69" s="1561"/>
    </row>
    <row r="70" spans="1:35" s="642" customFormat="1" ht="15" thickBot="1">
      <c r="A70" s="3300" t="s">
        <v>1394</v>
      </c>
      <c r="B70" s="3301"/>
      <c r="C70" s="3301"/>
      <c r="D70" s="3301"/>
      <c r="E70" s="3301"/>
      <c r="F70" s="3301"/>
      <c r="G70" s="3301"/>
      <c r="H70" s="33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2" t="s">
        <v>1375</v>
      </c>
      <c r="B71" s="329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166</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7" t="s">
        <v>1402</v>
      </c>
      <c r="F76" s="3296"/>
      <c r="G76" s="3296"/>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v>
      </c>
      <c r="D78" s="2362">
        <f>'数据-取费表'!B43</f>
        <v>5.000000000000001E-3</v>
      </c>
      <c r="E78" s="3289" t="s">
        <v>1406</v>
      </c>
      <c r="F78" s="3290"/>
      <c r="G78" s="3290"/>
      <c r="H78" s="329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165</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99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2" t="s">
        <v>1375</v>
      </c>
      <c r="B84" s="329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166</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8" t="s">
        <v>2129</v>
      </c>
      <c r="H90" s="3259"/>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9" t="s">
        <v>1419</v>
      </c>
      <c r="F91" s="3290"/>
      <c r="G91" s="329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9" t="s">
        <v>1422</v>
      </c>
      <c r="F92" s="3290"/>
      <c r="G92" s="3290"/>
      <c r="H92" s="3291"/>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v>
      </c>
      <c r="D93" s="2362">
        <f>'数据-取费表'!B43</f>
        <v>5.000000000000001E-3</v>
      </c>
      <c r="E93" s="3289" t="s">
        <v>1406</v>
      </c>
      <c r="F93" s="3290"/>
      <c r="G93" s="3290"/>
      <c r="H93" s="329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4" t="s">
        <v>1426</v>
      </c>
      <c r="F94" s="3335"/>
      <c r="G94" s="3335"/>
      <c r="H94" s="333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165</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99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比较法-商业</v>
      </c>
      <c r="D101" s="2371" t="str">
        <f>D4</f>
        <v>收益法 (元)</v>
      </c>
      <c r="E101" s="3252" t="s">
        <v>1431</v>
      </c>
      <c r="F101" s="3253"/>
      <c r="G101" s="1686" t="s">
        <v>1432</v>
      </c>
      <c r="H101" s="2380">
        <f ca="1">H118</f>
        <v>174</v>
      </c>
      <c r="I101" s="121"/>
    </row>
    <row r="102" spans="1:35" ht="18.75" customHeight="1">
      <c r="A102" s="3284" t="s">
        <v>1433</v>
      </c>
      <c r="B102" s="2369" t="s">
        <v>1432</v>
      </c>
      <c r="C102" s="2370">
        <f ca="1">IF(D32="楼面单价",ROUND(C19,0),C19)</f>
        <v>241</v>
      </c>
      <c r="D102" s="2371">
        <f ca="1">IF(D32="楼面单价",ROUND(D19,0),D19)</f>
        <v>74</v>
      </c>
      <c r="E102" s="3252"/>
      <c r="F102" s="3253"/>
      <c r="G102" s="1686" t="s">
        <v>1434</v>
      </c>
      <c r="H102" s="2340">
        <f ca="1">I118</f>
        <v>23018</v>
      </c>
      <c r="I102" s="121"/>
    </row>
    <row r="103" spans="1:35" ht="42.75" customHeight="1">
      <c r="A103" s="3284"/>
      <c r="B103" s="2369" t="s">
        <v>1434</v>
      </c>
      <c r="C103" s="2372">
        <f ca="1">C20</f>
        <v>31805</v>
      </c>
      <c r="D103" s="2373">
        <f ca="1">D20</f>
        <v>9837</v>
      </c>
      <c r="E103" s="3245" t="s">
        <v>1435</v>
      </c>
      <c r="F103" s="3246"/>
      <c r="G103" s="1687" t="s">
        <v>1436</v>
      </c>
      <c r="H103" s="2380">
        <f>IF(D36="正常操作",H104+H105+H106,H105+H106)</f>
        <v>0</v>
      </c>
      <c r="I103" s="121"/>
    </row>
    <row r="104" spans="1:35" ht="18.75" customHeight="1">
      <c r="A104" s="3284" t="s">
        <v>1437</v>
      </c>
      <c r="B104" s="2374" t="s">
        <v>1432</v>
      </c>
      <c r="C104" s="2375">
        <f ca="1">H118</f>
        <v>174</v>
      </c>
      <c r="D104" s="2376"/>
      <c r="E104" s="1555" t="s">
        <v>1438</v>
      </c>
      <c r="F104" s="1548"/>
      <c r="G104" s="1687" t="s">
        <v>1436</v>
      </c>
      <c r="H104" s="2381">
        <f>IF(D36="同一抵押权人同一抵押物续贷",C36&amp;"（续贷，未扣减，详见特别提示）",C36)</f>
        <v>0</v>
      </c>
      <c r="I104" s="121"/>
    </row>
    <row r="105" spans="1:35" ht="18.75" customHeight="1" thickBot="1">
      <c r="A105" s="3294"/>
      <c r="B105" s="2377" t="s">
        <v>1434</v>
      </c>
      <c r="C105" s="2378">
        <f ca="1">I118</f>
        <v>23018</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5" t="str">
        <f>IF(项目基本情况!E8="已注销","——","3.房地产抵押价值")</f>
        <v>3.房地产抵押价值</v>
      </c>
      <c r="F107" s="3253"/>
      <c r="G107" s="1686" t="s">
        <v>1432</v>
      </c>
      <c r="H107" s="2380">
        <f ca="1">IF(E107="——","——",H101-H103)</f>
        <v>174</v>
      </c>
      <c r="I107" s="121"/>
    </row>
    <row r="108" spans="1:35" ht="18.75" customHeight="1">
      <c r="A108" s="121"/>
      <c r="B108" s="121"/>
      <c r="C108" s="121"/>
      <c r="D108" s="121"/>
      <c r="E108" s="3285"/>
      <c r="F108" s="3253"/>
      <c r="G108" s="1686" t="s">
        <v>1434</v>
      </c>
      <c r="H108" s="2340">
        <f ca="1">IF(H107=H101,H102,ROUND(H107*10000/'数据-汇总表'!E3,0))</f>
        <v>23018</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6" t="s">
        <v>1432</v>
      </c>
      <c r="H109" s="2383" t="str">
        <f>IF(E109="——","——",H101-H105-H106)</f>
        <v>——</v>
      </c>
      <c r="I109" s="121"/>
    </row>
    <row r="110" spans="1:35" ht="18.75" customHeight="1">
      <c r="A110" s="121"/>
      <c r="B110" s="121"/>
      <c r="C110" s="121"/>
      <c r="D110" s="121"/>
      <c r="E110" s="3285"/>
      <c r="F110" s="3253"/>
      <c r="G110" s="1686"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6" t="s">
        <v>1432</v>
      </c>
      <c r="H111" s="2380" t="str">
        <f>IF(E111="——","——",N59)</f>
        <v>——</v>
      </c>
      <c r="I111" s="121"/>
    </row>
    <row r="112" spans="1:35" ht="18.75" customHeight="1" thickBot="1">
      <c r="A112" s="121"/>
      <c r="B112" s="121"/>
      <c r="C112" s="121"/>
      <c r="D112" s="121"/>
      <c r="E112" s="3287"/>
      <c r="F112" s="3288"/>
      <c r="G112" s="1689"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0"/>
      <c r="F114" s="1670"/>
      <c r="G114" s="1670"/>
      <c r="H114" s="1670"/>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75.680000000000007</v>
      </c>
      <c r="C118" s="2149">
        <f>M19</f>
        <v>0</v>
      </c>
      <c r="D118" s="2149">
        <f ca="1">ROUND(IF(D32="总价",C34,E118*B118/10000),0)</f>
        <v>133</v>
      </c>
      <c r="E118" s="2149">
        <f ca="1">ROUND(IF(C33="自定义",IF(D32="楼面单价",C34,D118*10000/B118),I118-G118),0)</f>
        <v>17586</v>
      </c>
      <c r="F118" s="2149">
        <f ca="1">ROUND(IF(D32="总价",C35,G118*B118/10000),0)</f>
        <v>41</v>
      </c>
      <c r="G118" s="2149">
        <f ca="1">ROUND(IF(D32="楼面单价",C35,F118*10000/B118),0)</f>
        <v>5432</v>
      </c>
      <c r="H118" s="2149">
        <f ca="1">ROUND(IF(D32="总价",C32,I118*B118/10000),0)</f>
        <v>174</v>
      </c>
      <c r="I118" s="2149">
        <f ca="1">ROUND(IF(D32="楼面单价",C32,H118*10000/B118),0)</f>
        <v>23018</v>
      </c>
    </row>
    <row r="119" spans="1:27" ht="18.75" customHeight="1">
      <c r="A119" s="3260" t="s">
        <v>1452</v>
      </c>
      <c r="B119" s="3260"/>
      <c r="C119" s="3260"/>
      <c r="D119" s="3266" t="str">
        <f ca="1">NUMBERSTRING(INT(D118*10000),2)&amp;"元整"</f>
        <v>壹佰叁拾叁万元整</v>
      </c>
      <c r="E119" s="3267"/>
      <c r="F119" s="3266" t="str">
        <f ca="1">NUMBERSTRING(INT(F118*10000),2)&amp;"元整"</f>
        <v>肆拾壹万元整</v>
      </c>
      <c r="G119" s="3267"/>
      <c r="H119" s="3266" t="str">
        <f ca="1">NUMBERSTRING(INT(H118*10000),2)&amp;"元整"</f>
        <v>壹佰柒拾肆万元整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174</v>
      </c>
      <c r="E122" s="3262"/>
      <c r="F122" s="3262"/>
      <c r="G122" s="3262"/>
      <c r="H122" s="3262"/>
      <c r="I122" s="3263"/>
      <c r="AA122" s="684"/>
    </row>
    <row r="123" spans="1:27" ht="18.75" customHeight="1">
      <c r="A123" s="3260" t="s">
        <v>1452</v>
      </c>
      <c r="B123" s="3260"/>
      <c r="C123" s="3260"/>
      <c r="D123" s="3266" t="str">
        <f ca="1">NUMBERSTRING(INT(D122*10000),2)&amp;"元整"</f>
        <v>壹佰柒拾肆万元整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3303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75.680000000000007</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75.680000000000007</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75.680000000000007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5.0000000000000001E-4</v>
      </c>
      <c r="D44" s="230"/>
      <c r="E44" s="230"/>
      <c r="F44" s="231"/>
      <c r="G44" s="3341"/>
    </row>
    <row r="45" spans="1:7" s="206" customFormat="1" ht="13.5" customHeight="1">
      <c r="A45" s="247" t="s">
        <v>1547</v>
      </c>
      <c r="B45" s="236" t="s">
        <v>1513</v>
      </c>
      <c r="C45" s="237">
        <f ca="1">C46</f>
        <v>4</v>
      </c>
      <c r="D45" s="227">
        <f ca="1">C47</f>
        <v>4.4999999999999997E-3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23</v>
      </c>
      <c r="D51" s="224"/>
      <c r="E51" s="224"/>
      <c r="F51" s="256"/>
      <c r="G51" s="226" t="s">
        <v>1560</v>
      </c>
    </row>
    <row r="52" spans="1:7" s="200" customFormat="1" ht="16.5" thickBot="1">
      <c r="A52" s="257" t="s">
        <v>1561</v>
      </c>
      <c r="B52" s="258"/>
      <c r="C52" s="259">
        <f ca="1">C31+C51</f>
        <v>25</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26.455300000000001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3496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12109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12109</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12109</v>
      </c>
      <c r="D10" s="795">
        <f ca="1">IF(B1="",'数据-汇总表'!E6,IF(INDIRECT("'数据-取费表'!c"&amp;$G$1)="住宅",INDIRECT("'数据-取费表'!s"&amp;$G$1),INDIRECT("'数据-取费表'!k"&amp;$G$1)+INDIRECT("'数据-取费表'!s"&amp;$G$1)))</f>
        <v>75.680000000000007</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15136</v>
      </c>
      <c r="D19" s="204">
        <f ca="1">D9+D10</f>
        <v>75.680000000000007</v>
      </c>
      <c r="E19" s="203">
        <f>'数据-取费表'!B31</f>
        <v>200</v>
      </c>
      <c r="F19" s="223"/>
      <c r="G19" s="1713"/>
    </row>
    <row r="20" spans="1:7" s="206" customFormat="1" ht="13.5" customHeight="1">
      <c r="A20" s="247" t="s">
        <v>1574</v>
      </c>
      <c r="B20" s="202" t="s">
        <v>1575</v>
      </c>
      <c r="C20" s="224">
        <f ca="1">ROUND((C5+C19)*F20,0)</f>
        <v>545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852</v>
      </c>
      <c r="D22" s="227">
        <f ca="1">C26</f>
        <v>5.0000000000000001E-4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469</v>
      </c>
      <c r="D24" s="230"/>
      <c r="E24" s="230"/>
      <c r="F24" s="231"/>
      <c r="G24" s="232" t="s">
        <v>1586</v>
      </c>
    </row>
    <row r="25" spans="1:7" s="206" customFormat="1" ht="24">
      <c r="A25" s="734" t="s">
        <v>1476</v>
      </c>
      <c r="B25" s="207" t="s">
        <v>1587</v>
      </c>
      <c r="C25" s="230">
        <f ca="1">ROUND(IF('数据-取费表'!B22&lt;=1,C20*F22*'数据-取费表'!B22/2,C20*(POWER((1+F22),'数据-取费表'!B22/2)-1)),0)</f>
        <v>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4169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4169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35953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258069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227040</v>
      </c>
      <c r="D34" s="209"/>
      <c r="E34" s="212"/>
      <c r="F34" s="249"/>
      <c r="G34" s="211"/>
    </row>
    <row r="35" spans="1:7" ht="13.5" customHeight="1">
      <c r="A35" s="734" t="s">
        <v>351</v>
      </c>
      <c r="B35" s="207" t="s">
        <v>1527</v>
      </c>
      <c r="C35" s="212">
        <f ca="1">ROUND(C34*F35,0)</f>
        <v>11352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15136</v>
      </c>
      <c r="D37" s="209">
        <f ca="1">D19</f>
        <v>75.680000000000007</v>
      </c>
      <c r="E37" s="241">
        <f>'数据-取费表'!B35</f>
        <v>200</v>
      </c>
      <c r="F37" s="251"/>
      <c r="G37" s="253"/>
    </row>
    <row r="38" spans="1:7" ht="13.5" customHeight="1">
      <c r="A38" s="734" t="s">
        <v>354</v>
      </c>
      <c r="B38" s="207" t="s">
        <v>1533</v>
      </c>
      <c r="C38" s="212">
        <f ca="1">ROUND(C34*F38,0)</f>
        <v>4541</v>
      </c>
      <c r="D38" s="212"/>
      <c r="E38" s="212"/>
      <c r="F38" s="251">
        <f>'数据-取费表'!B36</f>
        <v>0.02</v>
      </c>
      <c r="G38" s="211" t="s">
        <v>1528</v>
      </c>
    </row>
    <row r="39" spans="1:7" s="206" customFormat="1" ht="13.5" customHeight="1">
      <c r="A39" s="247" t="s">
        <v>1534</v>
      </c>
      <c r="B39" s="202" t="s">
        <v>1535</v>
      </c>
      <c r="C39" s="224">
        <f ca="1">ROUND(C33*F20,0)</f>
        <v>5161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4080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4000</v>
      </c>
      <c r="D42" s="230"/>
      <c r="E42" s="230"/>
      <c r="F42" s="231"/>
      <c r="G42" s="3339" t="s">
        <v>1591</v>
      </c>
    </row>
    <row r="43" spans="1:7" ht="13.5" customHeight="1">
      <c r="A43" s="734" t="s">
        <v>347</v>
      </c>
      <c r="B43" s="207" t="s">
        <v>1545</v>
      </c>
      <c r="C43" s="230">
        <f ca="1">ROUND(IF('数据-取费表'!B22&lt;=1,C39*F22*'数据-取费表'!B20/2,C39*(POWER((1+F22),'数据-取费表'!B20/2)-1)),0)</f>
        <v>80</v>
      </c>
      <c r="D43" s="230"/>
      <c r="E43" s="230"/>
      <c r="F43" s="231"/>
      <c r="G43" s="3340"/>
    </row>
    <row r="44" spans="1:7" ht="13.5" customHeight="1">
      <c r="A44" s="734" t="s">
        <v>348</v>
      </c>
      <c r="B44" s="207" t="s">
        <v>1546</v>
      </c>
      <c r="C44" s="230">
        <f ca="1">ROUND(IF('数据-取费表'!B22&lt;=1,C40*F22*'数据-取费表'!B20/2,C40*(POWER((1+F22),'数据-取费表'!B20/2)-1)),4)</f>
        <v>5.0000000000000001E-4</v>
      </c>
      <c r="D44" s="230"/>
      <c r="E44" s="230"/>
      <c r="F44" s="231"/>
      <c r="G44" s="3341"/>
    </row>
    <row r="45" spans="1:7" s="206" customFormat="1" ht="13.5" customHeight="1">
      <c r="A45" s="247" t="s">
        <v>1547</v>
      </c>
      <c r="B45" s="236" t="s">
        <v>1513</v>
      </c>
      <c r="C45" s="237">
        <f ca="1">C46</f>
        <v>39485</v>
      </c>
      <c r="D45" s="227">
        <f ca="1">C47</f>
        <v>4.4999999999999997E-3</v>
      </c>
      <c r="E45" s="228" t="s">
        <v>1539</v>
      </c>
      <c r="F45" s="238">
        <f ca="1">F27</f>
        <v>0.15</v>
      </c>
      <c r="G45" s="239" t="s">
        <v>1548</v>
      </c>
    </row>
    <row r="46" spans="1:7" s="206" customFormat="1" ht="13.5" customHeight="1">
      <c r="A46" s="734" t="s">
        <v>346</v>
      </c>
      <c r="B46" s="240" t="s">
        <v>1549</v>
      </c>
      <c r="C46" s="241">
        <f ca="1">ROUND((C33+C39)*F27,0)</f>
        <v>39485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336177</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228600</v>
      </c>
      <c r="D51" s="224"/>
      <c r="E51" s="224"/>
      <c r="F51" s="256"/>
      <c r="G51" s="226" t="s">
        <v>1560</v>
      </c>
    </row>
    <row r="52" spans="1:7" s="200" customFormat="1" ht="16.5" thickBot="1">
      <c r="A52" s="257" t="s">
        <v>1561</v>
      </c>
      <c r="B52" s="258"/>
      <c r="C52" s="259">
        <f ca="1">C31+C51</f>
        <v>264553</v>
      </c>
      <c r="D52" s="258"/>
      <c r="E52" s="258"/>
      <c r="F52" s="258"/>
      <c r="G52" s="260"/>
    </row>
    <row r="55" spans="1:7" ht="15">
      <c r="B55" s="262" t="s">
        <v>1562</v>
      </c>
      <c r="C55" s="263"/>
    </row>
    <row r="56" spans="1:7">
      <c r="B56" s="265" t="s">
        <v>802</v>
      </c>
      <c r="C56" s="267">
        <f ca="1">1-C57</f>
        <v>0.13600000000000001</v>
      </c>
    </row>
    <row r="57" spans="1:7">
      <c r="B57" s="265" t="s">
        <v>803</v>
      </c>
      <c r="C57" s="266">
        <f ca="1">ROUND(C51/C52,3)</f>
        <v>0.86399999999999999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-132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75.680000000000007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75.680000000000007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75.680000000000007</v>
      </c>
      <c r="E20" s="21">
        <f>'数据-取费表'!B28</f>
        <v>160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2299</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4" zoomScale="85" zoomScaleNormal="70" zoomScaleSheetLayoutView="85" workbookViewId="0">
      <selection activeCell="H52" sqref="H5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t="s">
        <v>673</v>
      </c>
      <c r="E1" s="3124" t="s">
        <v>3395</v>
      </c>
      <c r="F1" s="1734" t="s">
        <v>3396</v>
      </c>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f>IF(E1="项目模式",IF(C2="——",ROUND(C49*D3/10000,0),ROUND(C49*D3/10000,0)-D2),IF(E1="单套模式",IF(C2="——",ROUND(C49*D3/10000,4),ROUND(C49*D3/10000,4)-D2)))</f>
        <v>240.7002</v>
      </c>
      <c r="C2" s="1736" t="s">
        <v>43</v>
      </c>
      <c r="D2" s="1052" t="e">
        <f ca="1">IF(E1="项目模式",SUMIF(INDIRECT("'"&amp;F2&amp;"'"&amp;"!A:A"),"承租人权益价值",INDIRECT("'"&amp;F2&amp;"'"&amp;"!c:c")),SUMIF(INDIRECT("'"&amp;F2&amp;"'"&amp;"!A:A"),"承租人权益价值（单套）",INDIRECT("'"&amp;F2&amp;"'"&amp;"!c:c")))</f>
        <v>#REF!</v>
      </c>
      <c r="E2" s="1737" t="s">
        <v>1463</v>
      </c>
      <c r="F2" s="1738" t="s">
        <v>3397</v>
      </c>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31805</v>
      </c>
      <c r="C3" s="344" t="s">
        <v>1768</v>
      </c>
      <c r="D3" s="343">
        <f>IF(D1="",'数据-汇总表'!E3,SUMIF('数据-汇总表'!$C19:$C33,D1,'数据-汇总表'!$E19:$E33))</f>
        <v>75.680000000000007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67" t="s">
        <v>1770</v>
      </c>
      <c r="D4" s="3368"/>
      <c r="E4" s="3369" t="s">
        <v>1771</v>
      </c>
      <c r="F4" s="3370"/>
      <c r="G4" s="3367" t="s">
        <v>1772</v>
      </c>
      <c r="H4" s="3368"/>
      <c r="I4" s="3367" t="s">
        <v>1773</v>
      </c>
      <c r="J4" s="3368"/>
      <c r="K4" s="537" t="s">
        <v>1774</v>
      </c>
      <c r="L4" s="2486"/>
      <c r="M4" s="2487"/>
      <c r="N4" s="2487"/>
      <c r="O4" s="2487"/>
      <c r="P4" s="3371" t="s">
        <v>1775</v>
      </c>
      <c r="Q4" s="3372"/>
      <c r="R4" s="3353" t="s">
        <v>1771</v>
      </c>
      <c r="S4" s="3354"/>
      <c r="T4" s="3353" t="s">
        <v>1772</v>
      </c>
      <c r="U4" s="3354"/>
      <c r="V4" s="3350" t="s">
        <v>1773</v>
      </c>
      <c r="W4" s="3350"/>
      <c r="X4" s="1265"/>
      <c r="Y4" s="3353" t="s">
        <v>1775</v>
      </c>
      <c r="Z4" s="3354"/>
      <c r="AA4" s="3347" t="s">
        <v>1771</v>
      </c>
      <c r="AB4" s="3350" t="s">
        <v>1772</v>
      </c>
      <c r="AC4" s="3347" t="s">
        <v>1773</v>
      </c>
    </row>
    <row r="5" spans="1:29" ht="15">
      <c r="A5" s="348"/>
      <c r="B5" s="349"/>
      <c r="C5" s="3359" t="s">
        <v>1673</v>
      </c>
      <c r="D5" s="3360"/>
      <c r="E5" s="3357" t="s">
        <v>3446</v>
      </c>
      <c r="F5" s="3358"/>
      <c r="G5" s="3363" t="s">
        <v>3447</v>
      </c>
      <c r="H5" s="3360"/>
      <c r="I5" s="3363" t="s">
        <v>3448</v>
      </c>
      <c r="J5" s="3360"/>
      <c r="K5" s="537"/>
      <c r="L5" s="2486"/>
      <c r="M5" s="2487"/>
      <c r="N5" s="2487"/>
      <c r="O5" s="2487"/>
      <c r="P5" s="3373"/>
      <c r="Q5" s="3374"/>
      <c r="R5" s="3355"/>
      <c r="S5" s="3356"/>
      <c r="T5" s="3355"/>
      <c r="U5" s="3356"/>
      <c r="V5" s="3350"/>
      <c r="W5" s="3350"/>
      <c r="X5" s="1265"/>
      <c r="Y5" s="3355"/>
      <c r="Z5" s="3356"/>
      <c r="AA5" s="3348"/>
      <c r="AB5" s="3350"/>
      <c r="AC5" s="3348"/>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375"/>
      <c r="Q6" s="3376"/>
      <c r="R6" s="3355"/>
      <c r="S6" s="3356"/>
      <c r="T6" s="3377"/>
      <c r="U6" s="3378"/>
      <c r="V6" s="3350"/>
      <c r="W6" s="3350"/>
      <c r="X6" s="1265"/>
      <c r="Y6" s="3377"/>
      <c r="Z6" s="3378"/>
      <c r="AA6" s="3349"/>
      <c r="AB6" s="3350"/>
      <c r="AC6" s="3349"/>
    </row>
    <row r="7" spans="1:29" s="102" customFormat="1" ht="15.75" thickBot="1">
      <c r="A7" s="352" t="s">
        <v>1679</v>
      </c>
      <c r="B7" s="353"/>
      <c r="C7" s="354">
        <f>'数据-取费表'!B2</f>
        <v>45614</v>
      </c>
      <c r="D7" s="355">
        <v>100</v>
      </c>
      <c r="E7" s="356">
        <v>45597</v>
      </c>
      <c r="F7" s="357">
        <f>SUMIF(58:58,YEAR(E7)&amp;"-"&amp;MONTH(E7),59:59)</f>
        <v>100</v>
      </c>
      <c r="G7" s="356">
        <v>45566</v>
      </c>
      <c r="H7" s="355">
        <f>SUMIF(58:58,YEAR(G7)&amp;"-"&amp;MONTH(G7),59:59)</f>
        <v>100</v>
      </c>
      <c r="I7" s="356">
        <v>45566</v>
      </c>
      <c r="J7" s="355">
        <f>SUMIF(58:58,YEAR(I7)&amp;"-"&amp;MONTH(I7),59:59)</f>
        <v>100</v>
      </c>
      <c r="K7" s="38"/>
      <c r="L7" s="2488"/>
      <c r="M7" s="2439"/>
      <c r="N7" s="2439"/>
      <c r="O7" s="2439"/>
      <c r="P7" s="3351" t="s">
        <v>1680</v>
      </c>
      <c r="Q7" s="3379"/>
      <c r="R7" s="664" t="s">
        <v>14</v>
      </c>
      <c r="S7" s="665">
        <f t="shared" ref="S7:S15" si="0">F7</f>
        <v>100</v>
      </c>
      <c r="T7" s="664" t="s">
        <v>14</v>
      </c>
      <c r="U7" s="665">
        <f t="shared" ref="U7:U15" si="1">H7</f>
        <v>100</v>
      </c>
      <c r="V7" s="664" t="s">
        <v>14</v>
      </c>
      <c r="W7" s="665">
        <f t="shared" ref="W7:W15" si="2">J7</f>
        <v>100</v>
      </c>
      <c r="X7" s="666"/>
      <c r="Y7" s="3351" t="s">
        <v>1680</v>
      </c>
      <c r="Z7" s="3352"/>
      <c r="AA7" s="50">
        <f>D7/F7</f>
        <v>1</v>
      </c>
      <c r="AB7" s="50">
        <f>D7/H7</f>
        <v>1</v>
      </c>
      <c r="AC7" s="50">
        <f>D7/J7</f>
        <v>1</v>
      </c>
    </row>
    <row r="8" spans="1:29" s="102" customFormat="1" ht="15.75" thickBot="1">
      <c r="A8" s="352" t="s">
        <v>1681</v>
      </c>
      <c r="B8" s="353"/>
      <c r="C8" s="358" t="s">
        <v>3416</v>
      </c>
      <c r="D8" s="355">
        <v>100</v>
      </c>
      <c r="E8" s="358" t="s">
        <v>3417</v>
      </c>
      <c r="F8" s="357">
        <f>SUMIF(61:61,E8,62:62)-SUMIF(61:61,C8,62:62)+100</f>
        <v>105</v>
      </c>
      <c r="G8" s="358" t="s">
        <v>3417</v>
      </c>
      <c r="H8" s="355">
        <f>SUMIF(61:61,G8,62:62)-SUMIF(61:61,C8,62:62)+100</f>
        <v>105</v>
      </c>
      <c r="I8" s="358" t="s">
        <v>3417</v>
      </c>
      <c r="J8" s="355">
        <f>SUMIF(61:61,I8,62:62)-SUMIF(61:61,C8,62:62)+100</f>
        <v>105</v>
      </c>
      <c r="K8" s="38"/>
      <c r="L8" s="2488"/>
      <c r="M8" s="2439"/>
      <c r="N8" s="2439"/>
      <c r="O8" s="2439"/>
      <c r="P8" s="3351" t="s">
        <v>1683</v>
      </c>
      <c r="Q8" s="3352"/>
      <c r="R8" s="664" t="s">
        <v>14</v>
      </c>
      <c r="S8" s="665">
        <f t="shared" si="0"/>
        <v>105</v>
      </c>
      <c r="T8" s="664" t="s">
        <v>14</v>
      </c>
      <c r="U8" s="665">
        <f t="shared" si="1"/>
        <v>105</v>
      </c>
      <c r="V8" s="664" t="s">
        <v>14</v>
      </c>
      <c r="W8" s="665">
        <f t="shared" si="2"/>
        <v>105</v>
      </c>
      <c r="X8" s="666"/>
      <c r="Y8" s="3351" t="s">
        <v>1683</v>
      </c>
      <c r="Z8" s="3352"/>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1" t="s">
        <v>673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t="s">
        <v>3449</v>
      </c>
      <c r="D10" s="119">
        <v>100</v>
      </c>
      <c r="E10" s="3156" t="s">
        <v>3449</v>
      </c>
      <c r="F10" s="364">
        <f>SUMIF(65:65,E10,66:66)-SUMIF(65:65,C10,66:66)+100</f>
        <v>100</v>
      </c>
      <c r="G10" s="3132" t="s">
        <v>3450</v>
      </c>
      <c r="H10" s="119">
        <f>SUMIF(65:65,G10,66:66)-SUMIF(65:65,C10,66:66)+100</f>
        <v>106</v>
      </c>
      <c r="I10" s="3132" t="s">
        <v>3450</v>
      </c>
      <c r="J10" s="119">
        <f>SUMIF(65:65,I10,66:66)-SUMIF(65:65,C10,66:66)+100</f>
        <v>106</v>
      </c>
      <c r="K10" s="38"/>
      <c r="L10" s="2489"/>
      <c r="M10" s="2490"/>
      <c r="N10" s="2490"/>
      <c r="O10" s="2490"/>
      <c r="P10" s="3366"/>
      <c r="Q10" s="530" t="str">
        <f t="shared" si="6"/>
        <v>土地使用年限（年）</v>
      </c>
      <c r="R10" s="664" t="s">
        <v>14</v>
      </c>
      <c r="S10" s="665">
        <f t="shared" si="0"/>
        <v>100</v>
      </c>
      <c r="T10" s="664" t="s">
        <v>14</v>
      </c>
      <c r="U10" s="665">
        <f t="shared" si="1"/>
        <v>106</v>
      </c>
      <c r="V10" s="664" t="s">
        <v>14</v>
      </c>
      <c r="W10" s="665">
        <f t="shared" si="2"/>
        <v>106</v>
      </c>
      <c r="X10" s="666"/>
      <c r="Y10" s="3315"/>
      <c r="Z10" s="50" t="str">
        <f t="shared" si="7"/>
        <v>土地使用年限（年）</v>
      </c>
      <c r="AA10" s="50">
        <f t="shared" si="3"/>
        <v>1</v>
      </c>
      <c r="AB10" s="50">
        <f t="shared" si="4"/>
        <v>0.94339622641509435</v>
      </c>
      <c r="AC10" s="50">
        <f t="shared" si="5"/>
        <v>0.94339622641509435</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66"/>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6"/>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6"/>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97</v>
      </c>
      <c r="I15" s="381"/>
      <c r="J15" s="380">
        <f>SUMIF(76:76,I16,77:77)-SUMIF(76:76,C16,77:77)+100</f>
        <v>97</v>
      </c>
      <c r="K15" s="540">
        <v>3</v>
      </c>
      <c r="L15" s="2492"/>
      <c r="M15" s="2487"/>
      <c r="N15" s="2487"/>
      <c r="O15" s="2487"/>
      <c r="P15" s="3380" t="s">
        <v>1691</v>
      </c>
      <c r="Q15" s="1263" t="str">
        <f t="shared" si="6"/>
        <v>商业繁华度</v>
      </c>
      <c r="R15" s="667" t="s">
        <v>14</v>
      </c>
      <c r="S15" s="668">
        <f t="shared" si="0"/>
        <v>100</v>
      </c>
      <c r="T15" s="667" t="s">
        <v>14</v>
      </c>
      <c r="U15" s="668">
        <f t="shared" si="1"/>
        <v>97</v>
      </c>
      <c r="V15" s="667" t="s">
        <v>14</v>
      </c>
      <c r="W15" s="668">
        <f t="shared" si="2"/>
        <v>97</v>
      </c>
      <c r="X15" s="1265"/>
      <c r="Y15" s="3382" t="s">
        <v>1691</v>
      </c>
      <c r="Z15" s="1264" t="str">
        <f t="shared" si="7"/>
        <v>商业繁华度</v>
      </c>
      <c r="AA15" s="1264">
        <f t="shared" si="3"/>
        <v>1</v>
      </c>
      <c r="AB15" s="1264">
        <f t="shared" si="4"/>
        <v>1.0309278350515463</v>
      </c>
      <c r="AC15" s="1264">
        <f t="shared" si="5"/>
        <v>1.0309278350515463</v>
      </c>
    </row>
    <row r="16" spans="1:29" ht="15">
      <c r="A16" s="367"/>
      <c r="B16" s="385"/>
      <c r="C16" s="386" t="s">
        <v>3400</v>
      </c>
      <c r="D16" s="387"/>
      <c r="E16" s="386" t="s">
        <v>3400</v>
      </c>
      <c r="F16" s="388"/>
      <c r="G16" s="386" t="s">
        <v>3407</v>
      </c>
      <c r="H16" s="389"/>
      <c r="I16" s="386" t="s">
        <v>3407</v>
      </c>
      <c r="J16" s="387"/>
      <c r="K16" s="541"/>
      <c r="L16" s="2492"/>
      <c r="M16" s="2487"/>
      <c r="N16" s="2487"/>
      <c r="O16" s="2487"/>
      <c r="P16" s="3381"/>
      <c r="Q16" s="1263"/>
      <c r="R16" s="667"/>
      <c r="S16" s="668"/>
      <c r="T16" s="667"/>
      <c r="U16" s="668"/>
      <c r="V16" s="667"/>
      <c r="W16" s="668"/>
      <c r="X16" s="1265"/>
      <c r="Y16" s="3383"/>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98</v>
      </c>
      <c r="I17" s="391"/>
      <c r="J17" s="394">
        <f>SUMIF(78:78,I18,79:79)-SUMIF(78:78,C18,79:79)+100</f>
        <v>100</v>
      </c>
      <c r="K17" s="540">
        <v>2</v>
      </c>
      <c r="L17" s="2492"/>
      <c r="M17" s="2487"/>
      <c r="N17" s="2487"/>
      <c r="O17" s="2487"/>
      <c r="P17" s="3381"/>
      <c r="Q17" s="1263" t="str">
        <f>B17</f>
        <v>交通便捷度</v>
      </c>
      <c r="R17" s="667" t="s">
        <v>14</v>
      </c>
      <c r="S17" s="668">
        <f>F17</f>
        <v>100</v>
      </c>
      <c r="T17" s="667" t="s">
        <v>14</v>
      </c>
      <c r="U17" s="668">
        <f>H17</f>
        <v>98</v>
      </c>
      <c r="V17" s="667" t="s">
        <v>14</v>
      </c>
      <c r="W17" s="668">
        <f>J17</f>
        <v>100</v>
      </c>
      <c r="X17" s="1265"/>
      <c r="Y17" s="3383"/>
      <c r="Z17" s="1264" t="str">
        <f>Q17</f>
        <v>交通便捷度</v>
      </c>
      <c r="AA17" s="1264">
        <f t="shared" si="3"/>
        <v>1</v>
      </c>
      <c r="AB17" s="1264">
        <f t="shared" si="4"/>
        <v>1.0204081632653061</v>
      </c>
      <c r="AC17" s="1264">
        <f t="shared" si="5"/>
        <v>1</v>
      </c>
    </row>
    <row r="18" spans="1:29" ht="15">
      <c r="A18" s="367"/>
      <c r="B18" s="395"/>
      <c r="C18" s="1754" t="s">
        <v>3400</v>
      </c>
      <c r="D18" s="389"/>
      <c r="E18" s="1756" t="s">
        <v>3400</v>
      </c>
      <c r="F18" s="392"/>
      <c r="G18" s="1755" t="s">
        <v>3407</v>
      </c>
      <c r="H18" s="387"/>
      <c r="I18" s="1756" t="s">
        <v>3400</v>
      </c>
      <c r="J18" s="387"/>
      <c r="K18" s="541"/>
      <c r="L18" s="2492"/>
      <c r="M18" s="2487"/>
      <c r="N18" s="2487"/>
      <c r="O18" s="2487"/>
      <c r="P18" s="3381"/>
      <c r="Q18" s="1263"/>
      <c r="R18" s="667"/>
      <c r="S18" s="668"/>
      <c r="T18" s="667"/>
      <c r="U18" s="668"/>
      <c r="V18" s="667"/>
      <c r="W18" s="668"/>
      <c r="X18" s="1265"/>
      <c r="Y18" s="3383"/>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1"/>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t="s">
        <v>3400</v>
      </c>
      <c r="D20" s="387"/>
      <c r="E20" s="1751" t="s">
        <v>3400</v>
      </c>
      <c r="F20" s="388"/>
      <c r="G20" s="1750" t="s">
        <v>3400</v>
      </c>
      <c r="H20" s="387"/>
      <c r="I20" s="1751" t="s">
        <v>3400</v>
      </c>
      <c r="J20" s="387"/>
      <c r="K20" s="541"/>
      <c r="L20" s="2492"/>
      <c r="M20" s="2487"/>
      <c r="N20" s="2487"/>
      <c r="O20" s="2487"/>
      <c r="P20" s="3381"/>
      <c r="Q20" s="1263"/>
      <c r="R20" s="667"/>
      <c r="S20" s="668"/>
      <c r="T20" s="667"/>
      <c r="U20" s="668"/>
      <c r="V20" s="667"/>
      <c r="W20" s="668"/>
      <c r="X20" s="1265"/>
      <c r="Y20" s="3383"/>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4" t="s">
        <v>3401</v>
      </c>
      <c r="D22" s="387"/>
      <c r="E22" s="386" t="s">
        <v>3401</v>
      </c>
      <c r="F22" s="388"/>
      <c r="G22" s="386" t="s">
        <v>3401</v>
      </c>
      <c r="H22" s="387"/>
      <c r="I22" s="386" t="s">
        <v>3401</v>
      </c>
      <c r="J22" s="387"/>
      <c r="K22" s="1064"/>
      <c r="L22" s="2492"/>
      <c r="M22" s="2487"/>
      <c r="N22" s="2487"/>
      <c r="O22" s="2487"/>
      <c r="P22" s="3381"/>
      <c r="Q22" s="1263"/>
      <c r="R22" s="667"/>
      <c r="S22" s="668"/>
      <c r="T22" s="667"/>
      <c r="U22" s="668"/>
      <c r="V22" s="667"/>
      <c r="W22" s="668"/>
      <c r="X22" s="1265"/>
      <c r="Y22" s="3383"/>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1"/>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t="s">
        <v>3400</v>
      </c>
      <c r="D24" s="387"/>
      <c r="E24" s="1751" t="s">
        <v>3400</v>
      </c>
      <c r="F24" s="388"/>
      <c r="G24" s="1750" t="s">
        <v>3400</v>
      </c>
      <c r="H24" s="387"/>
      <c r="I24" s="1751" t="s">
        <v>3400</v>
      </c>
      <c r="J24" s="387"/>
      <c r="K24" s="541"/>
      <c r="L24" s="2492"/>
      <c r="M24" s="2487"/>
      <c r="N24" s="2487"/>
      <c r="O24" s="2487"/>
      <c r="P24" s="3381"/>
      <c r="Q24" s="1263"/>
      <c r="R24" s="667"/>
      <c r="S24" s="668"/>
      <c r="T24" s="667"/>
      <c r="U24" s="668"/>
      <c r="V24" s="667"/>
      <c r="W24" s="668"/>
      <c r="X24" s="1265"/>
      <c r="Y24" s="3383"/>
      <c r="Z24" s="1264"/>
      <c r="AA24" s="1264">
        <v>1</v>
      </c>
      <c r="AB24" s="1264">
        <v>1</v>
      </c>
      <c r="AC24" s="1264">
        <v>1</v>
      </c>
    </row>
    <row r="25" spans="1:29" ht="15">
      <c r="A25" s="367"/>
      <c r="B25" s="364" t="s">
        <v>1780</v>
      </c>
      <c r="C25" s="542" t="s">
        <v>3402</v>
      </c>
      <c r="D25" s="374">
        <v>100</v>
      </c>
      <c r="E25" s="542" t="s">
        <v>3402</v>
      </c>
      <c r="F25" s="400">
        <f>SUMIF(86:86,E25,87:87)-SUMIF(86:86,C25,87:87)+100</f>
        <v>100</v>
      </c>
      <c r="G25" s="542" t="s">
        <v>3402</v>
      </c>
      <c r="H25" s="374">
        <f>SUMIF(86:86,G25,87:87)-SUMIF(86:86,C25,87:87)+100</f>
        <v>100</v>
      </c>
      <c r="I25" s="542" t="s">
        <v>3409</v>
      </c>
      <c r="J25" s="374">
        <f>SUMIF(86:86,I25,87:87)-SUMIF(86:86,C25,87:87)+100</f>
        <v>105</v>
      </c>
      <c r="K25" s="538">
        <v>5</v>
      </c>
      <c r="L25" s="2492"/>
      <c r="M25" s="2487"/>
      <c r="N25" s="2487"/>
      <c r="O25" s="2487"/>
      <c r="P25" s="3381"/>
      <c r="Q25" s="1263" t="str">
        <f t="shared" ref="Q25:Q46" si="11">B25</f>
        <v>临街状况</v>
      </c>
      <c r="R25" s="667" t="s">
        <v>14</v>
      </c>
      <c r="S25" s="668">
        <f>F25</f>
        <v>100</v>
      </c>
      <c r="T25" s="667" t="s">
        <v>14</v>
      </c>
      <c r="U25" s="668">
        <f>H25</f>
        <v>100</v>
      </c>
      <c r="V25" s="667" t="s">
        <v>14</v>
      </c>
      <c r="W25" s="668">
        <f>J25</f>
        <v>105</v>
      </c>
      <c r="X25" s="1265"/>
      <c r="Y25" s="3383"/>
      <c r="Z25" s="1264" t="str">
        <f>Q25</f>
        <v>临街状况</v>
      </c>
      <c r="AA25" s="1264">
        <f t="shared" si="3"/>
        <v>1</v>
      </c>
      <c r="AB25" s="1264">
        <f t="shared" si="4"/>
        <v>1</v>
      </c>
      <c r="AC25" s="1264">
        <f t="shared" si="5"/>
        <v>0.95238095238095233</v>
      </c>
    </row>
    <row r="26" spans="1:29" ht="15">
      <c r="A26" s="367"/>
      <c r="B26" s="1066" t="s">
        <v>1781</v>
      </c>
      <c r="C26" s="373" t="s">
        <v>3400</v>
      </c>
      <c r="D26" s="374">
        <v>100</v>
      </c>
      <c r="E26" s="373" t="s">
        <v>3400</v>
      </c>
      <c r="F26" s="400">
        <f>SUMIF(88:88,E26,89:89)-SUMIF(88:88,C26,89:89)+100</f>
        <v>100</v>
      </c>
      <c r="G26" s="373" t="s">
        <v>3400</v>
      </c>
      <c r="H26" s="374">
        <f>SUMIF(88:88,G26,89:89)-SUMIF(88:88,C26,89:89)+100</f>
        <v>100</v>
      </c>
      <c r="I26" s="373" t="s">
        <v>3400</v>
      </c>
      <c r="J26" s="374">
        <f>SUMIF(88:88,I26,89:89)-SUMIF(88:88,C26,89:89)+100</f>
        <v>100</v>
      </c>
      <c r="K26" s="539"/>
      <c r="L26" s="2492"/>
      <c r="M26" s="2487"/>
      <c r="N26" s="2487"/>
      <c r="O26" s="2487"/>
      <c r="P26" s="3381"/>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6" t="s">
        <v>3403</v>
      </c>
      <c r="D27" s="401">
        <v>100</v>
      </c>
      <c r="E27" s="1806" t="s">
        <v>3403</v>
      </c>
      <c r="F27" s="395">
        <f>SUMIF(90:90,E27,91:91)-SUMIF(90:90,C27,91:91)+100</f>
        <v>100</v>
      </c>
      <c r="G27" s="1806" t="s">
        <v>3407</v>
      </c>
      <c r="H27" s="401">
        <f>SUMIF(90:90,G27,91:91)-SUMIF(90:90,C27,91:91)+100</f>
        <v>98</v>
      </c>
      <c r="I27" s="1806" t="s">
        <v>3407</v>
      </c>
      <c r="J27" s="401">
        <f>SUMIF(90:90,I27,91:91)-SUMIF(90:90,C27,91:91)+100</f>
        <v>98</v>
      </c>
      <c r="K27" s="538">
        <v>2</v>
      </c>
      <c r="L27" s="2488"/>
      <c r="M27" s="2439"/>
      <c r="N27" s="2439"/>
      <c r="O27" s="2439"/>
      <c r="P27" s="3381"/>
      <c r="Q27" s="530" t="str">
        <f t="shared" si="11"/>
        <v>人流量</v>
      </c>
      <c r="R27" s="664" t="s">
        <v>14</v>
      </c>
      <c r="S27" s="665">
        <f>F27</f>
        <v>100</v>
      </c>
      <c r="T27" s="664" t="s">
        <v>14</v>
      </c>
      <c r="U27" s="665">
        <f>H27</f>
        <v>98</v>
      </c>
      <c r="V27" s="664" t="s">
        <v>14</v>
      </c>
      <c r="W27" s="665">
        <f>J27</f>
        <v>98</v>
      </c>
      <c r="X27" s="666"/>
      <c r="Y27" s="3383"/>
      <c r="Z27" s="50" t="str">
        <f>Q27</f>
        <v>人流量</v>
      </c>
      <c r="AA27" s="1264">
        <f>D27/F27</f>
        <v>1</v>
      </c>
      <c r="AB27" s="1264">
        <f>D27/H27</f>
        <v>1.0204081632653061</v>
      </c>
      <c r="AC27" s="1264">
        <f>D27/J27</f>
        <v>1.0204081632653061</v>
      </c>
    </row>
    <row r="28" spans="1:29" ht="15.75" thickBot="1">
      <c r="A28" s="367"/>
      <c r="B28" s="364" t="s">
        <v>1783</v>
      </c>
      <c r="C28" s="542" t="s">
        <v>3404</v>
      </c>
      <c r="D28" s="374">
        <v>100</v>
      </c>
      <c r="E28" s="542" t="s">
        <v>3404</v>
      </c>
      <c r="F28" s="400">
        <f>SUMIF(92:92,E28,93:93)-SUMIF(92:92,C28,93:93)+100</f>
        <v>100</v>
      </c>
      <c r="G28" s="542" t="s">
        <v>3404</v>
      </c>
      <c r="H28" s="374">
        <f>SUMIF(92:92,G28,93:93)-SUMIF(92:92,C28,93:93)+100</f>
        <v>100</v>
      </c>
      <c r="I28" s="542" t="s">
        <v>3404</v>
      </c>
      <c r="J28" s="374">
        <f>SUMIF(92:92,I28,93:93)-SUMIF(92:92,C28,93:93)+100</f>
        <v>100</v>
      </c>
      <c r="K28" s="539"/>
      <c r="L28" s="2492"/>
      <c r="M28" s="2487"/>
      <c r="N28" s="2487"/>
      <c r="O28" s="2487"/>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hidden="1">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1"/>
      <c r="Q29" s="1263">
        <f t="shared" si="11"/>
        <v>0</v>
      </c>
      <c r="R29" s="667" t="s">
        <v>14</v>
      </c>
      <c r="S29" s="668">
        <f t="shared" si="12"/>
        <v>100</v>
      </c>
      <c r="T29" s="667" t="s">
        <v>14</v>
      </c>
      <c r="U29" s="668">
        <f t="shared" si="13"/>
        <v>100</v>
      </c>
      <c r="V29" s="667" t="s">
        <v>14</v>
      </c>
      <c r="W29" s="668">
        <f t="shared" si="14"/>
        <v>100</v>
      </c>
      <c r="X29" s="1265"/>
      <c r="Y29" s="3383"/>
      <c r="Z29" s="1264">
        <f t="shared" si="15"/>
        <v>0</v>
      </c>
      <c r="AA29" s="1264">
        <f t="shared" si="3"/>
        <v>1</v>
      </c>
      <c r="AB29" s="1264">
        <f t="shared" si="4"/>
        <v>1</v>
      </c>
      <c r="AC29" s="1264">
        <f t="shared" si="5"/>
        <v>1</v>
      </c>
    </row>
    <row r="30" spans="1:29" ht="15" hidden="1">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1"/>
      <c r="Q30" s="1263">
        <f t="shared" si="11"/>
        <v>0</v>
      </c>
      <c r="R30" s="667" t="s">
        <v>14</v>
      </c>
      <c r="S30" s="668">
        <f t="shared" si="12"/>
        <v>100</v>
      </c>
      <c r="T30" s="667" t="s">
        <v>14</v>
      </c>
      <c r="U30" s="668">
        <f t="shared" si="13"/>
        <v>100</v>
      </c>
      <c r="V30" s="667" t="s">
        <v>14</v>
      </c>
      <c r="W30" s="668">
        <f t="shared" si="14"/>
        <v>100</v>
      </c>
      <c r="X30" s="1265"/>
      <c r="Y30" s="3383"/>
      <c r="Z30" s="1264">
        <f t="shared" si="15"/>
        <v>0</v>
      </c>
      <c r="AA30" s="1264">
        <f t="shared" si="3"/>
        <v>1</v>
      </c>
      <c r="AB30" s="1264">
        <f t="shared" si="4"/>
        <v>1</v>
      </c>
      <c r="AC30" s="1264">
        <f t="shared" si="5"/>
        <v>1</v>
      </c>
    </row>
    <row r="31" spans="1:29" ht="15.75" hidden="1"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1"/>
      <c r="Q31" s="1263">
        <f t="shared" si="11"/>
        <v>0</v>
      </c>
      <c r="R31" s="667" t="s">
        <v>14</v>
      </c>
      <c r="S31" s="668">
        <f t="shared" si="12"/>
        <v>100</v>
      </c>
      <c r="T31" s="667" t="s">
        <v>14</v>
      </c>
      <c r="U31" s="668">
        <f t="shared" si="13"/>
        <v>100</v>
      </c>
      <c r="V31" s="667" t="s">
        <v>14</v>
      </c>
      <c r="W31" s="668">
        <f t="shared" si="14"/>
        <v>100</v>
      </c>
      <c r="X31" s="1265"/>
      <c r="Y31" s="3383"/>
      <c r="Z31" s="1264">
        <f t="shared" si="15"/>
        <v>0</v>
      </c>
      <c r="AA31" s="1264">
        <f t="shared" si="3"/>
        <v>1</v>
      </c>
      <c r="AB31" s="1264">
        <f t="shared" si="4"/>
        <v>1</v>
      </c>
      <c r="AC31" s="1264">
        <f t="shared" si="5"/>
        <v>1</v>
      </c>
    </row>
    <row r="32" spans="1:29" ht="15">
      <c r="A32" s="379" t="s">
        <v>1694</v>
      </c>
      <c r="B32" s="60" t="s">
        <v>1784</v>
      </c>
      <c r="C32" s="1763" t="s">
        <v>3408</v>
      </c>
      <c r="D32" s="405">
        <v>100</v>
      </c>
      <c r="E32" s="1763" t="s">
        <v>3408</v>
      </c>
      <c r="F32" s="400">
        <f>SUMIF(100:100,E32,101:101)-SUMIF(100:100,C32,101:101)+100</f>
        <v>100</v>
      </c>
      <c r="G32" s="1763" t="s">
        <v>3408</v>
      </c>
      <c r="H32" s="374">
        <f>SUMIF(100:100,G32,101:101)-SUMIF(100:100,C32,101:101)+100</f>
        <v>100</v>
      </c>
      <c r="I32" s="1763" t="s">
        <v>3408</v>
      </c>
      <c r="J32" s="405">
        <f>SUMIF(100:100,I32,101:101)-SUMIF(100:100,C32,101:101)+100</f>
        <v>100</v>
      </c>
      <c r="K32" s="538">
        <v>5</v>
      </c>
      <c r="L32" s="2492"/>
      <c r="M32" s="2487"/>
      <c r="N32" s="2487"/>
      <c r="O32" s="2487"/>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f>'数据-汇总表'!E3</f>
        <v>75.680000000000007</v>
      </c>
      <c r="D33" s="119">
        <v>100</v>
      </c>
      <c r="E33" s="369">
        <v>84</v>
      </c>
      <c r="F33" s="364">
        <f>LOOKUP(E33,103:103,104:104)-LOOKUP(C33,103:103,104:104)+100</f>
        <v>100</v>
      </c>
      <c r="G33" s="368">
        <v>65.349999999999994</v>
      </c>
      <c r="H33" s="119">
        <f>LOOKUP(G33,103:103,104:104)-LOOKUP(C33,103:103,104:104)+100</f>
        <v>100</v>
      </c>
      <c r="I33" s="368">
        <v>190.52</v>
      </c>
      <c r="J33" s="119">
        <f>LOOKUP(I33,103:103,104:104)-LOOKUP(C33,103:103,104:104)+100</f>
        <v>99</v>
      </c>
      <c r="K33" s="539"/>
      <c r="L33" s="2491"/>
      <c r="M33" s="2493"/>
      <c r="N33" s="2493"/>
      <c r="O33" s="2493"/>
      <c r="P33" s="3385"/>
      <c r="Q33" s="531" t="str">
        <f t="shared" si="11"/>
        <v>项目建筑规模</v>
      </c>
      <c r="R33" s="669" t="s">
        <v>14</v>
      </c>
      <c r="S33" s="670">
        <f t="shared" si="12"/>
        <v>100</v>
      </c>
      <c r="T33" s="669" t="s">
        <v>14</v>
      </c>
      <c r="U33" s="670">
        <f t="shared" si="13"/>
        <v>100</v>
      </c>
      <c r="V33" s="669" t="s">
        <v>14</v>
      </c>
      <c r="W33" s="670">
        <f t="shared" si="14"/>
        <v>99</v>
      </c>
      <c r="X33" s="671"/>
      <c r="Y33" s="3387"/>
      <c r="Z33" s="672" t="str">
        <f t="shared" si="15"/>
        <v>项目建筑规模</v>
      </c>
      <c r="AA33" s="1264">
        <f t="shared" si="3"/>
        <v>1</v>
      </c>
      <c r="AB33" s="1264">
        <f t="shared" si="4"/>
        <v>1</v>
      </c>
      <c r="AC33" s="1264">
        <f t="shared" si="5"/>
        <v>1.0101010101010102</v>
      </c>
    </row>
    <row r="34" spans="1:29" ht="15">
      <c r="A34" s="409"/>
      <c r="B34" s="364" t="s">
        <v>1698</v>
      </c>
      <c r="C34" s="399" t="s">
        <v>3405</v>
      </c>
      <c r="D34" s="374">
        <v>100</v>
      </c>
      <c r="E34" s="399" t="s">
        <v>3405</v>
      </c>
      <c r="F34" s="400">
        <f>SUMIF(105:105,E34,106:106)-SUMIF(105:105,C34,106:106)+100</f>
        <v>100</v>
      </c>
      <c r="G34" s="399" t="s">
        <v>3405</v>
      </c>
      <c r="H34" s="374">
        <f>SUMIF(105:105,G34,106:106)-SUMIF(105:105,C34,106:106)+100</f>
        <v>100</v>
      </c>
      <c r="I34" s="399" t="s">
        <v>3405</v>
      </c>
      <c r="J34" s="374">
        <f>SUMIF(105:105,I34,106:106)-SUMIF(105:105,C34,106:106)+100</f>
        <v>100</v>
      </c>
      <c r="K34" s="538">
        <v>1</v>
      </c>
      <c r="L34" s="2492"/>
      <c r="M34" s="2487"/>
      <c r="N34" s="2487"/>
      <c r="O34" s="2487"/>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hidden="1">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0.7</v>
      </c>
      <c r="F36" s="400">
        <f>LOOKUP(E36,110:110,111:111)-LOOKUP(C36,110:110,111:111)+100</f>
        <v>101</v>
      </c>
      <c r="G36" s="411">
        <v>0.8</v>
      </c>
      <c r="H36" s="400">
        <f>LOOKUP(G36,110:110,111:111)-LOOKUP(C36,110:110,111:111)+100</f>
        <v>102</v>
      </c>
      <c r="I36" s="411">
        <v>0.8</v>
      </c>
      <c r="J36" s="374">
        <f>LOOKUP(I36,110:110,111:111)-LOOKUP(C36,110:110,111:111)+100</f>
        <v>102</v>
      </c>
      <c r="K36" s="538">
        <v>1</v>
      </c>
      <c r="L36" s="2492"/>
      <c r="M36" s="2487"/>
      <c r="N36" s="2487"/>
      <c r="O36" s="2487"/>
      <c r="P36" s="3385"/>
      <c r="Q36" s="1263" t="str">
        <f t="shared" si="11"/>
        <v>成新度</v>
      </c>
      <c r="R36" s="667" t="s">
        <v>14</v>
      </c>
      <c r="S36" s="668">
        <f t="shared" si="12"/>
        <v>101</v>
      </c>
      <c r="T36" s="667" t="s">
        <v>14</v>
      </c>
      <c r="U36" s="668">
        <f t="shared" si="13"/>
        <v>102</v>
      </c>
      <c r="V36" s="667" t="s">
        <v>14</v>
      </c>
      <c r="W36" s="668">
        <f t="shared" si="14"/>
        <v>102</v>
      </c>
      <c r="X36" s="1265"/>
      <c r="Y36" s="3387"/>
      <c r="Z36" s="1264" t="str">
        <f t="shared" si="15"/>
        <v>成新度</v>
      </c>
      <c r="AA36" s="1264">
        <f t="shared" si="3"/>
        <v>0.99009900990099009</v>
      </c>
      <c r="AB36" s="1264">
        <f t="shared" si="4"/>
        <v>0.98039215686274506</v>
      </c>
      <c r="AC36" s="1264">
        <f t="shared" si="5"/>
        <v>0.98039215686274506</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v>3</v>
      </c>
      <c r="L38" s="2492"/>
      <c r="M38" s="2487"/>
      <c r="N38" s="2487"/>
      <c r="O38" s="2487"/>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59" t="s">
        <v>3430</v>
      </c>
      <c r="D39" s="374">
        <v>100</v>
      </c>
      <c r="E39" s="1759" t="s">
        <v>3430</v>
      </c>
      <c r="F39" s="400">
        <f>SUMIF(116:116,E39,117:117)-SUMIF(116:116,C39,117:117)+100</f>
        <v>100</v>
      </c>
      <c r="G39" s="1759" t="s">
        <v>3430</v>
      </c>
      <c r="H39" s="374">
        <f>SUMIF(116:116,G39,117:117)-SUMIF(116:116,C39,117:117)+100</f>
        <v>100</v>
      </c>
      <c r="I39" s="1759" t="s">
        <v>3432</v>
      </c>
      <c r="J39" s="374">
        <f>SUMIF(116:116,I39,117:117)-SUMIF(116:116,C39,117:117)+100</f>
        <v>103</v>
      </c>
      <c r="K39" s="538">
        <v>3</v>
      </c>
      <c r="L39" s="2492"/>
      <c r="M39" s="2487"/>
      <c r="N39" s="2487"/>
      <c r="O39" s="2487"/>
      <c r="P39" s="3385"/>
      <c r="Q39" s="1263" t="str">
        <f t="shared" si="11"/>
        <v>层高</v>
      </c>
      <c r="R39" s="667" t="s">
        <v>14</v>
      </c>
      <c r="S39" s="668">
        <f t="shared" si="12"/>
        <v>100</v>
      </c>
      <c r="T39" s="667" t="s">
        <v>14</v>
      </c>
      <c r="U39" s="668">
        <f t="shared" si="13"/>
        <v>100</v>
      </c>
      <c r="V39" s="667" t="s">
        <v>14</v>
      </c>
      <c r="W39" s="668">
        <f t="shared" si="14"/>
        <v>103</v>
      </c>
      <c r="X39" s="1265"/>
      <c r="Y39" s="3387"/>
      <c r="Z39" s="1264" t="str">
        <f t="shared" si="15"/>
        <v>层高</v>
      </c>
      <c r="AA39" s="1264">
        <f t="shared" si="3"/>
        <v>1</v>
      </c>
      <c r="AB39" s="1264">
        <f t="shared" si="4"/>
        <v>1</v>
      </c>
      <c r="AC39" s="1264">
        <f t="shared" si="5"/>
        <v>0.970873786407767</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59" t="s">
        <v>3438</v>
      </c>
      <c r="D42" s="374">
        <v>100</v>
      </c>
      <c r="E42" s="1759" t="s">
        <v>3406</v>
      </c>
      <c r="F42" s="400">
        <f>SUMIF(122:122,E42,123:123)-SUMIF(122:122,C42,123:123)+100</f>
        <v>98</v>
      </c>
      <c r="G42" s="1759" t="s">
        <v>3406</v>
      </c>
      <c r="H42" s="374">
        <f>SUMIF(122:122,G42,123:123)-SUMIF(122:122,C42,123:123)+100</f>
        <v>98</v>
      </c>
      <c r="I42" s="1759" t="s">
        <v>3406</v>
      </c>
      <c r="J42" s="374">
        <f>SUMIF(122:122,I42,123:123)-SUMIF(122:122,C42,123:123)+100</f>
        <v>98</v>
      </c>
      <c r="K42" s="538">
        <v>2</v>
      </c>
      <c r="L42" s="2492"/>
      <c r="M42" s="2487"/>
      <c r="N42" s="2487"/>
      <c r="O42" s="2487"/>
      <c r="P42" s="3385"/>
      <c r="Q42" s="1263" t="str">
        <f t="shared" si="11"/>
        <v>内部装修</v>
      </c>
      <c r="R42" s="667" t="s">
        <v>14</v>
      </c>
      <c r="S42" s="668">
        <f t="shared" si="12"/>
        <v>98</v>
      </c>
      <c r="T42" s="667" t="s">
        <v>14</v>
      </c>
      <c r="U42" s="668">
        <f t="shared" si="13"/>
        <v>98</v>
      </c>
      <c r="V42" s="667" t="s">
        <v>14</v>
      </c>
      <c r="W42" s="668">
        <f t="shared" si="14"/>
        <v>98</v>
      </c>
      <c r="X42" s="1265"/>
      <c r="Y42" s="3387"/>
      <c r="Z42" s="1264" t="str">
        <f t="shared" si="15"/>
        <v>内部装修</v>
      </c>
      <c r="AA42" s="1264">
        <f t="shared" si="3"/>
        <v>1.0204081632653061</v>
      </c>
      <c r="AB42" s="1264">
        <f t="shared" si="4"/>
        <v>1.0204081632653061</v>
      </c>
      <c r="AC42" s="1264">
        <f t="shared" si="5"/>
        <v>1.0204081632653061</v>
      </c>
    </row>
    <row r="43" spans="1:29" ht="15.75" thickBot="1">
      <c r="A43" s="409"/>
      <c r="B43" s="364" t="s">
        <v>1707</v>
      </c>
      <c r="C43" s="1759" t="s">
        <v>3400</v>
      </c>
      <c r="D43" s="374">
        <v>100</v>
      </c>
      <c r="E43" s="1759" t="s">
        <v>3400</v>
      </c>
      <c r="F43" s="400">
        <f>SUMIF(124:124,E43,125:125)-SUMIF(124:124,C43,125:125)+100</f>
        <v>100</v>
      </c>
      <c r="G43" s="1759" t="s">
        <v>3400</v>
      </c>
      <c r="H43" s="374">
        <f>SUMIF(124:124,G43,125:125)-SUMIF(124:124,C43,125:125)+100</f>
        <v>100</v>
      </c>
      <c r="I43" s="1759" t="s">
        <v>3400</v>
      </c>
      <c r="J43" s="374">
        <f>SUMIF(124:124,I43,125:125)-SUMIF(124:124,C43,125:125)+100</f>
        <v>100</v>
      </c>
      <c r="K43" s="538">
        <v>1</v>
      </c>
      <c r="L43" s="2492"/>
      <c r="M43" s="2487"/>
      <c r="N43" s="2487"/>
      <c r="O43" s="2487"/>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5">
      <c r="A47" s="416" t="s">
        <v>1708</v>
      </c>
      <c r="B47" s="417"/>
      <c r="C47" s="1081" t="s">
        <v>0</v>
      </c>
      <c r="D47" s="418"/>
      <c r="E47" s="419">
        <v>35715</v>
      </c>
      <c r="F47" s="420"/>
      <c r="G47" s="421">
        <v>30605</v>
      </c>
      <c r="H47" s="422"/>
      <c r="I47" s="419">
        <v>35692</v>
      </c>
      <c r="J47" s="422"/>
      <c r="K47" s="674"/>
      <c r="L47" s="2494"/>
      <c r="M47" s="2487"/>
      <c r="N47" s="2487"/>
      <c r="O47" s="2487"/>
      <c r="P47" s="3389" t="str">
        <f>A47</f>
        <v>成交单价（元/平方米）</v>
      </c>
      <c r="Q47" s="3389"/>
      <c r="R47" s="3350">
        <f>E47</f>
        <v>35715</v>
      </c>
      <c r="S47" s="3350"/>
      <c r="T47" s="3350">
        <f>G47</f>
        <v>30605</v>
      </c>
      <c r="U47" s="3350"/>
      <c r="V47" s="3350">
        <f>I47</f>
        <v>35692</v>
      </c>
      <c r="W47" s="3350"/>
      <c r="X47" s="385"/>
      <c r="Y47" s="673"/>
      <c r="Z47" s="385"/>
      <c r="AA47" s="385"/>
      <c r="AB47" s="385"/>
      <c r="AC47" s="385"/>
    </row>
    <row r="48" spans="1:29" ht="15.75" thickBot="1">
      <c r="A48" s="423" t="s">
        <v>1793</v>
      </c>
      <c r="B48" s="424"/>
      <c r="C48" s="1082">
        <f>R49</f>
        <v>31805</v>
      </c>
      <c r="D48" s="2140" t="s">
        <v>2138</v>
      </c>
      <c r="E48" s="1083">
        <f>R48</f>
        <v>34365</v>
      </c>
      <c r="F48" s="2141"/>
      <c r="G48" s="1082">
        <f>T48</f>
        <v>29529</v>
      </c>
      <c r="H48" s="2141"/>
      <c r="I48" s="1083">
        <f>V48</f>
        <v>31520</v>
      </c>
      <c r="J48" s="2141"/>
      <c r="K48" s="2143">
        <f>F48+H48+J48</f>
        <v>0</v>
      </c>
      <c r="L48" s="2494"/>
      <c r="M48" s="2487"/>
      <c r="N48" s="2487"/>
      <c r="O48" s="2487"/>
      <c r="P48" s="3389" t="str">
        <f>A48</f>
        <v>比较价值（元/平方米）</v>
      </c>
      <c r="Q48" s="3389"/>
      <c r="R48" s="3350">
        <f>IF(F1="售价",ROUND(PRODUCT(R47,AA7:AA46),0),ROUND(PRODUCT(R47,AA7:AA46),1))</f>
        <v>34365</v>
      </c>
      <c r="S48" s="3350"/>
      <c r="T48" s="3350">
        <f>IF(F1="售价",ROUND(PRODUCT(T47,AB7:AB46),0),ROUND(PRODUCT(T47,AB7:AB46),1))</f>
        <v>29529</v>
      </c>
      <c r="U48" s="3350"/>
      <c r="V48" s="3350">
        <f>IF(F1="售价",ROUND(PRODUCT(V47,AC7:AC46),0),ROUND(PRODUCT(V47,AC7:AC46),1))</f>
        <v>31520</v>
      </c>
      <c r="W48" s="3350"/>
      <c r="X48" s="385"/>
      <c r="Y48" s="385"/>
      <c r="Z48" s="385"/>
      <c r="AA48" s="385"/>
      <c r="AB48" s="385"/>
      <c r="AC48" s="385"/>
    </row>
    <row r="49" spans="1:29" ht="15.75" thickBot="1">
      <c r="A49" s="427" t="s">
        <v>1794</v>
      </c>
      <c r="B49" s="428"/>
      <c r="C49" s="351">
        <f>R49</f>
        <v>31805</v>
      </c>
      <c r="D49" s="351"/>
      <c r="E49" s="351"/>
      <c r="F49" s="351"/>
      <c r="G49" s="351"/>
      <c r="H49" s="351"/>
      <c r="I49" s="351"/>
      <c r="J49" s="351"/>
      <c r="K49" s="675"/>
      <c r="L49" s="2494"/>
      <c r="M49" s="2487"/>
      <c r="N49" s="2487"/>
      <c r="O49" s="2487"/>
      <c r="P49" s="3390" t="str">
        <f>A49</f>
        <v>估价对象XX用房的比较价值（楼面单价，元/平方米）</v>
      </c>
      <c r="Q49" s="3391"/>
      <c r="R49" s="3392">
        <f>IF(F1="售价",ROUND(IF(D48="简单平均",AVERAGE(R48:V48),R48*F48+T48*H48+V48*J48),0),ROUND(IF(D48="简单平均",AVERAGE(R48:V48),R48*F48+T48*H48+V48*J48),1))</f>
        <v>31805</v>
      </c>
      <c r="S49" s="3392"/>
      <c r="T49" s="3392"/>
      <c r="U49" s="3392"/>
      <c r="V49" s="3392"/>
      <c r="W49" s="3392"/>
      <c r="X49" s="385"/>
      <c r="Y49" s="385"/>
      <c r="Z49" s="385"/>
      <c r="AA49" s="385"/>
      <c r="AB49" s="385"/>
      <c r="AC49" s="385"/>
    </row>
    <row r="50" spans="1:29">
      <c r="A50" s="2487"/>
      <c r="B50" s="2487"/>
      <c r="C50" s="2487"/>
      <c r="D50" s="2487"/>
      <c r="E50" s="2487">
        <v>2001</v>
      </c>
      <c r="F50" s="2487"/>
      <c r="G50" s="2487">
        <v>2013</v>
      </c>
      <c r="H50" s="2487"/>
      <c r="I50" s="2487">
        <v>2014</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v>1999</v>
      </c>
      <c r="F51" s="2487">
        <f>E51+40-2024</f>
        <v>15</v>
      </c>
      <c r="G51" s="2487">
        <v>2009</v>
      </c>
      <c r="H51" s="2487">
        <f>G51+40-2024</f>
        <v>25</v>
      </c>
      <c r="I51" s="2487">
        <v>2012</v>
      </c>
      <c r="J51" s="2487">
        <f>I51+40-2024</f>
        <v>28</v>
      </c>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3.9284155390659103E-2</v>
      </c>
      <c r="F52" s="435" t="str">
        <f>IF(OR(E52&gt;=0.3,E52&lt;=-0.3),"超过30%","")</f>
        <v/>
      </c>
      <c r="G52" s="434">
        <f>IF(G47&lt;G48,G48/G47-1,G47/G48-1)</f>
        <v>3.6438755122083277E-2</v>
      </c>
      <c r="H52" s="435" t="str">
        <f>IF(OR(G52&gt;=0.3,G52&lt;=-0.3),"超过30%","")</f>
        <v/>
      </c>
      <c r="I52" s="434">
        <f>IF(I47&lt;I48,I48/I47-1,I47/I48-1)</f>
        <v>0.13236040609137056</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0.16377120796505129</v>
      </c>
      <c r="F53" s="435" t="str">
        <f>IF(OR(E53&gt;=0.2,E53&lt;=-0.2),"超过20%","")</f>
        <v/>
      </c>
      <c r="G53" s="434">
        <f>IF(G48&lt;I48,I48/G48-1,G48/I48-1)</f>
        <v>6.7425242981475897E-2</v>
      </c>
      <c r="H53" s="435" t="str">
        <f>IF(OR(G53&gt;=0.2,G53&lt;=-0.2),"超过20%","")</f>
        <v/>
      </c>
      <c r="I53" s="434">
        <f>IF(I48&lt;E48,E48/I48-1,I48/E48-1)</f>
        <v>9.0260152284263873E-2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0.16696618199640589</v>
      </c>
      <c r="F54" s="435" t="str">
        <f>IF(OR(E54&gt;=0.3,E54&lt;=-0.3),"超过30%","")</f>
        <v/>
      </c>
      <c r="G54" s="434">
        <f>IF(G47&lt;I47,I47/G47-1,G47/I47-1)</f>
        <v>0.16621467080542396</v>
      </c>
      <c r="H54" s="435" t="str">
        <f>IF(OR(G54&gt;=0.3,G54&lt;=-0.3),"超过30%","")</f>
        <v/>
      </c>
      <c r="I54" s="434">
        <f>IF(I47&lt;E47,E47/I47-1,I47/E47-1)</f>
        <v>6.444021069147432E-4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46" t="s">
        <v>3418</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3451</v>
      </c>
      <c r="D65" s="513" t="s">
        <v>3452</v>
      </c>
      <c r="E65" s="513" t="s">
        <v>3453</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103</v>
      </c>
      <c r="E66" s="467">
        <v>106</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47" t="s">
        <v>3419</v>
      </c>
      <c r="D86" s="3147" t="s">
        <v>3420</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47" t="s">
        <v>3421</v>
      </c>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47" t="s">
        <v>3422</v>
      </c>
      <c r="D90" s="3147" t="s">
        <v>3423</v>
      </c>
      <c r="E90" s="3147" t="s">
        <v>3424</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3425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0</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0</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0</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48" t="s">
        <v>2775</v>
      </c>
      <c r="D100" s="3148" t="s">
        <v>3426</v>
      </c>
      <c r="E100" s="3148" t="s">
        <v>3427</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100(含)-200</v>
      </c>
      <c r="E102" s="509" t="str">
        <f t="shared" si="23"/>
        <v>200(含)-400</v>
      </c>
      <c r="F102" s="509" t="str">
        <f t="shared" si="23"/>
        <v>400(含)-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400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v>97</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3428</v>
      </c>
      <c r="D114" s="3147" t="s">
        <v>3429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3433</v>
      </c>
      <c r="D116" s="3147" t="s">
        <v>3431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3434</v>
      </c>
      <c r="D122" s="3147" t="s">
        <v>3435</v>
      </c>
      <c r="E122" s="3147" t="s">
        <v>3436</v>
      </c>
      <c r="F122" s="3149" t="s">
        <v>3437</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74.448300000000003</v>
      </c>
      <c r="C2" s="1289" t="s">
        <v>879</v>
      </c>
      <c r="D2" s="1375">
        <f ca="1">C40+J29+L46</f>
        <v>744483</v>
      </c>
      <c r="E2" s="1295" t="s">
        <v>880</v>
      </c>
      <c r="F2" s="1296"/>
      <c r="G2" s="2478"/>
      <c r="H2" s="2468"/>
      <c r="I2" s="2468"/>
      <c r="J2" s="2468"/>
      <c r="K2" s="2469"/>
      <c r="L2" s="2468"/>
      <c r="M2" s="2468"/>
    </row>
    <row r="3" spans="1:37" ht="18" customHeight="1" thickBot="1">
      <c r="A3" s="1297" t="s">
        <v>881</v>
      </c>
      <c r="B3" s="1298">
        <f ca="1">IF(ISERROR(D2/F43),0,ROUND(D2/F43,0))</f>
        <v>9837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79654</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79555</v>
      </c>
      <c r="D6" s="147" t="s">
        <v>2106</v>
      </c>
      <c r="E6" s="294" t="s">
        <v>696</v>
      </c>
      <c r="F6" s="295">
        <f ca="1">INDIRECT("'数据-取费表'!u"&amp;$G$1)</f>
        <v>3.2</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75.680000000000007</v>
      </c>
      <c r="G7" s="1292"/>
      <c r="H7" s="296"/>
      <c r="I7" s="3345"/>
      <c r="J7" s="298"/>
      <c r="K7" s="299"/>
      <c r="L7" s="294" t="s">
        <v>697</v>
      </c>
      <c r="M7" s="295">
        <f ca="1">F7</f>
        <v>75.680000000000007</v>
      </c>
    </row>
    <row r="8" spans="1:37" ht="18" customHeight="1">
      <c r="A8" s="296"/>
      <c r="B8" s="3345"/>
      <c r="C8" s="298"/>
      <c r="D8" s="299"/>
      <c r="E8" s="294" t="s">
        <v>698</v>
      </c>
      <c r="F8" s="295">
        <f ca="1">INDIRECT("'数据-取费表'!ai"&amp;$G$1)</f>
        <v>365</v>
      </c>
      <c r="G8" s="1292"/>
      <c r="H8" s="296"/>
      <c r="I8" s="3345"/>
      <c r="J8" s="298"/>
      <c r="K8" s="299"/>
      <c r="L8" s="294" t="s">
        <v>698</v>
      </c>
      <c r="M8" s="295">
        <f ca="1">INDIRECT("'数据-取费表'!ai"&amp;$G$1)</f>
        <v>365</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99</v>
      </c>
      <c r="D10" s="150" t="s">
        <v>2116</v>
      </c>
      <c r="E10" s="305" t="s">
        <v>701</v>
      </c>
      <c r="F10" s="1053" t="s">
        <v>3390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228600</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227040</v>
      </c>
      <c r="D14" s="1257" t="s">
        <v>708</v>
      </c>
      <c r="E14" s="1255"/>
      <c r="F14" s="311"/>
      <c r="G14" s="1292"/>
      <c r="H14" s="928" t="s">
        <v>398</v>
      </c>
      <c r="I14" s="294" t="s">
        <v>709</v>
      </c>
      <c r="J14" s="21">
        <f ca="1">C29</f>
        <v>336177</v>
      </c>
      <c r="K14" s="12"/>
      <c r="L14" s="759"/>
      <c r="M14" s="760"/>
    </row>
    <row r="15" spans="1:37" s="1304" customFormat="1" ht="18" customHeight="1" thickBot="1">
      <c r="A15" s="928" t="s">
        <v>399</v>
      </c>
      <c r="B15" s="294" t="s">
        <v>710</v>
      </c>
      <c r="C15" s="21">
        <f ca="1">ROUND(C14*F15,0)</f>
        <v>11352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672</v>
      </c>
      <c r="K16" s="1024" t="s">
        <v>715</v>
      </c>
      <c r="L16" s="1025"/>
      <c r="M16" s="1009"/>
    </row>
    <row r="17" spans="1:37" s="1304" customFormat="1" ht="18" customHeight="1">
      <c r="A17" s="928" t="s">
        <v>681</v>
      </c>
      <c r="B17" s="294" t="s">
        <v>716</v>
      </c>
      <c r="C17" s="21">
        <f ca="1">ROUND(F17*(F43+INDIRECT("'数据-取费表'!S"&amp;$G$1)),0)</f>
        <v>15136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4541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258069</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5161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672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4080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-672</v>
      </c>
      <c r="K25" s="1032" t="s">
        <v>753</v>
      </c>
      <c r="L25" s="1033"/>
      <c r="M25" s="1034"/>
    </row>
    <row r="26" spans="1:37" ht="18" customHeight="1">
      <c r="A26" s="928" t="s">
        <v>397</v>
      </c>
      <c r="B26" s="294" t="s">
        <v>754</v>
      </c>
      <c r="C26" s="21">
        <f ca="1">ROUND((C19+C20)*F26,0)</f>
        <v>39485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336177</v>
      </c>
      <c r="D29" s="1029"/>
      <c r="E29" s="1027"/>
      <c r="F29" s="1030"/>
      <c r="G29" s="1303"/>
      <c r="H29" s="325" t="s">
        <v>396</v>
      </c>
      <c r="I29" s="326" t="s">
        <v>768</v>
      </c>
      <c r="J29" s="327">
        <f ca="1">ROUND(J26/(1+F40)^F41,0)</f>
        <v>0</v>
      </c>
      <c r="K29" s="328" t="s">
        <v>769</v>
      </c>
      <c r="L29" s="329"/>
      <c r="M29" s="330">
        <f ca="1">INDIRECT("'数据-取费表'!k"&amp;$G$1)</f>
        <v>75.680000000000007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7002</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5304</v>
      </c>
      <c r="D31" s="1257" t="s">
        <v>720</v>
      </c>
      <c r="E31" s="1256" t="s">
        <v>770</v>
      </c>
      <c r="F31" s="2138">
        <f ca="1">IF(项目基本情况!B11="企业","——",IF(M47="住宅",IF(F6*F7*F8/12/(1+'数据-取费表'!F30)&gt;100000,4%,2.5%),IF(F6*F7*F8/12/(1+'数据-取费表'!F30)&gt;100000,12%,7%)))</f>
        <v>7.0000000000000007E-2</v>
      </c>
      <c r="G31" s="1292"/>
      <c r="H31" s="2569" t="s">
        <v>2299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672</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229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797</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72652</v>
      </c>
      <c r="D39" s="1032" t="s">
        <v>773</v>
      </c>
      <c r="E39" s="1033"/>
      <c r="F39" s="1034"/>
      <c r="G39" s="1292"/>
      <c r="H39" s="2473"/>
      <c r="I39" s="1305"/>
      <c r="J39" s="1306"/>
      <c r="K39" s="2471"/>
      <c r="L39" s="2473"/>
      <c r="M39" s="2473"/>
    </row>
    <row r="40" spans="1:18" ht="18" customHeight="1">
      <c r="A40" s="291" t="s">
        <v>395</v>
      </c>
      <c r="B40" s="292" t="s">
        <v>774</v>
      </c>
      <c r="C40" s="293">
        <f ca="1">ROUND(C39*(1-((1+F42)/(1+F40))^F41)/(F40-F42),0)</f>
        <v>691083</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9132</v>
      </c>
      <c r="D43" s="328" t="s">
        <v>777</v>
      </c>
      <c r="E43" s="329" t="s">
        <v>778</v>
      </c>
      <c r="F43" s="330">
        <f ca="1">INDIRECT("'数据-取费表'!k"&amp;$G$1)</f>
        <v>75.680000000000007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f ca="1">ROUND((C68-C40)/10000,4)</f>
        <v>-69.884799999999998</v>
      </c>
      <c r="D45" s="3130" t="s">
        <v>3346</v>
      </c>
      <c r="E45" s="1307"/>
      <c r="F45" s="1307"/>
      <c r="O45" s="1310" t="s">
        <v>808</v>
      </c>
      <c r="P45" s="1366"/>
      <c r="Q45" s="1366"/>
      <c r="R45" s="1366"/>
    </row>
    <row r="46" spans="1:18" s="1292" customFormat="1" ht="13.5" thickBot="1">
      <c r="A46" s="1311" t="s">
        <v>809</v>
      </c>
      <c r="C46" s="1312">
        <f ca="1">ROUND(C45,0)</f>
        <v>-70</v>
      </c>
      <c r="D46" s="1313" t="str">
        <f>C2</f>
        <v>万元</v>
      </c>
      <c r="I46" s="1314" t="s">
        <v>810</v>
      </c>
      <c r="J46" s="1315"/>
      <c r="K46" s="1316"/>
      <c r="L46" s="1317">
        <f ca="1">IF(M47="住宅",0,IF(L48&gt;J51,L60,J60))</f>
        <v>53400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3391</v>
      </c>
      <c r="K47" s="1323" t="s">
        <v>816</v>
      </c>
      <c r="L47" s="1324">
        <f ca="1">INDIRECT("'数据-取费表'!d"&amp;$G$1)</f>
        <v>40</v>
      </c>
      <c r="M47" s="1288" t="str">
        <f>IF(ISNUMBER(FIND("住宅",C1)),"住宅","非住宅")</f>
        <v>非住宅</v>
      </c>
      <c r="O47" s="1325" t="s">
        <v>403</v>
      </c>
      <c r="P47" s="1326" t="s">
        <v>817</v>
      </c>
      <c r="Q47" s="1327">
        <f ca="1">C40+J29</f>
        <v>691083</v>
      </c>
      <c r="R47" s="1327" t="s">
        <v>818</v>
      </c>
    </row>
    <row r="48" spans="1:18" s="1292" customFormat="1" ht="28.5" thickBot="1">
      <c r="A48" s="1047" t="s">
        <v>438</v>
      </c>
      <c r="B48" s="292" t="s">
        <v>692</v>
      </c>
      <c r="C48" s="1268">
        <f ca="1">C49+C53+C55</f>
        <v>0</v>
      </c>
      <c r="D48" s="1049"/>
      <c r="E48" s="1050"/>
      <c r="F48" s="908"/>
      <c r="G48" s="681"/>
      <c r="H48" s="682"/>
      <c r="I48" s="1328" t="s">
        <v>819</v>
      </c>
      <c r="J48" s="1329" t="s">
        <v>3392</v>
      </c>
      <c r="K48" s="1330" t="s">
        <v>820</v>
      </c>
      <c r="L48" s="1331">
        <f ca="1">INDIRECT("'数据-取费表'!f"&amp;$G$1)</f>
        <v>12</v>
      </c>
      <c r="O48" s="1325" t="s">
        <v>404</v>
      </c>
      <c r="P48" s="1326" t="s">
        <v>821</v>
      </c>
      <c r="Q48" s="1327">
        <f ca="1">J60</f>
        <v>53400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336177</v>
      </c>
      <c r="R49" s="1327" t="s">
        <v>818</v>
      </c>
    </row>
    <row r="50" spans="1:18" s="1292" customFormat="1" ht="13.5" thickBot="1">
      <c r="A50" s="922"/>
      <c r="B50" s="925"/>
      <c r="C50" s="926"/>
      <c r="D50" s="899"/>
      <c r="E50" s="993" t="s">
        <v>697</v>
      </c>
      <c r="F50" s="994">
        <f ca="1">F7</f>
        <v>75.680000000000007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23</v>
      </c>
      <c r="K51" s="1339" t="s">
        <v>830</v>
      </c>
      <c r="L51" s="1340">
        <f ca="1">ROUND(-PV(INDIRECT("'数据-取费表'!h"&amp;$G$1),J51,(C39-C13*C76),0),0)</f>
        <v>748710</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12</v>
      </c>
      <c r="K53" s="3342" t="s">
        <v>837</v>
      </c>
      <c r="L53" s="3343"/>
      <c r="O53" s="1325" t="s">
        <v>409</v>
      </c>
      <c r="P53" s="1326" t="s">
        <v>838</v>
      </c>
      <c r="Q53" s="1327">
        <f ca="1">Q47+Q48</f>
        <v>744483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228600</v>
      </c>
      <c r="D56" s="1352"/>
      <c r="E56" s="1353"/>
      <c r="F56" s="1345"/>
      <c r="I56" s="1354" t="s">
        <v>842</v>
      </c>
      <c r="J56" s="1355" t="s">
        <v>3393</v>
      </c>
      <c r="K56" s="1328" t="s">
        <v>843</v>
      </c>
      <c r="L56" s="1331" t="str">
        <f ca="1">IF(L48&lt;J51,"——",L48-J51)</f>
        <v>——</v>
      </c>
      <c r="O56" s="1325" t="s">
        <v>403</v>
      </c>
      <c r="P56" s="1326" t="s">
        <v>817</v>
      </c>
      <c r="Q56" s="1327">
        <f ca="1">C40+J29</f>
        <v>691083</v>
      </c>
      <c r="R56" s="1327" t="s">
        <v>818</v>
      </c>
    </row>
    <row r="57" spans="1:18" s="1292" customFormat="1" ht="24.75" thickBot="1">
      <c r="A57" s="1356"/>
      <c r="B57" s="896" t="s">
        <v>767</v>
      </c>
      <c r="C57" s="230">
        <f ca="1">C29</f>
        <v>336177</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134471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53400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691083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229</v>
      </c>
      <c r="D65" s="910" t="s">
        <v>743</v>
      </c>
      <c r="E65" s="896" t="s">
        <v>744</v>
      </c>
      <c r="F65" s="321">
        <f t="shared" ca="1" si="0"/>
        <v>1E-3</v>
      </c>
      <c r="I65" s="1367" t="s">
        <v>867</v>
      </c>
      <c r="J65" s="610">
        <v>40</v>
      </c>
      <c r="K65" s="610">
        <v>30</v>
      </c>
      <c r="L65" s="610">
        <v>50</v>
      </c>
      <c r="M65" s="1369">
        <v>0.02</v>
      </c>
      <c r="O65" s="1325" t="s">
        <v>403</v>
      </c>
      <c r="P65" s="1326" t="s">
        <v>868</v>
      </c>
      <c r="Q65" s="1327">
        <f ca="1">C40+J29</f>
        <v>691083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-901</v>
      </c>
      <c r="D67" s="909" t="s">
        <v>753</v>
      </c>
      <c r="E67" s="914"/>
      <c r="F67" s="915"/>
      <c r="O67" s="1334" t="s">
        <v>405</v>
      </c>
      <c r="P67" s="1326" t="s">
        <v>850</v>
      </c>
      <c r="Q67" s="1370">
        <f ca="1">L51</f>
        <v>748710</v>
      </c>
      <c r="R67" s="1327" t="s">
        <v>870</v>
      </c>
    </row>
    <row r="68" spans="1:18" s="1292" customFormat="1" ht="16.5" thickBot="1">
      <c r="A68" s="893" t="s">
        <v>395</v>
      </c>
      <c r="B68" s="894" t="s">
        <v>774</v>
      </c>
      <c r="C68" s="293">
        <f ca="1">ROUND(C67*(1-((1+F70)/(1+F68))^F69)/(F68-F70),0)</f>
        <v>-7765</v>
      </c>
      <c r="D68" s="911" t="s">
        <v>758</v>
      </c>
      <c r="E68" s="896" t="s">
        <v>759</v>
      </c>
      <c r="F68" s="304">
        <f ca="1">F40</f>
        <v>5.5E-2</v>
      </c>
      <c r="O68" s="1334" t="s">
        <v>406</v>
      </c>
      <c r="P68" s="1371" t="s">
        <v>871</v>
      </c>
      <c r="Q68" s="1327">
        <f ca="1">ROUND(Q69-Q70*Q71,0)</f>
        <v>55507</v>
      </c>
      <c r="R68" s="1327" t="s">
        <v>414</v>
      </c>
    </row>
    <row r="69" spans="1:18" s="1292" customFormat="1" ht="13.5" thickBot="1">
      <c r="A69" s="897"/>
      <c r="B69" s="898"/>
      <c r="C69" s="298"/>
      <c r="D69" s="916" t="s">
        <v>762</v>
      </c>
      <c r="E69" s="896" t="s">
        <v>763</v>
      </c>
      <c r="F69" s="324">
        <f ca="1">F41</f>
        <v>12</v>
      </c>
      <c r="O69" s="1334" t="s">
        <v>411</v>
      </c>
      <c r="P69" s="1371" t="s">
        <v>872</v>
      </c>
      <c r="Q69" s="1327">
        <f ca="1">C39</f>
        <v>72652</v>
      </c>
      <c r="R69" s="1327" t="s">
        <v>818</v>
      </c>
    </row>
    <row r="70" spans="1:18" s="1292" customFormat="1" ht="13.5" thickBot="1">
      <c r="A70" s="900"/>
      <c r="B70" s="901"/>
      <c r="C70" s="302"/>
      <c r="D70" s="912"/>
      <c r="E70" s="896" t="s">
        <v>766</v>
      </c>
      <c r="F70" s="991"/>
      <c r="O70" s="1334" t="s">
        <v>412</v>
      </c>
      <c r="P70" s="1371" t="s">
        <v>873</v>
      </c>
      <c r="Q70" s="1327">
        <f ca="1">C13</f>
        <v>228600</v>
      </c>
      <c r="R70" s="1327" t="s">
        <v>818</v>
      </c>
    </row>
    <row r="71" spans="1:18" s="1292" customFormat="1" ht="13.5" thickBot="1">
      <c r="A71" s="917" t="s">
        <v>396</v>
      </c>
      <c r="B71" s="918" t="s">
        <v>776</v>
      </c>
      <c r="C71" s="327">
        <f ca="1">ROUND(C68/F71,0)</f>
        <v>-103</v>
      </c>
      <c r="D71" s="919" t="s">
        <v>777</v>
      </c>
      <c r="E71" s="920" t="s">
        <v>778</v>
      </c>
      <c r="F71" s="330">
        <f ca="1">F43</f>
        <v>75.680000000000007</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17145</v>
      </c>
      <c r="D75" s="1292"/>
      <c r="E75" s="1292"/>
      <c r="F75" s="1292"/>
      <c r="K75" s="1309"/>
      <c r="L75" s="1292"/>
      <c r="O75" s="1325" t="s">
        <v>409</v>
      </c>
      <c r="P75" s="1326" t="s">
        <v>838</v>
      </c>
      <c r="Q75" s="1327">
        <f ca="1">Q65+Q66</f>
        <v>691083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0.76400000000000001</v>
      </c>
    </row>
    <row r="80" spans="1:18">
      <c r="B80" s="331" t="s">
        <v>800</v>
      </c>
      <c r="C80" s="266">
        <f ca="1">ROUND(C75/C39,3)</f>
        <v>0.23599999999999999</v>
      </c>
    </row>
    <row r="81" spans="2:3">
      <c r="B81" s="262" t="s">
        <v>801</v>
      </c>
      <c r="C81" s="230"/>
    </row>
    <row r="82" spans="2:3">
      <c r="B82" s="265" t="s">
        <v>802</v>
      </c>
      <c r="C82" s="267">
        <f ca="1">1-C83</f>
        <v>0.66900000000000004</v>
      </c>
    </row>
    <row r="83" spans="2:3">
      <c r="B83" s="265" t="s">
        <v>803</v>
      </c>
      <c r="C83" s="266">
        <f ca="1">ROUND(C13/C40,3)</f>
        <v>0.33100000000000002</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93" t="s">
        <v>2310</v>
      </c>
      <c r="K2" s="3394"/>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95" t="s">
        <v>2320</v>
      </c>
      <c r="K3" s="3396"/>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95" t="s">
        <v>2322</v>
      </c>
      <c r="K4" s="3396"/>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97" t="s">
        <v>2326</v>
      </c>
      <c r="B6" s="3398"/>
      <c r="C6" s="3399"/>
      <c r="D6" s="2621"/>
      <c r="E6" s="2622"/>
      <c r="F6" s="2623"/>
      <c r="G6" s="2624"/>
      <c r="H6" s="2599"/>
      <c r="I6" s="2600"/>
      <c r="J6" s="3400">
        <v>1</v>
      </c>
      <c r="K6" s="3401"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400"/>
      <c r="K7" s="3402"/>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404" t="s">
        <v>2340</v>
      </c>
      <c r="C8" s="3405"/>
      <c r="D8" s="2640" t="s">
        <v>2341</v>
      </c>
      <c r="E8" s="2641" t="s">
        <v>2342</v>
      </c>
      <c r="F8" s="2642" t="s">
        <v>2343</v>
      </c>
      <c r="G8" s="2643"/>
      <c r="H8" s="2599"/>
      <c r="I8" s="2600"/>
      <c r="J8" s="3400"/>
      <c r="K8" s="3402"/>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404" t="s">
        <v>2346</v>
      </c>
      <c r="C9" s="3405"/>
      <c r="D9" s="2640">
        <f>ROUND(D6*E9,0)</f>
        <v>0</v>
      </c>
      <c r="E9" s="2644"/>
      <c r="F9" s="2645" t="s">
        <v>2347</v>
      </c>
      <c r="G9" s="2624"/>
      <c r="H9" s="2599"/>
      <c r="I9" s="2600"/>
      <c r="J9" s="3400"/>
      <c r="K9" s="3402"/>
      <c r="L9" s="2634" t="s">
        <v>2348</v>
      </c>
      <c r="M9" s="2635"/>
      <c r="N9" s="2611"/>
      <c r="O9" s="2636"/>
      <c r="P9" s="2636"/>
      <c r="Q9" s="2637">
        <v>365</v>
      </c>
      <c r="R9" s="2638">
        <f t="shared" si="0"/>
        <v>0</v>
      </c>
      <c r="S9" s="2592"/>
      <c r="T9" s="2592"/>
      <c r="U9" s="2592"/>
      <c r="V9" s="2600"/>
    </row>
    <row r="10" spans="1:22" s="2604" customFormat="1" ht="13.15" customHeight="1">
      <c r="A10" s="2639">
        <v>2</v>
      </c>
      <c r="B10" s="3404" t="s">
        <v>2349</v>
      </c>
      <c r="C10" s="3405"/>
      <c r="D10" s="2640">
        <f>ROUND(D6*E10,0)</f>
        <v>0</v>
      </c>
      <c r="E10" s="2644"/>
      <c r="F10" s="2645" t="s">
        <v>2350</v>
      </c>
      <c r="G10" s="2624"/>
      <c r="H10" s="2599"/>
      <c r="I10" s="2600"/>
      <c r="J10" s="3400"/>
      <c r="K10" s="3402"/>
      <c r="L10" s="2634" t="s">
        <v>2351</v>
      </c>
      <c r="M10" s="2635"/>
      <c r="N10" s="2611"/>
      <c r="O10" s="2636"/>
      <c r="P10" s="2636"/>
      <c r="Q10" s="2637">
        <v>365</v>
      </c>
      <c r="R10" s="2638">
        <f t="shared" si="0"/>
        <v>0</v>
      </c>
      <c r="S10" s="2592"/>
      <c r="T10" s="2592"/>
      <c r="U10" s="2592"/>
      <c r="V10" s="2600"/>
    </row>
    <row r="11" spans="1:22" s="2604" customFormat="1" ht="13.15" customHeight="1">
      <c r="A11" s="2639">
        <v>3</v>
      </c>
      <c r="B11" s="3404" t="s">
        <v>2352</v>
      </c>
      <c r="C11" s="3405"/>
      <c r="D11" s="2640">
        <f>D12+D14+D15+D16</f>
        <v>0</v>
      </c>
      <c r="E11" s="2646" t="e">
        <f>D11/D6</f>
        <v>#DIV/0!</v>
      </c>
      <c r="F11" s="2642"/>
      <c r="G11" s="2643"/>
      <c r="H11" s="2599"/>
      <c r="I11" s="2600"/>
      <c r="J11" s="3400"/>
      <c r="K11" s="3402"/>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406" t="s">
        <v>2355</v>
      </c>
      <c r="C12" s="3407"/>
      <c r="D12" s="2648">
        <f>ROUND(D13*1.2%*(1-30%),0)</f>
        <v>0</v>
      </c>
      <c r="E12" s="2649">
        <v>1.2E-2</v>
      </c>
      <c r="F12" s="2642" t="s">
        <v>2356</v>
      </c>
      <c r="G12" s="2643"/>
      <c r="H12" s="2599"/>
      <c r="I12" s="2600"/>
      <c r="J12" s="3400"/>
      <c r="K12" s="3402"/>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400"/>
      <c r="K13" s="3402"/>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406" t="s">
        <v>2361</v>
      </c>
      <c r="C14" s="3407"/>
      <c r="D14" s="2648">
        <f>ROUND(E14*B5/10000,0)</f>
        <v>0</v>
      </c>
      <c r="E14" s="2637"/>
      <c r="F14" s="2642" t="s">
        <v>2362</v>
      </c>
      <c r="G14" s="2643"/>
      <c r="H14" s="2599"/>
      <c r="I14" s="2600"/>
      <c r="J14" s="3400"/>
      <c r="K14" s="3403"/>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406" t="s">
        <v>2365</v>
      </c>
      <c r="C15" s="3407"/>
      <c r="D15" s="2648">
        <f>ROUND(D6*E15,0)</f>
        <v>0</v>
      </c>
      <c r="E15" s="2649">
        <v>5.5E-2</v>
      </c>
      <c r="F15" s="2642" t="s">
        <v>2366</v>
      </c>
      <c r="G15" s="2624"/>
      <c r="H15" s="2599"/>
      <c r="I15" s="2600"/>
      <c r="J15" s="3400">
        <v>2</v>
      </c>
      <c r="K15" s="3401"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406" t="s">
        <v>2374</v>
      </c>
      <c r="C16" s="3407"/>
      <c r="D16" s="2659">
        <f>D6*E16</f>
        <v>0</v>
      </c>
      <c r="E16" s="2660"/>
      <c r="F16" s="2645" t="s">
        <v>2375</v>
      </c>
      <c r="G16" s="2624"/>
      <c r="H16" s="2599"/>
      <c r="I16" s="2600"/>
      <c r="J16" s="3400"/>
      <c r="K16" s="3402"/>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408" t="s">
        <v>2377</v>
      </c>
      <c r="C17" s="3409"/>
      <c r="D17" s="2662">
        <f>ROUND(D6*E17,0)</f>
        <v>0</v>
      </c>
      <c r="E17" s="2663"/>
      <c r="F17" s="2664" t="s">
        <v>2378</v>
      </c>
      <c r="G17" s="2624"/>
      <c r="H17" s="2599"/>
      <c r="I17" s="2600"/>
      <c r="J17" s="3400"/>
      <c r="K17" s="3402"/>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400"/>
      <c r="K18" s="3402"/>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400"/>
      <c r="K19" s="3403"/>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0">
        <v>3</v>
      </c>
      <c r="K20" s="3401"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400"/>
      <c r="K21" s="3402"/>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400"/>
      <c r="K22" s="3402"/>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400"/>
      <c r="K23" s="3402"/>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400"/>
      <c r="K24" s="3403"/>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410">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41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93" t="s">
        <v>2310</v>
      </c>
      <c r="K32" s="3394"/>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95" t="s">
        <v>2320</v>
      </c>
      <c r="K33" s="3396"/>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95" t="s">
        <v>2322</v>
      </c>
      <c r="K34" s="339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400">
        <v>1</v>
      </c>
      <c r="K36" s="3401"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400"/>
      <c r="K37" s="3402"/>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0"/>
      <c r="K38" s="3402"/>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400"/>
      <c r="K39" s="3402"/>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400"/>
      <c r="K40" s="3403"/>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0">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41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74.448300000000003</v>
      </c>
      <c r="C2" s="1728" t="s">
        <v>1651</v>
      </c>
      <c r="D2" s="1729" t="s">
        <v>1652</v>
      </c>
      <c r="E2" s="2392">
        <f>SUM(E6:E13)</f>
        <v>75.680000000000007</v>
      </c>
      <c r="F2" s="2479"/>
      <c r="G2" s="459"/>
      <c r="H2" s="459"/>
      <c r="I2" s="459"/>
      <c r="J2" s="459"/>
      <c r="K2" s="459"/>
      <c r="L2" s="459"/>
      <c r="M2" s="459"/>
      <c r="N2" s="459"/>
      <c r="O2" s="459"/>
      <c r="P2" s="459"/>
      <c r="Q2" s="459"/>
      <c r="R2" s="459"/>
      <c r="S2" s="459"/>
    </row>
    <row r="3" spans="1:22" ht="15.75">
      <c r="A3" s="1727" t="s">
        <v>686</v>
      </c>
      <c r="B3" s="2386">
        <f ca="1">ROUND(B2*10000/E2,0)</f>
        <v>9837</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2" t="s">
        <v>1654</v>
      </c>
      <c r="C5" s="3413"/>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74.448300000000003</v>
      </c>
      <c r="C6" s="1728" t="s">
        <v>1651</v>
      </c>
      <c r="D6" s="2479"/>
      <c r="E6" s="2391">
        <f>IF(OR(A6=0,F6="否"),0,'数据-取费表'!K6+'数据-取费表'!S6)</f>
        <v>75.680000000000007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75.680000000000007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367" t="s">
        <v>1667</v>
      </c>
      <c r="D4" s="3368"/>
      <c r="E4" s="3369" t="s">
        <v>1668</v>
      </c>
      <c r="F4" s="3370"/>
      <c r="G4" s="3367" t="s">
        <v>1669</v>
      </c>
      <c r="H4" s="3368"/>
      <c r="I4" s="3367" t="s">
        <v>1670</v>
      </c>
      <c r="J4" s="3368"/>
      <c r="K4" s="1743" t="s">
        <v>1671</v>
      </c>
      <c r="L4" s="2486"/>
      <c r="M4" s="2487"/>
      <c r="N4" s="2487"/>
      <c r="O4" s="2487"/>
      <c r="P4" s="3371" t="s">
        <v>1672</v>
      </c>
      <c r="Q4" s="3372"/>
      <c r="R4" s="3353" t="s">
        <v>1668</v>
      </c>
      <c r="S4" s="3354"/>
      <c r="T4" s="3353" t="s">
        <v>1669</v>
      </c>
      <c r="U4" s="3354"/>
      <c r="V4" s="3350" t="s">
        <v>1670</v>
      </c>
      <c r="W4" s="3350"/>
      <c r="X4" s="1265"/>
      <c r="Y4" s="3353" t="s">
        <v>1672</v>
      </c>
      <c r="Z4" s="3354"/>
      <c r="AA4" s="3347" t="s">
        <v>1668</v>
      </c>
      <c r="AB4" s="3347" t="s">
        <v>1669</v>
      </c>
      <c r="AC4" s="3347" t="s">
        <v>1670</v>
      </c>
    </row>
    <row r="5" spans="1:29" ht="15">
      <c r="A5" s="348"/>
      <c r="B5" s="349"/>
      <c r="C5" s="3359" t="s">
        <v>1673</v>
      </c>
      <c r="D5" s="3360"/>
      <c r="E5" s="3414" t="s">
        <v>1674</v>
      </c>
      <c r="F5" s="3358"/>
      <c r="G5" s="3359" t="s">
        <v>1675</v>
      </c>
      <c r="H5" s="3360"/>
      <c r="I5" s="3359" t="s">
        <v>1676</v>
      </c>
      <c r="J5" s="3360"/>
      <c r="K5" s="1744"/>
      <c r="L5" s="2486"/>
      <c r="M5" s="2487"/>
      <c r="N5" s="2487"/>
      <c r="O5" s="2487"/>
      <c r="P5" s="3373"/>
      <c r="Q5" s="3374"/>
      <c r="R5" s="3355"/>
      <c r="S5" s="3356"/>
      <c r="T5" s="3355"/>
      <c r="U5" s="3356"/>
      <c r="V5" s="3350"/>
      <c r="W5" s="3350"/>
      <c r="X5" s="1265"/>
      <c r="Y5" s="3355"/>
      <c r="Z5" s="3356"/>
      <c r="AA5" s="3348"/>
      <c r="AB5" s="3348"/>
      <c r="AC5" s="3348"/>
    </row>
    <row r="6" spans="1:29" ht="15.75" thickBot="1">
      <c r="A6" s="350"/>
      <c r="B6" s="351"/>
      <c r="C6" s="3361" t="s">
        <v>1677</v>
      </c>
      <c r="D6" s="3362"/>
      <c r="E6" s="3364" t="s">
        <v>1677</v>
      </c>
      <c r="F6" s="3365"/>
      <c r="G6" s="3361" t="s">
        <v>1677</v>
      </c>
      <c r="H6" s="3362"/>
      <c r="I6" s="3361" t="s">
        <v>1677</v>
      </c>
      <c r="J6" s="3362"/>
      <c r="K6" s="1744" t="s">
        <v>1678</v>
      </c>
      <c r="L6" s="2486"/>
      <c r="M6" s="2487"/>
      <c r="N6" s="2487"/>
      <c r="O6" s="2487"/>
      <c r="P6" s="3375"/>
      <c r="Q6" s="3376"/>
      <c r="R6" s="3355"/>
      <c r="S6" s="3356"/>
      <c r="T6" s="3377"/>
      <c r="U6" s="3378"/>
      <c r="V6" s="3350"/>
      <c r="W6" s="3350"/>
      <c r="X6" s="1265"/>
      <c r="Y6" s="3377"/>
      <c r="Z6" s="3378"/>
      <c r="AA6" s="3349"/>
      <c r="AB6" s="3349"/>
      <c r="AC6" s="3349"/>
    </row>
    <row r="7" spans="1:29" s="102" customFormat="1" ht="15.75" thickBot="1">
      <c r="A7" s="352" t="s">
        <v>1679</v>
      </c>
      <c r="B7" s="353"/>
      <c r="C7" s="354">
        <f>'数据-取费表'!B2</f>
        <v>45614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51" t="s">
        <v>1680</v>
      </c>
      <c r="Q7" s="3379"/>
      <c r="R7" s="664" t="s">
        <v>20</v>
      </c>
      <c r="S7" s="665">
        <f t="shared" ref="S7:S15" si="0">F7</f>
        <v>0</v>
      </c>
      <c r="T7" s="664" t="s">
        <v>20</v>
      </c>
      <c r="U7" s="665">
        <f t="shared" ref="U7:U15" si="1">H7</f>
        <v>0</v>
      </c>
      <c r="V7" s="664" t="s">
        <v>20</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51" t="s">
        <v>1683</v>
      </c>
      <c r="Q8" s="3352"/>
      <c r="R8" s="664" t="s">
        <v>20</v>
      </c>
      <c r="S8" s="665">
        <f t="shared" si="0"/>
        <v>100</v>
      </c>
      <c r="T8" s="664" t="s">
        <v>20</v>
      </c>
      <c r="U8" s="665">
        <f t="shared" si="1"/>
        <v>100</v>
      </c>
      <c r="V8" s="664" t="s">
        <v>20</v>
      </c>
      <c r="W8" s="665">
        <f t="shared" si="2"/>
        <v>100</v>
      </c>
      <c r="X8" s="666"/>
      <c r="Y8" s="3351" t="s">
        <v>1683</v>
      </c>
      <c r="Z8" s="335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66"/>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66"/>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66"/>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66"/>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0"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81"/>
      <c r="Q16" s="1263"/>
      <c r="R16" s="667"/>
      <c r="S16" s="668"/>
      <c r="T16" s="667"/>
      <c r="U16" s="668"/>
      <c r="V16" s="667"/>
      <c r="W16" s="668"/>
      <c r="X16" s="1265"/>
      <c r="Y16" s="3383"/>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1"/>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81"/>
      <c r="Q18" s="1263"/>
      <c r="R18" s="667"/>
      <c r="S18" s="668"/>
      <c r="T18" s="667"/>
      <c r="U18" s="668"/>
      <c r="V18" s="667"/>
      <c r="W18" s="668"/>
      <c r="X18" s="1265"/>
      <c r="Y18" s="3383"/>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1"/>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81"/>
      <c r="Q20" s="1263"/>
      <c r="R20" s="667"/>
      <c r="S20" s="668"/>
      <c r="T20" s="667"/>
      <c r="U20" s="668"/>
      <c r="V20" s="667"/>
      <c r="W20" s="668"/>
      <c r="X20" s="1265"/>
      <c r="Y20" s="3383"/>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81"/>
      <c r="Q22" s="1263"/>
      <c r="R22" s="667"/>
      <c r="S22" s="668"/>
      <c r="T22" s="667"/>
      <c r="U22" s="668"/>
      <c r="V22" s="667"/>
      <c r="W22" s="668"/>
      <c r="X22" s="1265"/>
      <c r="Y22" s="3383"/>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1"/>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81"/>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1"/>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1"/>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1"/>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1"/>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1"/>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1"/>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89" t="str">
        <f>A47</f>
        <v>成交单价（元/平方米）</v>
      </c>
      <c r="Q47" s="3389"/>
      <c r="R47" s="3350">
        <f>E47</f>
        <v>0</v>
      </c>
      <c r="S47" s="3350"/>
      <c r="T47" s="3350">
        <f>G47</f>
        <v>0</v>
      </c>
      <c r="U47" s="3350"/>
      <c r="V47" s="3350">
        <f>I47</f>
        <v>0</v>
      </c>
      <c r="W47" s="3350"/>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89" t="str">
        <f>A48</f>
        <v>比较价值（元/平方米）</v>
      </c>
      <c r="Q48" s="3389"/>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K2:AQ79"/>
  <sheetViews>
    <sheetView topLeftCell="AG16" zoomScale="70" zoomScaleNormal="70" workbookViewId="0">
      <selection activeCell="AR51" sqref="AR51"/>
    </sheetView>
  </sheetViews>
  <sheetFormatPr defaultRowHeight="13.5"/>
  <sheetData>
    <row r="2" spans="12:41">
      <c r="L2" s="1405" t="s">
        <v>3414</v>
      </c>
    </row>
    <row r="3" spans="12:41">
      <c r="L3" s="1405" t="s">
        <v>3411</v>
      </c>
      <c r="M3">
        <v>84</v>
      </c>
    </row>
    <row r="4" spans="12:41">
      <c r="L4" s="1405" t="s">
        <v>3412</v>
      </c>
      <c r="M4">
        <v>35715</v>
      </c>
    </row>
    <row r="5" spans="12:41">
      <c r="AO5">
        <f>7916/30/85</f>
        <v>3.1043137254901962</v>
      </c>
    </row>
    <row r="27" spans="11:41">
      <c r="K27" s="1405" t="s">
        <v>3415</v>
      </c>
      <c r="P27" s="1405"/>
    </row>
    <row r="28" spans="11:41">
      <c r="K28" s="1405" t="s">
        <v>3411</v>
      </c>
      <c r="L28">
        <v>65.349999999999994</v>
      </c>
      <c r="P28" s="1405"/>
    </row>
    <row r="29" spans="11:41">
      <c r="K29" s="1405" t="s">
        <v>3412</v>
      </c>
      <c r="L29">
        <v>30605</v>
      </c>
      <c r="P29" s="1405"/>
    </row>
    <row r="32" spans="11:41">
      <c r="AO32">
        <f>12100/110/30</f>
        <v>3.6666666666666665</v>
      </c>
    </row>
    <row r="48" spans="19:20">
      <c r="S48" s="3145"/>
      <c r="T48" s="3145"/>
    </row>
    <row r="49" spans="11:41">
      <c r="S49" s="3145"/>
      <c r="T49" s="3145"/>
    </row>
    <row r="50" spans="11:41">
      <c r="S50" s="3145"/>
      <c r="T50" s="3145"/>
    </row>
    <row r="51" spans="11:41">
      <c r="K51" s="1405" t="s">
        <v>3410</v>
      </c>
    </row>
    <row r="52" spans="11:41">
      <c r="K52" s="1405" t="s">
        <v>3411</v>
      </c>
      <c r="L52">
        <v>190.52</v>
      </c>
      <c r="S52" s="3145"/>
    </row>
    <row r="53" spans="11:41">
      <c r="K53" s="1405" t="s">
        <v>3412</v>
      </c>
      <c r="L53">
        <v>35692</v>
      </c>
    </row>
    <row r="55" spans="11:41">
      <c r="K55" s="1405" t="s">
        <v>3413</v>
      </c>
    </row>
    <row r="60" spans="11:41">
      <c r="AO60">
        <f>10000/110/30</f>
        <v>3.0303030303030303</v>
      </c>
    </row>
    <row r="79" spans="43:43">
      <c r="AQ79">
        <f>10800/100/30</f>
        <v>3.6</v>
      </c>
    </row>
  </sheetData>
  <phoneticPr fontId="13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75.680000000000007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67" t="s">
        <v>1770</v>
      </c>
      <c r="D4" s="3368"/>
      <c r="E4" s="3369" t="s">
        <v>1771</v>
      </c>
      <c r="F4" s="3370"/>
      <c r="G4" s="3367" t="s">
        <v>1772</v>
      </c>
      <c r="H4" s="3368"/>
      <c r="I4" s="3367" t="s">
        <v>1773</v>
      </c>
      <c r="J4" s="3368"/>
      <c r="K4" s="537" t="s">
        <v>1774</v>
      </c>
      <c r="L4" s="2486"/>
      <c r="M4" s="2487"/>
      <c r="N4" s="2487"/>
      <c r="O4" s="2487"/>
      <c r="P4" s="3421" t="s">
        <v>1775</v>
      </c>
      <c r="Q4" s="3422"/>
      <c r="R4" s="3416" t="s">
        <v>1771</v>
      </c>
      <c r="S4" s="3417"/>
      <c r="T4" s="3416" t="s">
        <v>1772</v>
      </c>
      <c r="U4" s="3417"/>
      <c r="V4" s="3425" t="s">
        <v>1773</v>
      </c>
      <c r="W4" s="3425"/>
      <c r="X4" s="1808"/>
      <c r="Y4" s="3416" t="s">
        <v>1775</v>
      </c>
      <c r="Z4" s="3417"/>
      <c r="AA4" s="3415" t="s">
        <v>1771</v>
      </c>
      <c r="AB4" s="3415" t="s">
        <v>1772</v>
      </c>
      <c r="AC4" s="3418" t="s">
        <v>1773</v>
      </c>
    </row>
    <row r="5" spans="1:29" ht="15">
      <c r="A5" s="348"/>
      <c r="B5" s="349"/>
      <c r="C5" s="3359" t="s">
        <v>1673</v>
      </c>
      <c r="D5" s="3360"/>
      <c r="E5" s="3414" t="s">
        <v>1674</v>
      </c>
      <c r="F5" s="3358"/>
      <c r="G5" s="3359" t="s">
        <v>1675</v>
      </c>
      <c r="H5" s="3360"/>
      <c r="I5" s="3359" t="s">
        <v>1676</v>
      </c>
      <c r="J5" s="3360"/>
      <c r="K5" s="537"/>
      <c r="L5" s="2486"/>
      <c r="M5" s="2487"/>
      <c r="N5" s="2487"/>
      <c r="O5" s="2487"/>
      <c r="P5" s="3423"/>
      <c r="Q5" s="3374"/>
      <c r="R5" s="3355"/>
      <c r="S5" s="3356"/>
      <c r="T5" s="3355"/>
      <c r="U5" s="3356"/>
      <c r="V5" s="3350"/>
      <c r="W5" s="3350"/>
      <c r="X5" s="1265"/>
      <c r="Y5" s="3355"/>
      <c r="Z5" s="3356"/>
      <c r="AA5" s="3348"/>
      <c r="AB5" s="3348"/>
      <c r="AC5" s="3419"/>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424"/>
      <c r="Q6" s="3376"/>
      <c r="R6" s="3355"/>
      <c r="S6" s="3356"/>
      <c r="T6" s="3377"/>
      <c r="U6" s="3378"/>
      <c r="V6" s="3350"/>
      <c r="W6" s="3350"/>
      <c r="X6" s="1265"/>
      <c r="Y6" s="3377"/>
      <c r="Z6" s="3378"/>
      <c r="AA6" s="3349"/>
      <c r="AB6" s="3349"/>
      <c r="AC6" s="3420"/>
    </row>
    <row r="7" spans="1:29" s="102" customFormat="1" ht="15.75" thickBot="1">
      <c r="A7" s="352" t="s">
        <v>1679</v>
      </c>
      <c r="B7" s="353"/>
      <c r="C7" s="354">
        <f>'数据-取费表'!B2</f>
        <v>45614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6" t="s">
        <v>1680</v>
      </c>
      <c r="Q7" s="3379"/>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6" t="s">
        <v>1683</v>
      </c>
      <c r="Q8" s="3352"/>
      <c r="R8" s="664" t="s">
        <v>14</v>
      </c>
      <c r="S8" s="665">
        <f t="shared" si="0"/>
        <v>100</v>
      </c>
      <c r="T8" s="664" t="s">
        <v>14</v>
      </c>
      <c r="U8" s="665">
        <f t="shared" si="1"/>
        <v>100</v>
      </c>
      <c r="V8" s="664" t="s">
        <v>14</v>
      </c>
      <c r="W8" s="665">
        <f t="shared" si="2"/>
        <v>100</v>
      </c>
      <c r="X8" s="666"/>
      <c r="Y8" s="3351" t="s">
        <v>1683</v>
      </c>
      <c r="Z8" s="335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6"/>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6"/>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6"/>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0"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81"/>
      <c r="Q16" s="1263"/>
      <c r="R16" s="667"/>
      <c r="S16" s="668"/>
      <c r="T16" s="667"/>
      <c r="U16" s="668"/>
      <c r="V16" s="667"/>
      <c r="W16" s="668"/>
      <c r="X16" s="1265"/>
      <c r="Y16" s="3383"/>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1"/>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1"/>
      <c r="Q18" s="1263"/>
      <c r="R18" s="667"/>
      <c r="S18" s="668"/>
      <c r="T18" s="667"/>
      <c r="U18" s="668"/>
      <c r="V18" s="667"/>
      <c r="W18" s="668"/>
      <c r="X18" s="1265"/>
      <c r="Y18" s="3383"/>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1"/>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1"/>
      <c r="Q20" s="1263"/>
      <c r="R20" s="667"/>
      <c r="S20" s="668"/>
      <c r="T20" s="667"/>
      <c r="U20" s="668"/>
      <c r="V20" s="667"/>
      <c r="W20" s="668"/>
      <c r="X20" s="1265"/>
      <c r="Y20" s="3383"/>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81"/>
      <c r="Q22" s="1263"/>
      <c r="R22" s="667"/>
      <c r="S22" s="668"/>
      <c r="T22" s="667"/>
      <c r="U22" s="668"/>
      <c r="V22" s="667"/>
      <c r="W22" s="668"/>
      <c r="X22" s="1265"/>
      <c r="Y22" s="3383"/>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1"/>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1"/>
      <c r="Q24" s="1263"/>
      <c r="R24" s="667"/>
      <c r="S24" s="668"/>
      <c r="T24" s="667"/>
      <c r="U24" s="668"/>
      <c r="V24" s="667"/>
      <c r="W24" s="668"/>
      <c r="X24" s="1265"/>
      <c r="Y24" s="3383"/>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1"/>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81"/>
      <c r="Q26" s="1263"/>
      <c r="R26" s="667"/>
      <c r="S26" s="668"/>
      <c r="T26" s="667"/>
      <c r="U26" s="668"/>
      <c r="V26" s="667"/>
      <c r="W26" s="668"/>
      <c r="X26" s="1265"/>
      <c r="Y26" s="3383"/>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1"/>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1"/>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1"/>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66" t="str">
        <f>A48</f>
        <v>成交单价（元/平方米）</v>
      </c>
      <c r="Q48" s="3389"/>
      <c r="R48" s="3350">
        <f>E48</f>
        <v>0</v>
      </c>
      <c r="S48" s="3350"/>
      <c r="T48" s="3350">
        <f>G48</f>
        <v>0</v>
      </c>
      <c r="U48" s="3350"/>
      <c r="V48" s="3350">
        <f>I48</f>
        <v>0</v>
      </c>
      <c r="W48" s="3350"/>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66" t="str">
        <f>A49</f>
        <v>比较价值（元/平方米）</v>
      </c>
      <c r="Q49" s="3389"/>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估价对象为北京市房地产，为所有。根据《国有土地使用证》[]，估价对象（分摊）出让国有建设用地使用权面积为0平方米，建筑面积为75.68平方米。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估价对象为北京市房地产,属开发建设的，该项目尚在开发建设中。根据《国有土地使用证》[]，估价对象（分摊）出让国有建设用地使用权面积为0平方米，规划建筑面积为75.68平方米。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75.680000000000007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7" t="s">
        <v>1770</v>
      </c>
      <c r="D4" s="3368"/>
      <c r="E4" s="3369" t="s">
        <v>1771</v>
      </c>
      <c r="F4" s="3370"/>
      <c r="G4" s="3367" t="s">
        <v>1772</v>
      </c>
      <c r="H4" s="3368"/>
      <c r="I4" s="3367" t="s">
        <v>1773</v>
      </c>
      <c r="J4" s="3368"/>
      <c r="K4" s="537" t="s">
        <v>1774</v>
      </c>
      <c r="L4" s="860"/>
      <c r="M4" s="861"/>
      <c r="N4" s="861"/>
      <c r="O4" s="861"/>
      <c r="P4" s="3371" t="s">
        <v>1775</v>
      </c>
      <c r="Q4" s="3372"/>
      <c r="R4" s="3353" t="s">
        <v>1771</v>
      </c>
      <c r="S4" s="3354"/>
      <c r="T4" s="3353" t="s">
        <v>1772</v>
      </c>
      <c r="U4" s="3354"/>
      <c r="V4" s="3350" t="s">
        <v>1773</v>
      </c>
      <c r="W4" s="3350"/>
      <c r="X4" s="1265"/>
      <c r="Y4" s="3353" t="s">
        <v>1775</v>
      </c>
      <c r="Z4" s="3354"/>
      <c r="AA4" s="3347" t="s">
        <v>1771</v>
      </c>
      <c r="AB4" s="3348" t="s">
        <v>1772</v>
      </c>
      <c r="AC4" s="3347" t="s">
        <v>1773</v>
      </c>
    </row>
    <row r="5" spans="1:29" ht="15">
      <c r="A5" s="348"/>
      <c r="B5" s="349"/>
      <c r="C5" s="3359" t="s">
        <v>1673</v>
      </c>
      <c r="D5" s="3360"/>
      <c r="E5" s="3414" t="s">
        <v>1674</v>
      </c>
      <c r="F5" s="3358"/>
      <c r="G5" s="3359" t="s">
        <v>1675</v>
      </c>
      <c r="H5" s="3360"/>
      <c r="I5" s="3359" t="s">
        <v>1676</v>
      </c>
      <c r="J5" s="3360"/>
      <c r="K5" s="537"/>
      <c r="L5" s="860"/>
      <c r="M5" s="861"/>
      <c r="N5" s="861"/>
      <c r="O5" s="861"/>
      <c r="P5" s="3373"/>
      <c r="Q5" s="3374"/>
      <c r="R5" s="3355"/>
      <c r="S5" s="3356"/>
      <c r="T5" s="3355"/>
      <c r="U5" s="3356"/>
      <c r="V5" s="3350"/>
      <c r="W5" s="3350"/>
      <c r="X5" s="1265"/>
      <c r="Y5" s="3355"/>
      <c r="Z5" s="3356"/>
      <c r="AA5" s="3348"/>
      <c r="AB5" s="3348"/>
      <c r="AC5" s="3348"/>
    </row>
    <row r="6" spans="1:29" ht="15.75" thickBot="1">
      <c r="A6" s="350"/>
      <c r="B6" s="351"/>
      <c r="C6" s="3361" t="s">
        <v>1677</v>
      </c>
      <c r="D6" s="3362"/>
      <c r="E6" s="3364" t="s">
        <v>1677</v>
      </c>
      <c r="F6" s="3365"/>
      <c r="G6" s="3361" t="s">
        <v>1677</v>
      </c>
      <c r="H6" s="3362"/>
      <c r="I6" s="3361" t="s">
        <v>1677</v>
      </c>
      <c r="J6" s="3362"/>
      <c r="K6" s="537" t="s">
        <v>1678</v>
      </c>
      <c r="L6" s="860"/>
      <c r="M6" s="861"/>
      <c r="N6" s="861"/>
      <c r="O6" s="861"/>
      <c r="P6" s="3375"/>
      <c r="Q6" s="3376"/>
      <c r="R6" s="3355"/>
      <c r="S6" s="3356"/>
      <c r="T6" s="3377"/>
      <c r="U6" s="3378"/>
      <c r="V6" s="3350"/>
      <c r="W6" s="3350"/>
      <c r="X6" s="1265"/>
      <c r="Y6" s="3377"/>
      <c r="Z6" s="3378"/>
      <c r="AA6" s="3349"/>
      <c r="AB6" s="3349"/>
      <c r="AC6" s="3349"/>
    </row>
    <row r="7" spans="1:29" s="102" customFormat="1" ht="15.75" thickBot="1">
      <c r="A7" s="352" t="s">
        <v>1679</v>
      </c>
      <c r="B7" s="353"/>
      <c r="C7" s="354">
        <f>'数据-取费表'!B2</f>
        <v>45614</v>
      </c>
      <c r="D7" s="355">
        <v>100</v>
      </c>
      <c r="E7" s="356"/>
      <c r="F7" s="357">
        <f>SUMIF(52:52,YEAR(E7)&amp;"-"&amp;MONTH(E7),53:53)</f>
        <v>0</v>
      </c>
      <c r="G7" s="356"/>
      <c r="H7" s="355">
        <f>SUMIF(52:52,YEAR(G7)&amp;"-"&amp;MONTH(G7),53:53)</f>
        <v>0</v>
      </c>
      <c r="I7" s="356"/>
      <c r="J7" s="355">
        <f>SUMIF(52:52,YEAR(I7)&amp;"-"&amp;MONTH(I7),53:53)</f>
        <v>0</v>
      </c>
      <c r="K7" s="38"/>
      <c r="L7" s="862"/>
      <c r="M7" s="863"/>
      <c r="N7" s="863"/>
      <c r="O7" s="863"/>
      <c r="P7" s="3351" t="s">
        <v>1680</v>
      </c>
      <c r="Q7" s="3379"/>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1" t="s">
        <v>1683</v>
      </c>
      <c r="Q8" s="3352"/>
      <c r="R8" s="664" t="s">
        <v>14</v>
      </c>
      <c r="S8" s="665">
        <f t="shared" si="0"/>
        <v>100</v>
      </c>
      <c r="T8" s="664" t="s">
        <v>14</v>
      </c>
      <c r="U8" s="665">
        <f t="shared" si="1"/>
        <v>100</v>
      </c>
      <c r="V8" s="664" t="s">
        <v>14</v>
      </c>
      <c r="W8" s="665">
        <f t="shared" si="2"/>
        <v>100</v>
      </c>
      <c r="X8" s="666"/>
      <c r="Y8" s="3351" t="s">
        <v>1683</v>
      </c>
      <c r="Z8" s="335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50">
        <f>E41</f>
        <v>0</v>
      </c>
      <c r="S41" s="3350"/>
      <c r="T41" s="3350">
        <f>G41</f>
        <v>0</v>
      </c>
      <c r="U41" s="3350"/>
      <c r="V41" s="3350">
        <f>I41</f>
        <v>0</v>
      </c>
      <c r="W41" s="3350"/>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9" t="str">
        <f>A42</f>
        <v>比较价值（元/平方米）</v>
      </c>
      <c r="Q42" s="3389"/>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67" t="s">
        <v>1770</v>
      </c>
      <c r="D4" s="3368"/>
      <c r="E4" s="3369" t="s">
        <v>1771</v>
      </c>
      <c r="F4" s="3370"/>
      <c r="G4" s="3367" t="s">
        <v>1772</v>
      </c>
      <c r="H4" s="3368"/>
      <c r="I4" s="3367" t="s">
        <v>1773</v>
      </c>
      <c r="J4" s="3368"/>
      <c r="K4" s="537" t="s">
        <v>1774</v>
      </c>
      <c r="L4" s="2486"/>
      <c r="M4" s="2487"/>
      <c r="N4" s="2487"/>
      <c r="O4" s="2487"/>
      <c r="P4" s="3371" t="s">
        <v>1775</v>
      </c>
      <c r="Q4" s="3372"/>
      <c r="R4" s="3353" t="s">
        <v>1771</v>
      </c>
      <c r="S4" s="3354"/>
      <c r="T4" s="3353" t="s">
        <v>1772</v>
      </c>
      <c r="U4" s="3354"/>
      <c r="V4" s="3350" t="s">
        <v>1773</v>
      </c>
      <c r="W4" s="3350"/>
      <c r="X4" s="1265"/>
      <c r="Y4" s="3353" t="s">
        <v>1775</v>
      </c>
      <c r="Z4" s="3354"/>
      <c r="AA4" s="3347" t="s">
        <v>1771</v>
      </c>
      <c r="AB4" s="3348" t="s">
        <v>1772</v>
      </c>
      <c r="AC4" s="3347" t="s">
        <v>1773</v>
      </c>
    </row>
    <row r="5" spans="1:29" ht="15">
      <c r="A5" s="348"/>
      <c r="B5" s="349"/>
      <c r="C5" s="3359" t="s">
        <v>1673</v>
      </c>
      <c r="D5" s="3360"/>
      <c r="E5" s="3414" t="s">
        <v>1674</v>
      </c>
      <c r="F5" s="3358"/>
      <c r="G5" s="3359" t="s">
        <v>1675</v>
      </c>
      <c r="H5" s="3360"/>
      <c r="I5" s="3359" t="s">
        <v>1676</v>
      </c>
      <c r="J5" s="3360"/>
      <c r="K5" s="537"/>
      <c r="L5" s="2486"/>
      <c r="M5" s="2487"/>
      <c r="N5" s="2487"/>
      <c r="O5" s="2487"/>
      <c r="P5" s="3373"/>
      <c r="Q5" s="3374"/>
      <c r="R5" s="3355"/>
      <c r="S5" s="3356"/>
      <c r="T5" s="3355"/>
      <c r="U5" s="3356"/>
      <c r="V5" s="3350"/>
      <c r="W5" s="3350"/>
      <c r="X5" s="1265"/>
      <c r="Y5" s="3355"/>
      <c r="Z5" s="3356"/>
      <c r="AA5" s="3348"/>
      <c r="AB5" s="3348"/>
      <c r="AC5" s="3348"/>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375"/>
      <c r="Q6" s="3376"/>
      <c r="R6" s="3355"/>
      <c r="S6" s="3356"/>
      <c r="T6" s="3377"/>
      <c r="U6" s="3378"/>
      <c r="V6" s="3350"/>
      <c r="W6" s="3350"/>
      <c r="X6" s="1265"/>
      <c r="Y6" s="3377"/>
      <c r="Z6" s="3378"/>
      <c r="AA6" s="3349"/>
      <c r="AB6" s="3349"/>
      <c r="AC6" s="3349"/>
    </row>
    <row r="7" spans="1:29" s="102" customFormat="1" ht="15.75" thickBot="1">
      <c r="A7" s="352" t="s">
        <v>1679</v>
      </c>
      <c r="B7" s="353"/>
      <c r="C7" s="354">
        <f>'数据-取费表'!B2</f>
        <v>45614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51" t="s">
        <v>1680</v>
      </c>
      <c r="Q7" s="3379"/>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9"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9"/>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9"/>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3"/>
      <c r="Q15" s="1263"/>
      <c r="R15" s="667"/>
      <c r="S15" s="668"/>
      <c r="T15" s="667"/>
      <c r="U15" s="668"/>
      <c r="V15" s="667"/>
      <c r="W15" s="668"/>
      <c r="X15" s="1265"/>
      <c r="Y15" s="3383"/>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83"/>
      <c r="Q17" s="1263"/>
      <c r="R17" s="667"/>
      <c r="S17" s="668"/>
      <c r="T17" s="667"/>
      <c r="U17" s="668"/>
      <c r="V17" s="667"/>
      <c r="W17" s="668"/>
      <c r="X17" s="1265"/>
      <c r="Y17" s="3383"/>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83"/>
      <c r="Q19" s="1263"/>
      <c r="R19" s="667"/>
      <c r="S19" s="668"/>
      <c r="T19" s="667"/>
      <c r="U19" s="668"/>
      <c r="V19" s="667"/>
      <c r="W19" s="668"/>
      <c r="X19" s="1265"/>
      <c r="Y19" s="3383"/>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89" t="str">
        <f>A37</f>
        <v>成交单价</v>
      </c>
      <c r="Q37" s="3389"/>
      <c r="R37" s="3350">
        <f>E37</f>
        <v>0</v>
      </c>
      <c r="S37" s="3350"/>
      <c r="T37" s="3350">
        <f>G37</f>
        <v>0</v>
      </c>
      <c r="U37" s="3350"/>
      <c r="V37" s="3350">
        <f>I37</f>
        <v>0</v>
      </c>
      <c r="W37" s="3350"/>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9" t="str">
        <f>A38</f>
        <v>比较价值（元/平方米）</v>
      </c>
      <c r="Q38" s="3389"/>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0" t="str">
        <f>A39</f>
        <v>估价对象XX用房的比较价值（楼面单价，元/平方米）</v>
      </c>
      <c r="Q39" s="3391"/>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7" t="s">
        <v>1770</v>
      </c>
      <c r="D4" s="3368"/>
      <c r="E4" s="3369" t="s">
        <v>1771</v>
      </c>
      <c r="F4" s="3370"/>
      <c r="G4" s="3367" t="s">
        <v>1772</v>
      </c>
      <c r="H4" s="3368"/>
      <c r="I4" s="3367" t="s">
        <v>1773</v>
      </c>
      <c r="J4" s="3368"/>
      <c r="K4" s="537" t="s">
        <v>1774</v>
      </c>
      <c r="L4" s="2486"/>
      <c r="M4" s="2487"/>
      <c r="N4" s="2487"/>
      <c r="O4" s="2487"/>
      <c r="P4" s="3371" t="s">
        <v>1775</v>
      </c>
      <c r="Q4" s="3372"/>
      <c r="R4" s="3353" t="s">
        <v>1771</v>
      </c>
      <c r="S4" s="3354"/>
      <c r="T4" s="3353" t="s">
        <v>1772</v>
      </c>
      <c r="U4" s="3354"/>
      <c r="V4" s="3350" t="s">
        <v>1773</v>
      </c>
      <c r="W4" s="3350"/>
      <c r="X4" s="1265"/>
      <c r="Y4" s="3353" t="s">
        <v>1775</v>
      </c>
      <c r="Z4" s="3354"/>
      <c r="AA4" s="3347" t="s">
        <v>1771</v>
      </c>
      <c r="AB4" s="3348" t="s">
        <v>1772</v>
      </c>
      <c r="AC4" s="3347" t="s">
        <v>1773</v>
      </c>
    </row>
    <row r="5" spans="1:29" ht="15">
      <c r="A5" s="348"/>
      <c r="B5" s="349"/>
      <c r="C5" s="3359" t="s">
        <v>1673</v>
      </c>
      <c r="D5" s="3360"/>
      <c r="E5" s="3414" t="s">
        <v>1674</v>
      </c>
      <c r="F5" s="3358"/>
      <c r="G5" s="3359" t="s">
        <v>1675</v>
      </c>
      <c r="H5" s="3360"/>
      <c r="I5" s="3359" t="s">
        <v>1676</v>
      </c>
      <c r="J5" s="3360"/>
      <c r="K5" s="537"/>
      <c r="L5" s="2486"/>
      <c r="M5" s="2487"/>
      <c r="N5" s="2487"/>
      <c r="O5" s="2487"/>
      <c r="P5" s="3373"/>
      <c r="Q5" s="3374"/>
      <c r="R5" s="3355"/>
      <c r="S5" s="3356"/>
      <c r="T5" s="3355"/>
      <c r="U5" s="3356"/>
      <c r="V5" s="3350"/>
      <c r="W5" s="3350"/>
      <c r="X5" s="1265"/>
      <c r="Y5" s="3355"/>
      <c r="Z5" s="3356"/>
      <c r="AA5" s="3348"/>
      <c r="AB5" s="3348"/>
      <c r="AC5" s="3348"/>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375"/>
      <c r="Q6" s="3376"/>
      <c r="R6" s="3355"/>
      <c r="S6" s="3356"/>
      <c r="T6" s="3377"/>
      <c r="U6" s="3378"/>
      <c r="V6" s="3350"/>
      <c r="W6" s="3350"/>
      <c r="X6" s="1265"/>
      <c r="Y6" s="3377"/>
      <c r="Z6" s="3378"/>
      <c r="AA6" s="3349"/>
      <c r="AB6" s="3349"/>
      <c r="AC6" s="3349"/>
    </row>
    <row r="7" spans="1:29" s="102" customFormat="1" ht="15.75" thickBot="1">
      <c r="A7" s="352" t="s">
        <v>1679</v>
      </c>
      <c r="B7" s="353"/>
      <c r="C7" s="354">
        <f>'数据-取费表'!B2</f>
        <v>45614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51" t="s">
        <v>1680</v>
      </c>
      <c r="Q7" s="3379"/>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9"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9"/>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9"/>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9"/>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9"/>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3"/>
      <c r="Q15" s="1263"/>
      <c r="R15" s="667"/>
      <c r="S15" s="668"/>
      <c r="T15" s="667"/>
      <c r="U15" s="668"/>
      <c r="V15" s="667"/>
      <c r="W15" s="668"/>
      <c r="X15" s="1265"/>
      <c r="Y15" s="3383"/>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83"/>
      <c r="Q17" s="1263"/>
      <c r="R17" s="667"/>
      <c r="S17" s="668"/>
      <c r="T17" s="667"/>
      <c r="U17" s="668"/>
      <c r="V17" s="667"/>
      <c r="W17" s="668"/>
      <c r="X17" s="1265"/>
      <c r="Y17" s="3383"/>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83"/>
      <c r="Q19" s="1263"/>
      <c r="R19" s="667"/>
      <c r="S19" s="668"/>
      <c r="T19" s="667"/>
      <c r="U19" s="668"/>
      <c r="V19" s="667"/>
      <c r="W19" s="668"/>
      <c r="X19" s="1265"/>
      <c r="Y19" s="3383"/>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9" t="str">
        <f>A35</f>
        <v>成交单价（元/平方米）</v>
      </c>
      <c r="Q35" s="3389"/>
      <c r="R35" s="3350">
        <f>E35</f>
        <v>0</v>
      </c>
      <c r="S35" s="3350"/>
      <c r="T35" s="3350">
        <f>G35</f>
        <v>0</v>
      </c>
      <c r="U35" s="3350"/>
      <c r="V35" s="3350">
        <f>I35</f>
        <v>0</v>
      </c>
      <c r="W35" s="3350"/>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9" t="str">
        <f>A36</f>
        <v>比较价值（元/平方米）</v>
      </c>
      <c r="Q36" s="3389"/>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90" t="str">
        <f>A37</f>
        <v>估价对象XX用房的比较价值（楼面单价，元/平方米）</v>
      </c>
      <c r="Q37" s="3391"/>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7" t="s">
        <v>1770</v>
      </c>
      <c r="D4" s="3368"/>
      <c r="E4" s="3369" t="s">
        <v>1771</v>
      </c>
      <c r="F4" s="3370"/>
      <c r="G4" s="3367" t="s">
        <v>1772</v>
      </c>
      <c r="H4" s="3368"/>
      <c r="I4" s="3367" t="s">
        <v>1773</v>
      </c>
      <c r="J4" s="3368"/>
      <c r="K4" s="537" t="s">
        <v>1774</v>
      </c>
      <c r="L4" s="2486"/>
      <c r="M4" s="2487"/>
      <c r="N4" s="2487"/>
      <c r="O4" s="2487"/>
      <c r="P4" s="3371" t="s">
        <v>1775</v>
      </c>
      <c r="Q4" s="3372"/>
      <c r="R4" s="3353" t="s">
        <v>1771</v>
      </c>
      <c r="S4" s="3354"/>
      <c r="T4" s="3353" t="s">
        <v>1772</v>
      </c>
      <c r="U4" s="3354"/>
      <c r="V4" s="3350" t="s">
        <v>1773</v>
      </c>
      <c r="W4" s="3350"/>
      <c r="X4" s="1265"/>
      <c r="Y4" s="3353" t="s">
        <v>1775</v>
      </c>
      <c r="Z4" s="3354"/>
      <c r="AA4" s="3347" t="s">
        <v>1771</v>
      </c>
      <c r="AB4" s="3348" t="s">
        <v>1772</v>
      </c>
      <c r="AC4" s="3347" t="s">
        <v>1773</v>
      </c>
    </row>
    <row r="5" spans="1:29" ht="15">
      <c r="A5" s="348"/>
      <c r="B5" s="349"/>
      <c r="C5" s="3359" t="s">
        <v>1673</v>
      </c>
      <c r="D5" s="3360"/>
      <c r="E5" s="3414" t="s">
        <v>1674</v>
      </c>
      <c r="F5" s="3358"/>
      <c r="G5" s="3359" t="s">
        <v>1675</v>
      </c>
      <c r="H5" s="3360"/>
      <c r="I5" s="3359" t="s">
        <v>1676</v>
      </c>
      <c r="J5" s="3360"/>
      <c r="K5" s="537"/>
      <c r="L5" s="2486"/>
      <c r="M5" s="2487"/>
      <c r="N5" s="2487"/>
      <c r="O5" s="2487"/>
      <c r="P5" s="3373"/>
      <c r="Q5" s="3374"/>
      <c r="R5" s="3355"/>
      <c r="S5" s="3356"/>
      <c r="T5" s="3355"/>
      <c r="U5" s="3356"/>
      <c r="V5" s="3350"/>
      <c r="W5" s="3350"/>
      <c r="X5" s="1265"/>
      <c r="Y5" s="3355"/>
      <c r="Z5" s="3356"/>
      <c r="AA5" s="3348"/>
      <c r="AB5" s="3348"/>
      <c r="AC5" s="3348"/>
    </row>
    <row r="6" spans="1:29" ht="15.75" thickBot="1">
      <c r="A6" s="350"/>
      <c r="B6" s="351"/>
      <c r="C6" s="3361" t="s">
        <v>1677</v>
      </c>
      <c r="D6" s="3362"/>
      <c r="E6" s="3364" t="s">
        <v>1677</v>
      </c>
      <c r="F6" s="3365"/>
      <c r="G6" s="3361" t="s">
        <v>1677</v>
      </c>
      <c r="H6" s="3362"/>
      <c r="I6" s="3361" t="s">
        <v>1677</v>
      </c>
      <c r="J6" s="3362"/>
      <c r="K6" s="537" t="s">
        <v>1678</v>
      </c>
      <c r="L6" s="2486"/>
      <c r="M6" s="2487"/>
      <c r="N6" s="2487"/>
      <c r="O6" s="2487"/>
      <c r="P6" s="3375"/>
      <c r="Q6" s="3376"/>
      <c r="R6" s="3355"/>
      <c r="S6" s="3356"/>
      <c r="T6" s="3377"/>
      <c r="U6" s="3378"/>
      <c r="V6" s="3350"/>
      <c r="W6" s="3350"/>
      <c r="X6" s="1265"/>
      <c r="Y6" s="3377"/>
      <c r="Z6" s="3378"/>
      <c r="AA6" s="3349"/>
      <c r="AB6" s="3349"/>
      <c r="AC6" s="3349"/>
    </row>
    <row r="7" spans="1:29" s="102" customFormat="1" ht="15.75" thickBot="1">
      <c r="A7" s="352" t="s">
        <v>1679</v>
      </c>
      <c r="B7" s="353"/>
      <c r="C7" s="354">
        <f>'数据-取费表'!B2</f>
        <v>45614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51" t="s">
        <v>1680</v>
      </c>
      <c r="Q7" s="3379"/>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51" t="s">
        <v>1683</v>
      </c>
      <c r="Q8" s="3352"/>
      <c r="R8" s="664" t="s">
        <v>14</v>
      </c>
      <c r="S8" s="665">
        <f t="shared" si="0"/>
        <v>0</v>
      </c>
      <c r="T8" s="664" t="s">
        <v>14</v>
      </c>
      <c r="U8" s="665">
        <f t="shared" si="1"/>
        <v>0</v>
      </c>
      <c r="V8" s="664" t="s">
        <v>14</v>
      </c>
      <c r="W8" s="665">
        <f t="shared" si="2"/>
        <v>0</v>
      </c>
      <c r="X8" s="666"/>
      <c r="Y8" s="3351" t="s">
        <v>1683</v>
      </c>
      <c r="Z8" s="335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9"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193</v>
      </c>
      <c r="G10" s="402"/>
      <c r="H10" s="119">
        <f>ROUND(100/'数据-取费表'!G16,0)</f>
        <v>193</v>
      </c>
      <c r="I10" s="402"/>
      <c r="J10" s="119">
        <f>ROUND(100/'数据-取费表'!G16,0)</f>
        <v>193</v>
      </c>
      <c r="K10" s="592"/>
      <c r="L10" s="2489"/>
      <c r="M10" s="2490"/>
      <c r="N10" s="2490"/>
      <c r="O10" s="2541"/>
      <c r="P10" s="3389"/>
      <c r="Q10" s="530" t="str">
        <f t="shared" si="6"/>
        <v>土地使用年限（年）</v>
      </c>
      <c r="R10" s="664" t="s">
        <v>14</v>
      </c>
      <c r="S10" s="665">
        <f t="shared" si="0"/>
        <v>193</v>
      </c>
      <c r="T10" s="664" t="s">
        <v>14</v>
      </c>
      <c r="U10" s="665">
        <f t="shared" si="1"/>
        <v>193</v>
      </c>
      <c r="V10" s="664" t="s">
        <v>14</v>
      </c>
      <c r="W10" s="665">
        <f t="shared" si="2"/>
        <v>193</v>
      </c>
      <c r="X10" s="666"/>
      <c r="Y10" s="3315"/>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9"/>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9"/>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9"/>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9"/>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83"/>
      <c r="Q20" s="1263"/>
      <c r="R20" s="667"/>
      <c r="S20" s="668"/>
      <c r="T20" s="667"/>
      <c r="U20" s="668"/>
      <c r="V20" s="667"/>
      <c r="W20" s="668"/>
      <c r="X20" s="1265"/>
      <c r="Y20" s="3383"/>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83"/>
      <c r="Q24" s="1263"/>
      <c r="R24" s="667"/>
      <c r="S24" s="668"/>
      <c r="T24" s="667"/>
      <c r="U24" s="668"/>
      <c r="V24" s="667"/>
      <c r="W24" s="668"/>
      <c r="X24" s="1265"/>
      <c r="Y24" s="3383"/>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83"/>
      <c r="Q26" s="1263"/>
      <c r="R26" s="667"/>
      <c r="S26" s="668"/>
      <c r="T26" s="667"/>
      <c r="U26" s="668"/>
      <c r="V26" s="667"/>
      <c r="W26" s="668"/>
      <c r="X26" s="1265"/>
      <c r="Y26" s="3383"/>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83"/>
      <c r="Q28" s="530"/>
      <c r="R28" s="664"/>
      <c r="S28" s="665"/>
      <c r="T28" s="664"/>
      <c r="U28" s="665"/>
      <c r="V28" s="664"/>
      <c r="W28" s="665"/>
      <c r="X28" s="666"/>
      <c r="Y28" s="3383"/>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0"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89" t="str">
        <f>A46</f>
        <v>成交单价</v>
      </c>
      <c r="Q46" s="3389"/>
      <c r="R46" s="3350">
        <f>E46</f>
        <v>0</v>
      </c>
      <c r="S46" s="3350"/>
      <c r="T46" s="3350">
        <f>G46</f>
        <v>0</v>
      </c>
      <c r="U46" s="3350"/>
      <c r="V46" s="3350">
        <f>I46</f>
        <v>0</v>
      </c>
      <c r="W46" s="3350"/>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9" t="str">
        <f>A47</f>
        <v>比较价值（元/平方米）</v>
      </c>
      <c r="Q47" s="3389"/>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90" t="str">
        <f>A48</f>
        <v>估价对象XX用房的比较价值（楼面单价，元/平方米）</v>
      </c>
      <c r="Q48" s="3391"/>
      <c r="R48" s="3433" t="e">
        <f>ROUND(IF(D47="简单平均",AVERAGE(R47:W47),R47*F47+T47*H47+V47*J47),0)</f>
        <v>#DIV/0!</v>
      </c>
      <c r="S48" s="3433"/>
      <c r="T48" s="3433"/>
      <c r="U48" s="3433"/>
      <c r="V48" s="3433"/>
      <c r="W48" s="343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67" t="s">
        <v>1887</v>
      </c>
      <c r="H55" s="343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75.680000000000007</v>
      </c>
      <c r="F56" s="833" t="e">
        <f t="shared" ref="F56:F64" si="15">ROUND(B56*E56/10000,0)</f>
        <v>#DIV/0!</v>
      </c>
      <c r="G56" s="3366"/>
      <c r="H56" s="338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75.680000000000007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7" t="s">
        <v>1770</v>
      </c>
      <c r="D4" s="3368"/>
      <c r="E4" s="3369" t="s">
        <v>1771</v>
      </c>
      <c r="F4" s="3370"/>
      <c r="G4" s="3367" t="s">
        <v>1772</v>
      </c>
      <c r="H4" s="3368"/>
      <c r="I4" s="3367" t="s">
        <v>1773</v>
      </c>
      <c r="J4" s="3368"/>
      <c r="K4" s="537" t="s">
        <v>1774</v>
      </c>
      <c r="L4" s="2486"/>
      <c r="M4" s="2487"/>
      <c r="N4" s="2487"/>
      <c r="O4" s="2487"/>
      <c r="P4" s="3371" t="s">
        <v>1775</v>
      </c>
      <c r="Q4" s="3372"/>
      <c r="R4" s="3353" t="s">
        <v>1771</v>
      </c>
      <c r="S4" s="3354"/>
      <c r="T4" s="3353" t="s">
        <v>1772</v>
      </c>
      <c r="U4" s="3354"/>
      <c r="V4" s="3350" t="s">
        <v>1773</v>
      </c>
      <c r="W4" s="3350"/>
      <c r="X4" s="1265"/>
      <c r="Y4" s="3353" t="s">
        <v>1775</v>
      </c>
      <c r="Z4" s="3354"/>
      <c r="AA4" s="3347" t="s">
        <v>1771</v>
      </c>
      <c r="AB4" s="3348" t="s">
        <v>1772</v>
      </c>
      <c r="AC4" s="3347" t="s">
        <v>1773</v>
      </c>
    </row>
    <row r="5" spans="1:29" ht="15">
      <c r="A5" s="348"/>
      <c r="B5" s="349"/>
      <c r="C5" s="3359" t="s">
        <v>1673</v>
      </c>
      <c r="D5" s="3360"/>
      <c r="E5" s="3414" t="s">
        <v>1674</v>
      </c>
      <c r="F5" s="3358"/>
      <c r="G5" s="3359" t="s">
        <v>1675</v>
      </c>
      <c r="H5" s="3360"/>
      <c r="I5" s="3359" t="s">
        <v>1676</v>
      </c>
      <c r="J5" s="3360"/>
      <c r="K5" s="537"/>
      <c r="L5" s="2486"/>
      <c r="M5" s="2487"/>
      <c r="N5" s="2487"/>
      <c r="O5" s="2487"/>
      <c r="P5" s="3373"/>
      <c r="Q5" s="3374"/>
      <c r="R5" s="3355"/>
      <c r="S5" s="3356"/>
      <c r="T5" s="3355"/>
      <c r="U5" s="3356"/>
      <c r="V5" s="3350"/>
      <c r="W5" s="3350"/>
      <c r="X5" s="1265"/>
      <c r="Y5" s="3355"/>
      <c r="Z5" s="3356"/>
      <c r="AA5" s="3348"/>
      <c r="AB5" s="3348"/>
      <c r="AC5" s="3348"/>
    </row>
    <row r="6" spans="1:29" ht="15.75" thickBot="1">
      <c r="A6" s="350"/>
      <c r="B6" s="351"/>
      <c r="C6" s="3435" t="s">
        <v>1919</v>
      </c>
      <c r="D6" s="3436"/>
      <c r="E6" s="3437" t="s">
        <v>1919</v>
      </c>
      <c r="F6" s="3438"/>
      <c r="G6" s="3435" t="s">
        <v>1919</v>
      </c>
      <c r="H6" s="3436"/>
      <c r="I6" s="3435" t="s">
        <v>1919</v>
      </c>
      <c r="J6" s="3436"/>
      <c r="K6" s="537" t="s">
        <v>1678</v>
      </c>
      <c r="L6" s="2486"/>
      <c r="M6" s="2487"/>
      <c r="N6" s="2487"/>
      <c r="O6" s="2487"/>
      <c r="P6" s="3375"/>
      <c r="Q6" s="3376"/>
      <c r="R6" s="3355"/>
      <c r="S6" s="3356"/>
      <c r="T6" s="3377"/>
      <c r="U6" s="3378"/>
      <c r="V6" s="3350"/>
      <c r="W6" s="3350"/>
      <c r="X6" s="1265"/>
      <c r="Y6" s="3377"/>
      <c r="Z6" s="3378"/>
      <c r="AA6" s="3349"/>
      <c r="AB6" s="3349"/>
      <c r="AC6" s="3349"/>
    </row>
    <row r="7" spans="1:29" s="102" customFormat="1" ht="15.75" thickBot="1">
      <c r="A7" s="352" t="s">
        <v>1679</v>
      </c>
      <c r="B7" s="353"/>
      <c r="C7" s="354">
        <f>'数据-取费表'!B2</f>
        <v>45614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51" t="s">
        <v>1680</v>
      </c>
      <c r="Q7" s="3379"/>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51" t="s">
        <v>1683</v>
      </c>
      <c r="Q8" s="3352"/>
      <c r="R8" s="664" t="s">
        <v>14</v>
      </c>
      <c r="S8" s="665">
        <f t="shared" si="0"/>
        <v>0</v>
      </c>
      <c r="T8" s="664" t="s">
        <v>14</v>
      </c>
      <c r="U8" s="665">
        <f t="shared" si="1"/>
        <v>0</v>
      </c>
      <c r="V8" s="664" t="s">
        <v>14</v>
      </c>
      <c r="W8" s="665">
        <f t="shared" si="2"/>
        <v>0</v>
      </c>
      <c r="X8" s="666"/>
      <c r="Y8" s="3351" t="s">
        <v>1683</v>
      </c>
      <c r="Z8" s="335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9"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193</v>
      </c>
      <c r="G10" s="371"/>
      <c r="H10" s="119">
        <f>ROUND(100/'数据-取费表'!G16,0)</f>
        <v>193</v>
      </c>
      <c r="I10" s="371"/>
      <c r="J10" s="119">
        <f>ROUND(100/'数据-取费表'!G16,0)</f>
        <v>193</v>
      </c>
      <c r="K10" s="592"/>
      <c r="L10" s="2489"/>
      <c r="M10" s="2490"/>
      <c r="N10" s="2490"/>
      <c r="O10" s="2541"/>
      <c r="P10" s="3389"/>
      <c r="Q10" s="530" t="str">
        <f t="shared" si="6"/>
        <v>土地使用年限（年）</v>
      </c>
      <c r="R10" s="664" t="s">
        <v>14</v>
      </c>
      <c r="S10" s="665">
        <f t="shared" si="0"/>
        <v>193</v>
      </c>
      <c r="T10" s="664" t="s">
        <v>14</v>
      </c>
      <c r="U10" s="665">
        <f t="shared" si="1"/>
        <v>193</v>
      </c>
      <c r="V10" s="664" t="s">
        <v>14</v>
      </c>
      <c r="W10" s="665">
        <f t="shared" si="2"/>
        <v>193</v>
      </c>
      <c r="X10" s="666"/>
      <c r="Y10" s="3315"/>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9"/>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9"/>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9"/>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9"/>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83"/>
      <c r="Q20" s="1263"/>
      <c r="R20" s="667"/>
      <c r="S20" s="668"/>
      <c r="T20" s="667"/>
      <c r="U20" s="668"/>
      <c r="V20" s="667"/>
      <c r="W20" s="668"/>
      <c r="X20" s="1265"/>
      <c r="Y20" s="3383"/>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83"/>
      <c r="Q24" s="530"/>
      <c r="R24" s="664"/>
      <c r="S24" s="665"/>
      <c r="T24" s="664"/>
      <c r="U24" s="665"/>
      <c r="V24" s="664"/>
      <c r="W24" s="665"/>
      <c r="X24" s="666"/>
      <c r="Y24" s="3383"/>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0"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89" t="str">
        <f>A41</f>
        <v>成交单价</v>
      </c>
      <c r="Q41" s="3389"/>
      <c r="R41" s="3350">
        <f>E41</f>
        <v>0</v>
      </c>
      <c r="S41" s="3350"/>
      <c r="T41" s="3350">
        <f>G41</f>
        <v>0</v>
      </c>
      <c r="U41" s="3350"/>
      <c r="V41" s="3350">
        <f>I41</f>
        <v>0</v>
      </c>
      <c r="W41" s="335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9" t="str">
        <f>A42</f>
        <v>比较价值（元/平方米）</v>
      </c>
      <c r="Q42" s="3389"/>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90" t="str">
        <f>A43</f>
        <v>估价对象XX用房的比较价值（楼面单价，元/平方米）</v>
      </c>
      <c r="Q43" s="3391"/>
      <c r="R43" s="3433" t="e">
        <f>ROUND(IF(D42="简单平均",AVERAGE(R42:W42),R42*F42+T42*H42+V42*J42),0)</f>
        <v>#DIV/0!</v>
      </c>
      <c r="S43" s="3433"/>
      <c r="T43" s="3433"/>
      <c r="U43" s="3433"/>
      <c r="V43" s="3433"/>
      <c r="W43" s="343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7" t="s">
        <v>1887</v>
      </c>
      <c r="H50" s="343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75.680000000000007</v>
      </c>
      <c r="F51" s="611" t="e">
        <f t="shared" ref="F51:F60" si="15">ROUND(B51*E51/10000,0)</f>
        <v>#DIV/0!</v>
      </c>
      <c r="G51" s="3366"/>
      <c r="H51" s="338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2"/>
      <c r="B4" s="3453"/>
      <c r="C4" s="3453"/>
      <c r="D4" s="3454"/>
      <c r="E4" s="3454"/>
      <c r="F4" s="3454"/>
      <c r="G4" s="3454"/>
      <c r="H4" s="3454"/>
      <c r="I4" s="3454"/>
      <c r="J4" s="345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1"/>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t="e">
        <f>ROUND(G18/I18,2)</f>
        <v>#DIV/0!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6" t="s">
        <v>3247</v>
      </c>
      <c r="B20" s="159" t="s">
        <v>1994</v>
      </c>
      <c r="C20" s="3031" t="e">
        <f>ROUND(IF(F21="与级别开发程度一致",0,(G21-E21)/C21),0)</f>
        <v>#DIV/0!</v>
      </c>
      <c r="D20" s="3046" t="s">
        <v>1998</v>
      </c>
      <c r="E20" s="3047"/>
      <c r="F20" s="3462" t="s">
        <v>1995</v>
      </c>
      <c r="G20" s="3463"/>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45614</v>
      </c>
      <c r="H23" s="3048" t="s">
        <v>3249</v>
      </c>
      <c r="I23" s="3049" t="str">
        <f>IF(H23="季度增幅（自定义）",SUMIF(N25:N28,E2,O25:O28),"")</f>
        <v/>
      </c>
      <c r="J23" s="3141" t="s">
        <v>3248</v>
      </c>
      <c r="K23" s="1061"/>
      <c r="L23" s="1896" t="s">
        <v>2004</v>
      </c>
      <c r="M23" s="1241">
        <f>ROUND(SUMIF(地价!B2:G2,E2,地价!B16:G16),0)</f>
        <v>0</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60"/>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1"/>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1"/>
      <c r="B39" s="1883" t="s">
        <v>3252</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2053</v>
      </c>
      <c r="B84" s="1262">
        <f>估价对象房地状况!G16</f>
        <v>0</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3263</v>
      </c>
      <c r="B85" s="1262">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4">
      <c r="A87" s="1969" t="s">
        <v>2059</v>
      </c>
      <c r="B87" s="1240">
        <f>估价对象房地状况!G19</f>
        <v>0</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4">
      <c r="A88" s="1969" t="s">
        <v>2060</v>
      </c>
      <c r="B88" s="1240">
        <f>估价对象房地状况!G20</f>
        <v>0</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15" thickBot="1">
      <c r="A90" s="1976" t="s">
        <v>2072</v>
      </c>
      <c r="B90" s="1981">
        <f>估价对象房地状况!G18</f>
        <v>0</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3266</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3267</v>
      </c>
      <c r="B96" s="3086" t="s">
        <v>3278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3269</v>
      </c>
      <c r="B98" s="3087" t="s">
        <v>3279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3270</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3271</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3272</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8" t="s">
        <v>3287</v>
      </c>
      <c r="B103" s="3458"/>
      <c r="C103" s="3458"/>
      <c r="D103" s="3458"/>
      <c r="E103" s="3458"/>
      <c r="F103" s="3458"/>
      <c r="G103" s="3458"/>
      <c r="H103" s="3458"/>
      <c r="I103" s="3458"/>
      <c r="J103" s="3458"/>
      <c r="K103" s="1666"/>
      <c r="L103" s="1666"/>
      <c r="M103" s="1666"/>
      <c r="N103" s="1666"/>
    </row>
    <row r="104" spans="1:14">
      <c r="A104" s="3459" t="s">
        <v>3288</v>
      </c>
      <c r="B104" s="3459" t="s">
        <v>3289</v>
      </c>
      <c r="C104" s="3090" t="s">
        <v>3290</v>
      </c>
      <c r="D104" s="3091"/>
      <c r="E104" s="3091"/>
      <c r="F104" s="3091"/>
      <c r="G104" s="3091"/>
      <c r="H104" s="3091"/>
      <c r="I104" s="3091"/>
      <c r="J104" s="3092"/>
      <c r="K104" s="3093"/>
      <c r="L104" s="3093"/>
      <c r="M104" s="3093"/>
      <c r="N104" s="3093"/>
    </row>
    <row r="105" spans="1:14">
      <c r="A105" s="3459"/>
      <c r="B105" s="3459"/>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445"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6"/>
      <c r="B111" s="3094" t="s">
        <v>3261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8" t="s">
        <v>3304</v>
      </c>
      <c r="B113" s="3448"/>
      <c r="C113" s="3448"/>
      <c r="D113" s="3448"/>
      <c r="E113" s="3448"/>
      <c r="F113" s="3448"/>
      <c r="G113" s="3448"/>
      <c r="H113" s="3448"/>
      <c r="I113" s="3448"/>
      <c r="J113" s="344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0</v>
      </c>
      <c r="C116" s="3099" t="s">
        <v>3306</v>
      </c>
      <c r="D116" s="3100">
        <f>SUMPRODUCT((A118:A122=F116)*(B117:M117=H116)*B118:M122)</f>
        <v>0</v>
      </c>
      <c r="E116" s="162" t="s">
        <v>3307</v>
      </c>
      <c r="F116" s="3101">
        <f>E2</f>
        <v>0</v>
      </c>
      <c r="G116" s="162" t="s">
        <v>3308</v>
      </c>
      <c r="H116" s="3101">
        <f>G2</f>
        <v>0</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71" t="s">
        <v>2600</v>
      </c>
      <c r="B20" s="3464" t="s">
        <v>2621</v>
      </c>
      <c r="C20" s="2842" t="s">
        <v>2432</v>
      </c>
      <c r="D20" s="2843"/>
      <c r="E20" s="2844">
        <v>1</v>
      </c>
      <c r="F20" s="2845" t="s">
        <v>2433</v>
      </c>
      <c r="G20" s="2845"/>
    </row>
    <row r="21" spans="1:13" ht="19.5" customHeight="1">
      <c r="A21" s="3472"/>
      <c r="B21" s="3465"/>
      <c r="C21" s="2846" t="s">
        <v>2434</v>
      </c>
      <c r="D21" s="2847"/>
      <c r="E21" s="2848">
        <v>1</v>
      </c>
      <c r="F21" s="2845" t="s">
        <v>2435</v>
      </c>
      <c r="G21" s="2845"/>
    </row>
    <row r="22" spans="1:13" ht="19.5" customHeight="1">
      <c r="A22" s="3472"/>
      <c r="B22" s="3465"/>
      <c r="C22" s="2846" t="s">
        <v>2436</v>
      </c>
      <c r="D22" s="2847"/>
      <c r="E22" s="2848">
        <v>0.9</v>
      </c>
      <c r="F22" s="2845" t="s">
        <v>2437</v>
      </c>
      <c r="G22" s="2845"/>
    </row>
    <row r="23" spans="1:13" ht="19.5" customHeight="1">
      <c r="A23" s="3472"/>
      <c r="B23" s="3465"/>
      <c r="C23" s="2846" t="s">
        <v>2438</v>
      </c>
      <c r="D23" s="2847"/>
      <c r="E23" s="2848">
        <v>0.9</v>
      </c>
      <c r="F23" s="2845" t="s">
        <v>2439</v>
      </c>
      <c r="G23" s="2845"/>
    </row>
    <row r="24" spans="1:13" ht="19.5" customHeight="1">
      <c r="A24" s="3472"/>
      <c r="B24" s="3465"/>
      <c r="C24" s="2846" t="s">
        <v>2440</v>
      </c>
      <c r="D24" s="2847"/>
      <c r="E24" s="2848">
        <v>0.8</v>
      </c>
      <c r="F24" s="2845" t="s">
        <v>2441</v>
      </c>
      <c r="G24" s="2845"/>
    </row>
    <row r="25" spans="1:13" ht="19.5" customHeight="1" thickBot="1">
      <c r="A25" s="3473"/>
      <c r="B25" s="3466"/>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7" t="s">
        <v>2624</v>
      </c>
      <c r="B27" s="3464" t="s">
        <v>2605</v>
      </c>
      <c r="C27" s="2842" t="s">
        <v>2445</v>
      </c>
      <c r="D27" s="2843"/>
      <c r="E27" s="2844">
        <v>1</v>
      </c>
      <c r="F27" s="2845" t="s">
        <v>2446</v>
      </c>
      <c r="G27" s="2845"/>
    </row>
    <row r="28" spans="1:13" ht="19.5" customHeight="1">
      <c r="A28" s="3468"/>
      <c r="B28" s="3465"/>
      <c r="C28" s="2846" t="s">
        <v>2447</v>
      </c>
      <c r="D28" s="2847"/>
      <c r="E28" s="2848">
        <v>1</v>
      </c>
      <c r="F28" s="2845" t="s">
        <v>2448</v>
      </c>
      <c r="G28" s="2845"/>
    </row>
    <row r="29" spans="1:13" ht="19.5" customHeight="1">
      <c r="A29" s="3468"/>
      <c r="B29" s="3465"/>
      <c r="C29" s="2846" t="s">
        <v>2449</v>
      </c>
      <c r="D29" s="2847"/>
      <c r="E29" s="2848">
        <v>0.8</v>
      </c>
      <c r="F29" s="2845" t="s">
        <v>2450</v>
      </c>
      <c r="G29" s="2845"/>
    </row>
    <row r="30" spans="1:13" ht="19.5" customHeight="1">
      <c r="A30" s="3468"/>
      <c r="B30" s="3465"/>
      <c r="C30" s="2846" t="s">
        <v>2451</v>
      </c>
      <c r="D30" s="2847"/>
      <c r="E30" s="2848">
        <v>0.8</v>
      </c>
      <c r="F30" s="2845" t="s">
        <v>2452</v>
      </c>
      <c r="G30" s="2845"/>
    </row>
    <row r="31" spans="1:13" ht="19.5" customHeight="1">
      <c r="A31" s="3468"/>
      <c r="B31" s="3465"/>
      <c r="C31" s="2846" t="s">
        <v>2453</v>
      </c>
      <c r="D31" s="2847"/>
      <c r="E31" s="2848">
        <v>0.8</v>
      </c>
      <c r="F31" s="2845" t="s">
        <v>2454</v>
      </c>
      <c r="G31" s="2845"/>
    </row>
    <row r="32" spans="1:13" ht="19.5" customHeight="1">
      <c r="A32" s="3468"/>
      <c r="B32" s="3465"/>
      <c r="C32" s="2846" t="s">
        <v>2455</v>
      </c>
      <c r="D32" s="2847"/>
      <c r="E32" s="2848">
        <v>0.7</v>
      </c>
      <c r="F32" s="2845" t="s">
        <v>2456</v>
      </c>
      <c r="G32" s="2845"/>
    </row>
    <row r="33" spans="1:7" ht="19.5" customHeight="1">
      <c r="A33" s="3468"/>
      <c r="B33" s="3465"/>
      <c r="C33" s="2846" t="s">
        <v>2457</v>
      </c>
      <c r="D33" s="2847"/>
      <c r="E33" s="2848">
        <v>0.8</v>
      </c>
      <c r="F33" s="2845" t="s">
        <v>2458</v>
      </c>
      <c r="G33" s="2845"/>
    </row>
    <row r="34" spans="1:7" ht="19.5" customHeight="1">
      <c r="A34" s="3468"/>
      <c r="B34" s="3465"/>
      <c r="C34" s="2846" t="s">
        <v>2459</v>
      </c>
      <c r="D34" s="2847"/>
      <c r="E34" s="2848">
        <v>0.6</v>
      </c>
      <c r="F34" s="2845" t="s">
        <v>2460</v>
      </c>
      <c r="G34" s="2845"/>
    </row>
    <row r="35" spans="1:7" ht="19.5" customHeight="1">
      <c r="A35" s="3468"/>
      <c r="B35" s="3465"/>
      <c r="C35" s="2846" t="s">
        <v>2461</v>
      </c>
      <c r="D35" s="2847"/>
      <c r="E35" s="2848">
        <v>0.2</v>
      </c>
      <c r="F35" s="2845" t="s">
        <v>2462</v>
      </c>
      <c r="G35" s="2845"/>
    </row>
    <row r="36" spans="1:7" ht="19.5" customHeight="1">
      <c r="A36" s="3468"/>
      <c r="B36" s="3465"/>
      <c r="C36" s="2846" t="s">
        <v>2463</v>
      </c>
      <c r="D36" s="2847"/>
      <c r="E36" s="2848">
        <v>0.2</v>
      </c>
      <c r="F36" s="2845" t="s">
        <v>2464</v>
      </c>
      <c r="G36" s="2845"/>
    </row>
    <row r="37" spans="1:7" ht="19.5" customHeight="1">
      <c r="A37" s="3468"/>
      <c r="B37" s="3470" t="s">
        <v>2625</v>
      </c>
      <c r="C37" s="2846" t="s">
        <v>2465</v>
      </c>
      <c r="D37" s="2847"/>
      <c r="E37" s="2848">
        <v>0.6</v>
      </c>
      <c r="F37" s="2845" t="s">
        <v>2466</v>
      </c>
      <c r="G37" s="2845"/>
    </row>
    <row r="38" spans="1:7" ht="19.5" customHeight="1">
      <c r="A38" s="3468"/>
      <c r="B38" s="3465"/>
      <c r="C38" s="2846" t="s">
        <v>2467</v>
      </c>
      <c r="D38" s="2847"/>
      <c r="E38" s="2848">
        <v>0.6</v>
      </c>
      <c r="F38" s="2845" t="s">
        <v>2468</v>
      </c>
      <c r="G38" s="2845"/>
    </row>
    <row r="39" spans="1:7" ht="19.5" customHeight="1" thickBot="1">
      <c r="A39" s="3469"/>
      <c r="B39" s="3466"/>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71" t="s">
        <v>2603</v>
      </c>
      <c r="B41" s="3464" t="s">
        <v>2627</v>
      </c>
      <c r="C41" s="2842" t="s">
        <v>2472</v>
      </c>
      <c r="D41" s="2843"/>
      <c r="E41" s="2844">
        <v>1</v>
      </c>
      <c r="F41" s="2845" t="s">
        <v>2473</v>
      </c>
      <c r="G41" s="2845"/>
    </row>
    <row r="42" spans="1:7" ht="19.5" customHeight="1">
      <c r="A42" s="3472"/>
      <c r="B42" s="3465"/>
      <c r="C42" s="2846" t="s">
        <v>2474</v>
      </c>
      <c r="D42" s="2847"/>
      <c r="E42" s="2848">
        <v>1</v>
      </c>
      <c r="F42" s="2845" t="s">
        <v>2475</v>
      </c>
      <c r="G42" s="2845"/>
    </row>
    <row r="43" spans="1:7" ht="19.5" customHeight="1">
      <c r="A43" s="3472"/>
      <c r="B43" s="3474"/>
      <c r="C43" s="2846" t="s">
        <v>2476</v>
      </c>
      <c r="D43" s="2847"/>
      <c r="E43" s="2848">
        <v>1.5</v>
      </c>
      <c r="F43" s="2845" t="s">
        <v>2477</v>
      </c>
      <c r="G43" s="2845"/>
    </row>
    <row r="44" spans="1:7" ht="19.5" customHeight="1">
      <c r="A44" s="3472"/>
      <c r="B44" s="2857" t="s">
        <v>2628</v>
      </c>
      <c r="C44" s="2846" t="s">
        <v>2629</v>
      </c>
      <c r="D44" s="2847"/>
      <c r="E44" s="2848">
        <v>2</v>
      </c>
      <c r="F44" s="2845" t="s">
        <v>2478</v>
      </c>
      <c r="G44" s="2845"/>
    </row>
    <row r="45" spans="1:7" ht="19.5" customHeight="1">
      <c r="A45" s="3472"/>
      <c r="B45" s="3470" t="s">
        <v>2630</v>
      </c>
      <c r="C45" s="2846" t="s">
        <v>2479</v>
      </c>
      <c r="D45" s="2847"/>
      <c r="E45" s="2848">
        <v>1</v>
      </c>
      <c r="F45" s="2845" t="s">
        <v>2480</v>
      </c>
      <c r="G45" s="2845"/>
    </row>
    <row r="46" spans="1:7" ht="19.5" customHeight="1">
      <c r="A46" s="3472"/>
      <c r="B46" s="3465"/>
      <c r="C46" s="2846" t="s">
        <v>2481</v>
      </c>
      <c r="D46" s="2847"/>
      <c r="E46" s="2848">
        <v>1</v>
      </c>
      <c r="F46" s="2845" t="s">
        <v>2482</v>
      </c>
      <c r="G46" s="2845"/>
    </row>
    <row r="47" spans="1:7" ht="19.5" customHeight="1">
      <c r="A47" s="3472"/>
      <c r="B47" s="3465"/>
      <c r="C47" s="2846" t="s">
        <v>2483</v>
      </c>
      <c r="D47" s="2847"/>
      <c r="E47" s="2848">
        <v>1</v>
      </c>
      <c r="F47" s="2845" t="s">
        <v>2484</v>
      </c>
      <c r="G47" s="2845"/>
    </row>
    <row r="48" spans="1:7" ht="19.5" customHeight="1">
      <c r="A48" s="3472"/>
      <c r="B48" s="3465"/>
      <c r="C48" s="2846" t="s">
        <v>2485</v>
      </c>
      <c r="D48" s="2847"/>
      <c r="E48" s="2848">
        <v>1</v>
      </c>
      <c r="F48" s="2845" t="s">
        <v>2486</v>
      </c>
      <c r="G48" s="2845"/>
    </row>
    <row r="49" spans="1:7" ht="19.5" customHeight="1">
      <c r="A49" s="3472"/>
      <c r="B49" s="3465"/>
      <c r="C49" s="2846" t="s">
        <v>2487</v>
      </c>
      <c r="D49" s="2847"/>
      <c r="E49" s="2848">
        <v>1</v>
      </c>
      <c r="F49" s="2845" t="s">
        <v>2488</v>
      </c>
      <c r="G49" s="2845"/>
    </row>
    <row r="50" spans="1:7" ht="19.5" customHeight="1">
      <c r="A50" s="3472"/>
      <c r="B50" s="3465"/>
      <c r="C50" s="2846" t="s">
        <v>2489</v>
      </c>
      <c r="D50" s="2847"/>
      <c r="E50" s="2848">
        <v>1</v>
      </c>
      <c r="F50" s="2845" t="s">
        <v>2490</v>
      </c>
      <c r="G50" s="2845"/>
    </row>
    <row r="51" spans="1:7" ht="19.5" customHeight="1" thickBot="1">
      <c r="A51" s="3473"/>
      <c r="B51" s="3466"/>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70" t="s">
        <v>2644</v>
      </c>
      <c r="C73" s="2831" t="s">
        <v>2645</v>
      </c>
      <c r="D73" s="2831" t="s">
        <v>2646</v>
      </c>
      <c r="E73" s="2857">
        <v>0.2</v>
      </c>
      <c r="F73" s="2857">
        <v>25</v>
      </c>
    </row>
    <row r="74" spans="1:7" ht="24">
      <c r="A74" s="2857">
        <v>2</v>
      </c>
      <c r="B74" s="3465"/>
      <c r="C74" s="2831" t="s">
        <v>2647</v>
      </c>
      <c r="D74" s="2831" t="s">
        <v>2648</v>
      </c>
      <c r="E74" s="2857">
        <v>0.2</v>
      </c>
      <c r="F74" s="2857">
        <v>25</v>
      </c>
    </row>
    <row r="75" spans="1:7" ht="24">
      <c r="A75" s="2857">
        <v>3</v>
      </c>
      <c r="B75" s="3465"/>
      <c r="C75" s="2831" t="s">
        <v>2649</v>
      </c>
      <c r="D75" s="2831" t="s">
        <v>2650</v>
      </c>
      <c r="E75" s="2857">
        <v>0.2</v>
      </c>
      <c r="F75" s="2857">
        <v>25</v>
      </c>
    </row>
    <row r="76" spans="1:7" ht="13.5">
      <c r="A76" s="2857">
        <v>4</v>
      </c>
      <c r="B76" s="3465"/>
      <c r="C76" s="2831" t="s">
        <v>2651</v>
      </c>
      <c r="D76" s="2831" t="s">
        <v>2652</v>
      </c>
      <c r="E76" s="2857">
        <v>0.15</v>
      </c>
      <c r="F76" s="2857">
        <v>20</v>
      </c>
    </row>
    <row r="77" spans="1:7" ht="24">
      <c r="A77" s="2857">
        <v>5</v>
      </c>
      <c r="B77" s="3465"/>
      <c r="C77" s="2831" t="s">
        <v>2653</v>
      </c>
      <c r="D77" s="2831" t="s">
        <v>2654</v>
      </c>
      <c r="E77" s="2857">
        <v>0.15</v>
      </c>
      <c r="F77" s="2857">
        <v>20</v>
      </c>
    </row>
    <row r="78" spans="1:7" ht="24">
      <c r="A78" s="2857">
        <v>6</v>
      </c>
      <c r="B78" s="3465"/>
      <c r="C78" s="2831" t="s">
        <v>2655</v>
      </c>
      <c r="D78" s="2831" t="s">
        <v>2656</v>
      </c>
      <c r="E78" s="2857">
        <v>0.15</v>
      </c>
      <c r="F78" s="2857">
        <v>20</v>
      </c>
    </row>
    <row r="79" spans="1:7" ht="24">
      <c r="A79" s="2857">
        <v>7</v>
      </c>
      <c r="B79" s="3465"/>
      <c r="C79" s="2831" t="s">
        <v>2657</v>
      </c>
      <c r="D79" s="2831" t="s">
        <v>2658</v>
      </c>
      <c r="E79" s="2857">
        <v>0.15</v>
      </c>
      <c r="F79" s="2857">
        <v>20</v>
      </c>
    </row>
    <row r="80" spans="1:7" ht="24">
      <c r="A80" s="2857">
        <v>8</v>
      </c>
      <c r="B80" s="3465"/>
      <c r="C80" s="2831" t="s">
        <v>2659</v>
      </c>
      <c r="D80" s="2831" t="s">
        <v>2660</v>
      </c>
      <c r="E80" s="2857">
        <v>0.1</v>
      </c>
      <c r="F80" s="2857">
        <v>15</v>
      </c>
    </row>
    <row r="81" spans="1:6" ht="24">
      <c r="A81" s="2857">
        <v>9</v>
      </c>
      <c r="B81" s="3465"/>
      <c r="C81" s="2831" t="s">
        <v>2661</v>
      </c>
      <c r="D81" s="2831" t="s">
        <v>2662</v>
      </c>
      <c r="E81" s="2857">
        <v>0.1</v>
      </c>
      <c r="F81" s="2857">
        <v>15</v>
      </c>
    </row>
    <row r="82" spans="1:6" ht="24">
      <c r="A82" s="2857">
        <v>10</v>
      </c>
      <c r="B82" s="3465"/>
      <c r="C82" s="2831" t="s">
        <v>2663</v>
      </c>
      <c r="D82" s="2831" t="s">
        <v>2664</v>
      </c>
      <c r="E82" s="2857">
        <v>0.1</v>
      </c>
      <c r="F82" s="2857">
        <v>15</v>
      </c>
    </row>
    <row r="83" spans="1:6" ht="24">
      <c r="A83" s="2857">
        <v>11</v>
      </c>
      <c r="B83" s="3465"/>
      <c r="C83" s="2831" t="s">
        <v>2665</v>
      </c>
      <c r="D83" s="2831" t="s">
        <v>2666</v>
      </c>
      <c r="E83" s="2857">
        <v>0.1</v>
      </c>
      <c r="F83" s="2857">
        <v>15</v>
      </c>
    </row>
    <row r="84" spans="1:6" ht="24">
      <c r="A84" s="2857">
        <v>12</v>
      </c>
      <c r="B84" s="3465"/>
      <c r="C84" s="2831" t="s">
        <v>2667</v>
      </c>
      <c r="D84" s="2831" t="s">
        <v>2668</v>
      </c>
      <c r="E84" s="2857">
        <v>0.1</v>
      </c>
      <c r="F84" s="2857">
        <v>15</v>
      </c>
    </row>
    <row r="85" spans="1:6" ht="13.5">
      <c r="A85" s="2857">
        <v>13</v>
      </c>
      <c r="B85" s="3465"/>
      <c r="C85" s="2831" t="s">
        <v>2669</v>
      </c>
      <c r="D85" s="2831" t="s">
        <v>2670</v>
      </c>
      <c r="E85" s="2857">
        <v>0.1</v>
      </c>
      <c r="F85" s="2857">
        <v>15</v>
      </c>
    </row>
    <row r="86" spans="1:6" ht="13.5">
      <c r="A86" s="2857">
        <v>14</v>
      </c>
      <c r="B86" s="3465"/>
      <c r="C86" s="2831" t="s">
        <v>2671</v>
      </c>
      <c r="D86" s="2831" t="s">
        <v>2672</v>
      </c>
      <c r="E86" s="2857">
        <v>0.1</v>
      </c>
      <c r="F86" s="2857">
        <v>15</v>
      </c>
    </row>
    <row r="87" spans="1:6" ht="13.5">
      <c r="A87" s="2857">
        <v>15</v>
      </c>
      <c r="B87" s="3465"/>
      <c r="C87" s="2831" t="s">
        <v>2673</v>
      </c>
      <c r="D87" s="2831" t="s">
        <v>2674</v>
      </c>
      <c r="E87" s="2857">
        <v>0.1</v>
      </c>
      <c r="F87" s="2857">
        <v>15</v>
      </c>
    </row>
    <row r="88" spans="1:6" ht="24">
      <c r="A88" s="2857">
        <v>16</v>
      </c>
      <c r="B88" s="3465"/>
      <c r="C88" s="2831" t="s">
        <v>2675</v>
      </c>
      <c r="D88" s="2831" t="s">
        <v>2676</v>
      </c>
      <c r="E88" s="2857">
        <v>0.1</v>
      </c>
      <c r="F88" s="2857">
        <v>15</v>
      </c>
    </row>
    <row r="89" spans="1:6" ht="24">
      <c r="A89" s="2857">
        <v>17</v>
      </c>
      <c r="B89" s="3474"/>
      <c r="C89" s="2831" t="s">
        <v>2677</v>
      </c>
      <c r="D89" s="2831" t="s">
        <v>2678</v>
      </c>
      <c r="E89" s="2857">
        <v>0.1</v>
      </c>
      <c r="F89" s="2857">
        <v>15</v>
      </c>
    </row>
    <row r="90" spans="1:6" ht="13.5">
      <c r="A90" s="2857">
        <v>18</v>
      </c>
      <c r="B90" s="3470" t="s">
        <v>2679</v>
      </c>
      <c r="C90" s="2831" t="s">
        <v>2680</v>
      </c>
      <c r="D90" s="2831" t="s">
        <v>2681</v>
      </c>
      <c r="E90" s="2857">
        <v>0.2</v>
      </c>
      <c r="F90" s="2857">
        <v>25</v>
      </c>
    </row>
    <row r="91" spans="1:6" ht="24">
      <c r="A91" s="2857">
        <v>19</v>
      </c>
      <c r="B91" s="3465"/>
      <c r="C91" s="2831" t="s">
        <v>2682</v>
      </c>
      <c r="D91" s="2831" t="s">
        <v>2683</v>
      </c>
      <c r="E91" s="2857">
        <v>0.2</v>
      </c>
      <c r="F91" s="2857">
        <v>25</v>
      </c>
    </row>
    <row r="92" spans="1:6" ht="13.5">
      <c r="A92" s="2857">
        <v>20</v>
      </c>
      <c r="B92" s="3465"/>
      <c r="C92" s="2831" t="s">
        <v>2684</v>
      </c>
      <c r="D92" s="2831" t="s">
        <v>2685</v>
      </c>
      <c r="E92" s="2857">
        <v>0.15</v>
      </c>
      <c r="F92" s="2857">
        <v>20</v>
      </c>
    </row>
    <row r="93" spans="1:6" ht="13.5">
      <c r="A93" s="2857">
        <v>21</v>
      </c>
      <c r="B93" s="3465"/>
      <c r="C93" s="2831" t="s">
        <v>2686</v>
      </c>
      <c r="D93" s="2831" t="s">
        <v>2687</v>
      </c>
      <c r="E93" s="2857">
        <v>0.15</v>
      </c>
      <c r="F93" s="2857">
        <v>20</v>
      </c>
    </row>
    <row r="94" spans="1:6" ht="13.5">
      <c r="A94" s="2857">
        <v>22</v>
      </c>
      <c r="B94" s="3465"/>
      <c r="C94" s="2831" t="s">
        <v>2688</v>
      </c>
      <c r="D94" s="2831" t="s">
        <v>2689</v>
      </c>
      <c r="E94" s="2857">
        <v>0.15</v>
      </c>
      <c r="F94" s="2857">
        <v>20</v>
      </c>
    </row>
    <row r="95" spans="1:6" ht="36">
      <c r="A95" s="2857">
        <v>23</v>
      </c>
      <c r="B95" s="3465"/>
      <c r="C95" s="2831" t="s">
        <v>2690</v>
      </c>
      <c r="D95" s="2831" t="s">
        <v>2691</v>
      </c>
      <c r="E95" s="2857">
        <v>0.15</v>
      </c>
      <c r="F95" s="2857">
        <v>20</v>
      </c>
    </row>
    <row r="96" spans="1:6" ht="13.5">
      <c r="A96" s="2857">
        <v>24</v>
      </c>
      <c r="B96" s="3465"/>
      <c r="C96" s="2831" t="s">
        <v>2692</v>
      </c>
      <c r="D96" s="2831" t="s">
        <v>2693</v>
      </c>
      <c r="E96" s="2857">
        <v>0.1</v>
      </c>
      <c r="F96" s="2857">
        <v>15</v>
      </c>
    </row>
    <row r="97" spans="1:6" ht="13.5">
      <c r="A97" s="2857">
        <v>25</v>
      </c>
      <c r="B97" s="3465"/>
      <c r="C97" s="2831" t="s">
        <v>2694</v>
      </c>
      <c r="D97" s="2831" t="s">
        <v>2695</v>
      </c>
      <c r="E97" s="2857">
        <v>0.1</v>
      </c>
      <c r="F97" s="2857">
        <v>15</v>
      </c>
    </row>
    <row r="98" spans="1:6" ht="24">
      <c r="A98" s="2857">
        <v>26</v>
      </c>
      <c r="B98" s="3465"/>
      <c r="C98" s="2831" t="s">
        <v>2696</v>
      </c>
      <c r="D98" s="2831" t="s">
        <v>2697</v>
      </c>
      <c r="E98" s="2857">
        <v>0.1</v>
      </c>
      <c r="F98" s="2857">
        <v>15</v>
      </c>
    </row>
    <row r="99" spans="1:6" ht="24">
      <c r="A99" s="2857">
        <v>27</v>
      </c>
      <c r="B99" s="3465"/>
      <c r="C99" s="2831" t="s">
        <v>2698</v>
      </c>
      <c r="D99" s="2831" t="s">
        <v>2699</v>
      </c>
      <c r="E99" s="2857">
        <v>0.1</v>
      </c>
      <c r="F99" s="2857">
        <v>15</v>
      </c>
    </row>
    <row r="100" spans="1:6" ht="13.5">
      <c r="A100" s="2857">
        <v>28</v>
      </c>
      <c r="B100" s="3465"/>
      <c r="C100" s="2831" t="s">
        <v>2700</v>
      </c>
      <c r="D100" s="2831" t="s">
        <v>2701</v>
      </c>
      <c r="E100" s="2857">
        <v>0.1</v>
      </c>
      <c r="F100" s="2857">
        <v>15</v>
      </c>
    </row>
    <row r="101" spans="1:6" ht="13.5">
      <c r="A101" s="2857">
        <v>29</v>
      </c>
      <c r="B101" s="3465"/>
      <c r="C101" s="2831" t="s">
        <v>2702</v>
      </c>
      <c r="D101" s="2831" t="s">
        <v>2703</v>
      </c>
      <c r="E101" s="2857">
        <v>0.1</v>
      </c>
      <c r="F101" s="2857">
        <v>15</v>
      </c>
    </row>
    <row r="102" spans="1:6" ht="13.5">
      <c r="A102" s="2857">
        <v>30</v>
      </c>
      <c r="B102" s="3465"/>
      <c r="C102" s="2831" t="s">
        <v>2704</v>
      </c>
      <c r="D102" s="2831" t="s">
        <v>2705</v>
      </c>
      <c r="E102" s="2857">
        <v>0.1</v>
      </c>
      <c r="F102" s="2857">
        <v>15</v>
      </c>
    </row>
    <row r="103" spans="1:6" ht="24">
      <c r="A103" s="2857">
        <v>31</v>
      </c>
      <c r="B103" s="3465"/>
      <c r="C103" s="2831" t="s">
        <v>2706</v>
      </c>
      <c r="D103" s="2831" t="s">
        <v>2707</v>
      </c>
      <c r="E103" s="2857">
        <v>0.1</v>
      </c>
      <c r="F103" s="2857">
        <v>15</v>
      </c>
    </row>
    <row r="104" spans="1:6" ht="24">
      <c r="A104" s="2857">
        <v>32</v>
      </c>
      <c r="B104" s="3465"/>
      <c r="C104" s="2831" t="s">
        <v>2708</v>
      </c>
      <c r="D104" s="2831" t="s">
        <v>2709</v>
      </c>
      <c r="E104" s="2857">
        <v>0.1</v>
      </c>
      <c r="F104" s="2857">
        <v>15</v>
      </c>
    </row>
    <row r="105" spans="1:6" ht="24">
      <c r="A105" s="2857">
        <v>33</v>
      </c>
      <c r="B105" s="3465"/>
      <c r="C105" s="2831" t="s">
        <v>2710</v>
      </c>
      <c r="D105" s="2831" t="s">
        <v>2711</v>
      </c>
      <c r="E105" s="2857">
        <v>0.1</v>
      </c>
      <c r="F105" s="2857">
        <v>15</v>
      </c>
    </row>
    <row r="106" spans="1:6" ht="24">
      <c r="A106" s="2857">
        <v>34</v>
      </c>
      <c r="B106" s="3474"/>
      <c r="C106" s="2831" t="s">
        <v>2712</v>
      </c>
      <c r="D106" s="2831" t="s">
        <v>2713</v>
      </c>
      <c r="E106" s="2857">
        <v>0.1</v>
      </c>
      <c r="F106" s="2857">
        <v>15</v>
      </c>
    </row>
    <row r="107" spans="1:6" ht="24">
      <c r="A107" s="2857">
        <v>35</v>
      </c>
      <c r="B107" s="3470" t="s">
        <v>2714</v>
      </c>
      <c r="C107" s="2857" t="s">
        <v>2715</v>
      </c>
      <c r="D107" s="2831" t="s">
        <v>2716</v>
      </c>
      <c r="E107" s="2857">
        <v>0.15</v>
      </c>
      <c r="F107" s="2857">
        <v>20</v>
      </c>
    </row>
    <row r="108" spans="1:6" ht="13.5">
      <c r="A108" s="2857">
        <v>36</v>
      </c>
      <c r="B108" s="3465"/>
      <c r="C108" s="2857" t="s">
        <v>2717</v>
      </c>
      <c r="D108" s="2831" t="s">
        <v>2718</v>
      </c>
      <c r="E108" s="2857">
        <v>0.15</v>
      </c>
      <c r="F108" s="2857">
        <v>20</v>
      </c>
    </row>
    <row r="109" spans="1:6" ht="13.5">
      <c r="A109" s="2857">
        <v>37</v>
      </c>
      <c r="B109" s="3465"/>
      <c r="C109" s="2857" t="s">
        <v>2719</v>
      </c>
      <c r="D109" s="2831" t="s">
        <v>2720</v>
      </c>
      <c r="E109" s="2857">
        <v>0.15</v>
      </c>
      <c r="F109" s="2857">
        <v>20</v>
      </c>
    </row>
    <row r="110" spans="1:6" ht="13.5">
      <c r="A110" s="2857">
        <v>38</v>
      </c>
      <c r="B110" s="3465"/>
      <c r="C110" s="2857" t="s">
        <v>2721</v>
      </c>
      <c r="D110" s="2831" t="s">
        <v>2722</v>
      </c>
      <c r="E110" s="2857">
        <v>0.1</v>
      </c>
      <c r="F110" s="2857">
        <v>15</v>
      </c>
    </row>
    <row r="111" spans="1:6" ht="24">
      <c r="A111" s="2857">
        <v>39</v>
      </c>
      <c r="B111" s="3465"/>
      <c r="C111" s="2857" t="s">
        <v>2723</v>
      </c>
      <c r="D111" s="2831" t="s">
        <v>2724</v>
      </c>
      <c r="E111" s="2857">
        <v>0.1</v>
      </c>
      <c r="F111" s="2857">
        <v>15</v>
      </c>
    </row>
    <row r="112" spans="1:6" ht="24">
      <c r="A112" s="2857">
        <v>40</v>
      </c>
      <c r="B112" s="3474"/>
      <c r="C112" s="2857" t="s">
        <v>2725</v>
      </c>
      <c r="D112" s="2831" t="s">
        <v>2726</v>
      </c>
      <c r="E112" s="2857">
        <v>0.1</v>
      </c>
      <c r="F112" s="2857">
        <v>15</v>
      </c>
    </row>
    <row r="113" spans="1:6" ht="13.5">
      <c r="A113" s="2857">
        <v>41</v>
      </c>
      <c r="B113" s="3475" t="s">
        <v>2727</v>
      </c>
      <c r="C113" s="2857" t="s">
        <v>2728</v>
      </c>
      <c r="D113" s="2831" t="s">
        <v>2729</v>
      </c>
      <c r="E113" s="2857">
        <v>0.1</v>
      </c>
      <c r="F113" s="2857">
        <v>15</v>
      </c>
    </row>
    <row r="114" spans="1:6" ht="13.5">
      <c r="A114" s="2857">
        <v>42</v>
      </c>
      <c r="B114" s="3475"/>
      <c r="C114" s="2857" t="s">
        <v>2730</v>
      </c>
      <c r="D114" s="2831" t="s">
        <v>2731</v>
      </c>
      <c r="E114" s="2857">
        <v>0.1</v>
      </c>
      <c r="F114" s="2857">
        <v>15</v>
      </c>
    </row>
    <row r="115" spans="1:6" ht="24">
      <c r="A115" s="2857">
        <v>43</v>
      </c>
      <c r="B115" s="3475"/>
      <c r="C115" s="2857" t="s">
        <v>2732</v>
      </c>
      <c r="D115" s="2831" t="s">
        <v>2733</v>
      </c>
      <c r="E115" s="2857">
        <v>0.1</v>
      </c>
      <c r="F115" s="2857">
        <v>15</v>
      </c>
    </row>
    <row r="116" spans="1:6" ht="13.5">
      <c r="A116" s="2857">
        <v>44</v>
      </c>
      <c r="B116" s="3470" t="s">
        <v>2734</v>
      </c>
      <c r="C116" s="2857" t="s">
        <v>2735</v>
      </c>
      <c r="D116" s="2831" t="s">
        <v>2736</v>
      </c>
      <c r="E116" s="2857">
        <v>0.1</v>
      </c>
      <c r="F116" s="2857">
        <v>15</v>
      </c>
    </row>
    <row r="117" spans="1:6" ht="24">
      <c r="A117" s="2857">
        <v>45</v>
      </c>
      <c r="B117" s="3474"/>
      <c r="C117" s="2831" t="s">
        <v>2737</v>
      </c>
      <c r="D117" s="2831" t="s">
        <v>2738</v>
      </c>
      <c r="E117" s="2857">
        <v>0.1</v>
      </c>
      <c r="F117" s="2857">
        <v>15</v>
      </c>
    </row>
    <row r="118" spans="1:6" ht="24">
      <c r="A118" s="2857">
        <v>46</v>
      </c>
      <c r="B118" s="3470" t="s">
        <v>2739</v>
      </c>
      <c r="C118" s="2857" t="s">
        <v>2740</v>
      </c>
      <c r="D118" s="2831" t="s">
        <v>2741</v>
      </c>
      <c r="E118" s="2857">
        <v>0.1</v>
      </c>
      <c r="F118" s="2857">
        <v>15</v>
      </c>
    </row>
    <row r="119" spans="1:6" ht="24">
      <c r="A119" s="2857">
        <v>47</v>
      </c>
      <c r="B119" s="3474"/>
      <c r="C119" s="2857" t="s">
        <v>2742</v>
      </c>
      <c r="D119" s="2831" t="s">
        <v>2743</v>
      </c>
      <c r="E119" s="2857">
        <v>0.1</v>
      </c>
      <c r="F119" s="2857">
        <v>15</v>
      </c>
    </row>
    <row r="120" spans="1:6" ht="13.5">
      <c r="A120" s="2857">
        <v>48</v>
      </c>
      <c r="B120" s="3470" t="s">
        <v>2744</v>
      </c>
      <c r="C120" s="2857" t="s">
        <v>2745</v>
      </c>
      <c r="D120" s="2831" t="s">
        <v>2746</v>
      </c>
      <c r="E120" s="2857">
        <v>0.1</v>
      </c>
      <c r="F120" s="2857">
        <v>15</v>
      </c>
    </row>
    <row r="121" spans="1:6" ht="13.5">
      <c r="A121" s="2857">
        <v>49</v>
      </c>
      <c r="B121" s="3474"/>
      <c r="C121" s="2857" t="s">
        <v>2747</v>
      </c>
      <c r="D121" s="2831" t="s">
        <v>2748</v>
      </c>
      <c r="E121" s="2857">
        <v>0.1</v>
      </c>
      <c r="F121" s="2857">
        <v>15</v>
      </c>
    </row>
    <row r="122" spans="1:6" ht="24">
      <c r="A122" s="2857">
        <v>50</v>
      </c>
      <c r="B122" s="3475" t="s">
        <v>2749</v>
      </c>
      <c r="C122" s="2857" t="s">
        <v>2750</v>
      </c>
      <c r="D122" s="2831" t="s">
        <v>2751</v>
      </c>
      <c r="E122" s="2857">
        <v>0.1</v>
      </c>
      <c r="F122" s="2857">
        <v>15</v>
      </c>
    </row>
    <row r="123" spans="1:6" ht="24">
      <c r="A123" s="2857">
        <v>51</v>
      </c>
      <c r="B123" s="3475"/>
      <c r="C123" s="2857" t="s">
        <v>2752</v>
      </c>
      <c r="D123" s="2831" t="s">
        <v>2753</v>
      </c>
      <c r="E123" s="2857">
        <v>0.1</v>
      </c>
      <c r="F123" s="2857">
        <v>15</v>
      </c>
    </row>
    <row r="124" spans="1:6" ht="24">
      <c r="A124" s="2857">
        <v>52</v>
      </c>
      <c r="B124" s="3475" t="s">
        <v>2754</v>
      </c>
      <c r="C124" s="2857" t="s">
        <v>2755</v>
      </c>
      <c r="D124" s="2831" t="s">
        <v>2756</v>
      </c>
      <c r="E124" s="2857">
        <v>0.1</v>
      </c>
      <c r="F124" s="2857">
        <v>15</v>
      </c>
    </row>
    <row r="125" spans="1:6" ht="24">
      <c r="A125" s="2857">
        <v>53</v>
      </c>
      <c r="B125" s="3475"/>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75" t="s">
        <v>2762</v>
      </c>
      <c r="C127" s="2857" t="s">
        <v>2763</v>
      </c>
      <c r="D127" s="2831" t="s">
        <v>2764</v>
      </c>
      <c r="E127" s="2857">
        <v>0.1</v>
      </c>
      <c r="F127" s="2857">
        <v>15</v>
      </c>
    </row>
    <row r="128" spans="1:6" ht="13.5">
      <c r="A128" s="2857">
        <v>56</v>
      </c>
      <c r="B128" s="3475"/>
      <c r="C128" s="2857" t="s">
        <v>2765</v>
      </c>
      <c r="D128" s="2831" t="s">
        <v>2766</v>
      </c>
      <c r="E128" s="2857">
        <v>0.1</v>
      </c>
      <c r="F128" s="2857">
        <v>15</v>
      </c>
    </row>
    <row r="129" spans="1:6" ht="24">
      <c r="A129" s="2857">
        <v>57</v>
      </c>
      <c r="B129" s="3475"/>
      <c r="C129" s="2857" t="s">
        <v>2767</v>
      </c>
      <c r="D129" s="2831" t="s">
        <v>2768</v>
      </c>
      <c r="E129" s="2857">
        <v>0.1</v>
      </c>
      <c r="F129" s="2857">
        <v>15</v>
      </c>
    </row>
    <row r="130" spans="1:6" ht="24">
      <c r="A130" s="2857">
        <v>58</v>
      </c>
      <c r="B130" s="3475" t="s">
        <v>2769</v>
      </c>
      <c r="C130" s="2857" t="s">
        <v>2770</v>
      </c>
      <c r="D130" s="2831" t="s">
        <v>2771</v>
      </c>
      <c r="E130" s="2857">
        <v>0.1</v>
      </c>
      <c r="F130" s="2857">
        <v>15</v>
      </c>
    </row>
    <row r="131" spans="1:6" ht="13.5">
      <c r="A131" s="2857">
        <v>59</v>
      </c>
      <c r="B131" s="3475"/>
      <c r="C131" s="2857" t="s">
        <v>2772</v>
      </c>
      <c r="D131" s="2831" t="s">
        <v>2773</v>
      </c>
      <c r="E131" s="2857">
        <v>0.1</v>
      </c>
      <c r="F131" s="2857">
        <v>15</v>
      </c>
    </row>
    <row r="132" spans="1:6" ht="13.5">
      <c r="A132" s="2857">
        <v>60</v>
      </c>
      <c r="B132" s="3470" t="s">
        <v>2774</v>
      </c>
      <c r="C132" s="2857" t="s">
        <v>2775</v>
      </c>
      <c r="D132" s="2831" t="s">
        <v>2776</v>
      </c>
      <c r="E132" s="2857">
        <v>0.1</v>
      </c>
      <c r="F132" s="2857">
        <v>15</v>
      </c>
    </row>
    <row r="133" spans="1:6" ht="13.5">
      <c r="A133" s="2857">
        <v>61</v>
      </c>
      <c r="B133" s="3474"/>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75" t="s">
        <v>2782</v>
      </c>
      <c r="C135" s="2857" t="s">
        <v>2783</v>
      </c>
      <c r="D135" s="2831" t="s">
        <v>2784</v>
      </c>
      <c r="E135" s="2857">
        <v>0.1</v>
      </c>
      <c r="F135" s="2857">
        <v>15</v>
      </c>
    </row>
    <row r="136" spans="1:6" ht="13.5">
      <c r="A136" s="2857">
        <v>64</v>
      </c>
      <c r="B136" s="3475"/>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0</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0</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174</v>
      </c>
    </row>
    <row r="6" spans="1:5" ht="15.75">
      <c r="B6" s="3159"/>
      <c r="C6" s="1392" t="s">
        <v>911</v>
      </c>
      <c r="D6" s="797" t="str">
        <f ca="1">NUMBERSTRING(INT(D5*10000),2)&amp;"元整"</f>
        <v>壹佰柒拾肆万元整</v>
      </c>
    </row>
    <row r="7" spans="1:5" ht="15.75">
      <c r="B7" s="3164"/>
      <c r="C7" s="1393" t="s">
        <v>912</v>
      </c>
      <c r="D7" s="798">
        <f ca="1">结果表!H102</f>
        <v>23018</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174</v>
      </c>
    </row>
    <row r="14" spans="1:5" ht="15.75">
      <c r="B14" s="3159"/>
      <c r="C14" s="1392" t="s">
        <v>911</v>
      </c>
      <c r="D14" s="797" t="str">
        <f ca="1">NUMBERSTRING(INT(D13*10000),2)&amp;"元整"</f>
        <v>壹佰柒拾肆万元整</v>
      </c>
    </row>
    <row r="15" spans="1:5" ht="15">
      <c r="B15" s="3164"/>
      <c r="C15" s="1393" t="s">
        <v>921</v>
      </c>
      <c r="D15" s="806">
        <f ca="1">结果表!H108</f>
        <v>23018</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27223</v>
      </c>
      <c r="C2" s="2" t="s">
        <v>106</v>
      </c>
      <c r="D2" s="191"/>
      <c r="E2" s="191"/>
      <c r="F2" s="191"/>
      <c r="G2" s="191"/>
    </row>
    <row r="3" spans="1:7" s="192" customFormat="1" ht="18" customHeight="1" thickBot="1">
      <c r="A3" s="195" t="s">
        <v>58</v>
      </c>
      <c r="B3" s="196">
        <f ca="1">ROUND(B2*10000/'数据-汇总表'!E3,0)</f>
        <v>3597119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1</v>
      </c>
      <c r="D10" s="795">
        <f>'数据-汇总表'!E6</f>
        <v>75.680000000000007</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75.680000000000007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645</v>
      </c>
      <c r="D22" s="227">
        <f ca="1">C26</f>
        <v>5.0000000000000001E-4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75.680000000000007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5.0000000000000001E-4</v>
      </c>
      <c r="D44" s="230"/>
      <c r="E44" s="230"/>
      <c r="F44" s="231"/>
      <c r="G44" s="3341"/>
    </row>
    <row r="45" spans="1:7" s="206" customFormat="1" ht="13.5" customHeight="1">
      <c r="A45" s="731" t="s">
        <v>341</v>
      </c>
      <c r="B45" s="236" t="s">
        <v>85</v>
      </c>
      <c r="C45" s="237">
        <f>C46</f>
        <v>4</v>
      </c>
      <c r="D45" s="227">
        <f>C47</f>
        <v>4.4999999999999997E-3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23</v>
      </c>
      <c r="D51" s="224"/>
      <c r="E51" s="224"/>
      <c r="F51" s="256"/>
      <c r="G51" s="226" t="s">
        <v>37</v>
      </c>
    </row>
    <row r="52" spans="1:7" s="200" customFormat="1" ht="16.5" thickBot="1">
      <c r="A52" s="257" t="s">
        <v>38</v>
      </c>
      <c r="B52" s="258"/>
      <c r="C52" s="259">
        <f ca="1">C31+C51</f>
        <v>27223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C23" sqref="C23"/>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8" t="s">
        <v>2832</v>
      </c>
      <c r="B1" s="3478"/>
      <c r="C1" s="3478"/>
      <c r="D1" s="3478"/>
      <c r="E1" s="3478"/>
      <c r="F1" s="3478"/>
      <c r="G1" s="3479"/>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6"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7"/>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0" t="s">
        <v>3174</v>
      </c>
      <c r="B1" s="3480"/>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c r="A1" s="3481" t="s">
        <v>3225</v>
      </c>
      <c r="B1" s="3481"/>
      <c r="C1" s="3481"/>
      <c r="D1" s="3481"/>
      <c r="E1" s="3481"/>
      <c r="F1" s="3482"/>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C23" sqref="C23"/>
    </sheetView>
  </sheetViews>
  <sheetFormatPr defaultRowHeight="13.5"/>
  <cols>
    <col min="1" max="1" width="13.875" customWidth="1"/>
    <col min="11" max="17" width="0" hidden="1" customWidth="1"/>
    <col min="25" max="30" width="0" hidden="1" customWidth="1"/>
  </cols>
  <sheetData>
    <row r="1" spans="1:30">
      <c r="A1" s="2937">
        <f>基准地价修正!G23</f>
        <v>45614</v>
      </c>
      <c r="B1" s="2929" t="s">
        <v>3375</v>
      </c>
      <c r="C1" s="2930"/>
      <c r="D1" s="2930"/>
      <c r="E1" s="2930"/>
      <c r="F1" s="2930"/>
      <c r="G1" s="2930"/>
      <c r="H1" s="2930"/>
      <c r="I1" s="2930"/>
      <c r="J1" s="2896"/>
      <c r="K1" s="2930" t="s">
        <v>454</v>
      </c>
      <c r="L1" s="2930"/>
      <c r="M1" s="2930"/>
      <c r="N1" s="2930"/>
      <c r="O1" s="2930"/>
      <c r="P1" s="2930"/>
      <c r="Q1" s="2896"/>
      <c r="R1" s="3483" t="s">
        <v>456</v>
      </c>
      <c r="S1" s="3484"/>
      <c r="T1" s="3484"/>
      <c r="U1" s="3484"/>
      <c r="V1" s="3484"/>
      <c r="W1" s="3484"/>
      <c r="X1" s="2896"/>
      <c r="Y1" s="3483" t="s">
        <v>457</v>
      </c>
      <c r="Z1" s="3484"/>
      <c r="AA1" s="3484"/>
      <c r="AB1" s="3484"/>
      <c r="AC1" s="3484"/>
      <c r="AD1" s="3484"/>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3" t="s">
        <v>2820</v>
      </c>
      <c r="S26" s="3484"/>
      <c r="T26" s="3484"/>
      <c r="U26" s="3484"/>
      <c r="V26" s="3484"/>
      <c r="W26" s="3484"/>
      <c r="X26" s="2896"/>
      <c r="Y26" s="3483" t="s">
        <v>2821</v>
      </c>
      <c r="Z26" s="3484"/>
      <c r="AA26" s="3484"/>
      <c r="AB26" s="3484"/>
      <c r="AC26" s="3484"/>
      <c r="AD26" s="3484"/>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C23" sqref="C23"/>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C23" sqref="C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75.680000000000007</v>
      </c>
      <c r="C4" s="801">
        <f>项目基本情况!C18</f>
        <v>0</v>
      </c>
      <c r="D4" s="801">
        <f ca="1">结果表!D118</f>
        <v>133</v>
      </c>
      <c r="E4" s="801">
        <f ca="1">结果表!E118</f>
        <v>17586</v>
      </c>
      <c r="F4" s="801">
        <f ca="1">结果表!F118</f>
        <v>41</v>
      </c>
      <c r="G4" s="801">
        <f ca="1">结果表!G118</f>
        <v>5432</v>
      </c>
      <c r="H4" s="801">
        <f ca="1">结果表!H118</f>
        <v>174</v>
      </c>
      <c r="I4" s="801">
        <f ca="1">结果表!I118</f>
        <v>23018</v>
      </c>
    </row>
    <row r="5" spans="1:9" ht="30" customHeight="1">
      <c r="A5" s="3170" t="s">
        <v>927</v>
      </c>
      <c r="B5" s="3170"/>
      <c r="C5" s="3170"/>
      <c r="D5" s="3170" t="str">
        <f ca="1">结果表!D119</f>
        <v>壹佰叁拾叁万元整</v>
      </c>
      <c r="E5" s="3170"/>
      <c r="F5" s="3170" t="str">
        <f ca="1">结果表!F119</f>
        <v>肆拾壹万元整</v>
      </c>
      <c r="G5" s="3170"/>
      <c r="H5" s="3170" t="str">
        <f ca="1">结果表!H119</f>
        <v>壹佰柒拾肆万元整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174</v>
      </c>
      <c r="E8" s="3171"/>
      <c r="F8" s="3171"/>
      <c r="G8" s="3171"/>
      <c r="H8" s="3171"/>
      <c r="I8" s="3171"/>
    </row>
    <row r="9" spans="1:9" ht="15">
      <c r="A9" s="3170" t="s">
        <v>927</v>
      </c>
      <c r="B9" s="3170"/>
      <c r="C9" s="3170"/>
      <c r="D9" s="3170" t="str">
        <f ca="1">结果表!D123</f>
        <v>壹佰柒拾肆万元整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45615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2024-11-19T05:19:37Z</dcterms:modified>
</cp:coreProperties>
</file>