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H:\周彤\报告\2025年\民生银行\丰台\"/>
    </mc:Choice>
  </mc:AlternateContent>
  <xr:revisionPtr revIDLastSave="0" documentId="13_ncr:1_{BF424849-C1DB-4A28-9FDF-EEC2FAC78928}" xr6:coauthVersionLast="47" xr6:coauthVersionMax="47" xr10:uidLastSave="{00000000-0000-0000-0000-000000000000}"/>
  <bookViews>
    <workbookView xWindow="36" yWindow="168" windowWidth="12708" windowHeight="11628" tabRatio="899" firstSheet="14"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估价对象" sheetId="83"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基准地价修正" sheetId="43" r:id="rId20"/>
    <sheet name="成本法 (元)" sheetId="69" state="hidden" r:id="rId21"/>
    <sheet name="收益法 (元)" sheetId="67" state="hidden" r:id="rId22"/>
    <sheet name="成本法" sheetId="68" r:id="rId23"/>
    <sheet name="假设开发法" sheetId="12" state="hidden" r:id="rId24"/>
    <sheet name="收益法" sheetId="15"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 name="基准地价修正办" sheetId="80" state="hidden" r:id="rId47"/>
    <sheet name="成本法办" sheetId="81" state="hidden" r:id="rId48"/>
    <sheet name="收益法办" sheetId="82" state="hidden" r:id="rId49"/>
  </sheets>
  <externalReferences>
    <externalReference r:id="rId50"/>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2">成本法!$A$1:$G$57</definedName>
    <definedName name="_xlnm.Print_Area" localSheetId="20">'成本法 (元)'!$A$1:$G$57</definedName>
    <definedName name="_xlnm.Print_Area" localSheetId="47">成本法办!$A$1:$G$57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19">基准地价修正!$A$1:$J$44,基准地价修正!$A$47:$H$101,基准地价修正!$R$1:$V$16</definedName>
    <definedName name="_xlnm.Print_Area" localSheetId="46">基准地价修正办!$A$1:$J$44,基准地价修正办!$A$47:$H$101,基准地价修正办!$R$1:$V$16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1">'收益法 (元)'!$A$1:$F$43,'收益法 (元)'!$H$3:$M$29,'收益法 (元)'!$A$45:$F$71,'收益法 (元)'!$I$46:$N$65</definedName>
    <definedName name="_xlnm.Print_Area" localSheetId="26">'收益法（汇总）'!$A$1:$F$13</definedName>
    <definedName name="_xlnm.Print_Area" localSheetId="48">收益法办!$A$1:$F$43,收益法办!$H$3:$M$29,收益法办!$A$45:$F$71,收益法办!$I$46:$N$65</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2">'[1]比较法-办公'!$B$119:$M$119</definedName>
    <definedName name="办公层高">'比较法-办公'!$B$119:$M$119</definedName>
    <definedName name="办公朝向" localSheetId="12">'[1]比较法-办公'!$B$91:$M$91</definedName>
    <definedName name="办公朝向">'比较法-办公'!$B$91:$M$91</definedName>
    <definedName name="办公道路级别" localSheetId="12">'[1]比较法-办公'!$B$87:$M$87</definedName>
    <definedName name="办公道路级别">'比较法-办公'!$B$87:$M$87</definedName>
    <definedName name="办公公共部分装修" localSheetId="12">'[1]比较法-办公'!$B$108:$M$108</definedName>
    <definedName name="办公公共部分装修">'比较法-办公'!$B$108:$M$108</definedName>
    <definedName name="办公基础设施水平" localSheetId="12">'[1]比较法-办公'!$B$117:$M$117</definedName>
    <definedName name="办公基础设施水平">'比较法-办公'!$B$117:$M$117</definedName>
    <definedName name="办公集聚程度" localSheetId="12">[1]定义!$M$1:$M$6</definedName>
    <definedName name="办公集聚程度">定义!$M$1:$M$6</definedName>
    <definedName name="办公建筑结构" localSheetId="12">'[1]比较法-办公'!$B$106:$M$106</definedName>
    <definedName name="办公建筑结构">'比较法-办公'!$B$106:$M$106</definedName>
    <definedName name="办公建筑类型" localSheetId="12">'[1]比较法-办公'!$B$101:$M$101</definedName>
    <definedName name="办公建筑类型">'比较法-办公'!$B$101:$M$101</definedName>
    <definedName name="办公交易情况" localSheetId="12">'[1]比较法-办公'!$A$62:$M$62</definedName>
    <definedName name="办公交易情况">'比较法-办公'!$A$62:$M$62</definedName>
    <definedName name="办公楼层" localSheetId="12">'[1]比较法-办公'!$B$89:$M$89</definedName>
    <definedName name="办公楼层">'比较法-办公'!$B$89:$M$89</definedName>
    <definedName name="办公内部装修" localSheetId="12">'[1]比较法-办公'!$B$123:$M$123</definedName>
    <definedName name="办公内部装修">'比较法-办公'!$B$123:$M$123</definedName>
    <definedName name="办公物业管理" localSheetId="12">'[1]比较法-办公'!$B$115:$M$115</definedName>
    <definedName name="办公物业管理">'比较法-办公'!$B$115:$M$115</definedName>
    <definedName name="办公用途" localSheetId="12">'[1]比较法-办公'!$B$64:$M$64</definedName>
    <definedName name="办公用途">'比较法-办公'!$B$64:$M$64</definedName>
    <definedName name="仓储公共部分装修" localSheetId="12">'[1]比较法-仓储'!$B$77:$M$77</definedName>
    <definedName name="仓储公共部分装修">'比较法-仓储'!$B$77:$M$77</definedName>
    <definedName name="仓储交易情况" localSheetId="12">'[1]比较法-仓储'!$A$49:$M$49</definedName>
    <definedName name="仓储交易情况">'比较法-仓储'!$A$49:$M$49</definedName>
    <definedName name="仓储楼层" localSheetId="12">'[1]比较法-仓储'!$B$69:$M$69</definedName>
    <definedName name="仓储楼层">'比较法-仓储'!$B$69:$M$69</definedName>
    <definedName name="仓储物业等级" localSheetId="12">'[1]比较法-仓储'!$B$82:$M$82</definedName>
    <definedName name="仓储物业等级">'比较法-仓储'!$B$82:$M$82</definedName>
    <definedName name="仓储用途" localSheetId="12">'[1]比较法-仓储'!$B$51:$M$51</definedName>
    <definedName name="仓储用途">'比较法-仓储'!$B$51:$M$51</definedName>
    <definedName name="产业集聚程度" localSheetId="12">[1]定义!$N$1:$N$6</definedName>
    <definedName name="产业集聚程度">定义!$N$1:$N$6</definedName>
    <definedName name="车位公共部分装修" localSheetId="12">'[1]比较法-车位'!$B$83:$M$83</definedName>
    <definedName name="车位公共部分装修">'比较法-车位'!$B$83:$M$83</definedName>
    <definedName name="车位交易情况" localSheetId="12">'[1]比较法-车位'!$A$51:$M$51</definedName>
    <definedName name="车位交易情况">'比较法-车位'!$A$51:$M$51</definedName>
    <definedName name="车位类型" localSheetId="12">'[1]比较法-车位'!$B$93:$M$93</definedName>
    <definedName name="车位类型">'比较法-车位'!$B$93:$M$93</definedName>
    <definedName name="车位楼层" localSheetId="12">'[1]比较法-车位'!$B$71:$M$71</definedName>
    <definedName name="车位楼层">'比较法-车位'!$B$71:$M$71</definedName>
    <definedName name="车位配套类型" localSheetId="12">'[1]比较法-车位'!$B$79:$M$79</definedName>
    <definedName name="车位配套类型">'比较法-车位'!$B$79:$M$79</definedName>
    <definedName name="车位物业等级" localSheetId="12">'[1]比较法-车位'!$B$88:$M$88</definedName>
    <definedName name="车位物业等级">'比较法-车位'!$B$88:$M$88</definedName>
    <definedName name="车位用途" localSheetId="12">'[1]比较法-车位'!$B$53:$M$53</definedName>
    <definedName name="车位用途">'比较法-车位'!$B$53:$M$53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区片价!$J$1:$J$21</definedName>
    <definedName name="二级分类" localSheetId="12">[1]修正!$C$19:$C$51</definedName>
    <definedName name="二级分类">修正!$C$19:$C$51</definedName>
    <definedName name="法定最高年限" localSheetId="12">[1]定义!$G$1:$G$6</definedName>
    <definedName name="法定最高年限">定义!$G$1:$G$6</definedName>
    <definedName name="工业公共部分装修" localSheetId="12">'[1]比较法-工业'!$B$95:$M$95</definedName>
    <definedName name="工业公共部分装修">'比较法-工业'!$B$95:$M$95</definedName>
    <definedName name="工业基础设施水平" localSheetId="12">'[1]比较法-工业'!$B$102:$M$102</definedName>
    <definedName name="工业基础设施水平">'比较法-工业'!$B$102:$M$102</definedName>
    <definedName name="工业建筑结构" localSheetId="12">'[1]比较法-工业'!$B$93:$M$93</definedName>
    <definedName name="工业建筑结构">'比较法-工业'!$B$93:$M$93</definedName>
    <definedName name="工业建筑类型" localSheetId="12">'[1]比较法-工业'!$B$88:$M$88</definedName>
    <definedName name="工业建筑类型">'比较法-工业'!$B$88:$M$88</definedName>
    <definedName name="工业交易情况" localSheetId="12">'[1]比较法-工业'!$A$55:$M$55</definedName>
    <definedName name="工业交易情况">'比较法-工业'!$A$55:$M$55</definedName>
    <definedName name="工业内部装修" localSheetId="12">'[1]比较法-工业'!$B$104:$M$104</definedName>
    <definedName name="工业内部装修">'比较法-工业'!$B$104:$M$104</definedName>
    <definedName name="工业物业管理" localSheetId="12">'[1]比较法-工业'!$B$100:$M$100</definedName>
    <definedName name="工业物业管理">'比较法-工业'!$B$100:$M$100</definedName>
    <definedName name="工业用途" localSheetId="12">'[1]比较法-工业'!$B$57:$M$57</definedName>
    <definedName name="工业用途">'比较法-工业'!$B$57:$M$57</definedName>
    <definedName name="公共配套设施" localSheetId="12">[1]定义!$Q$1:$Q$6</definedName>
    <definedName name="公共配套设施">定义!$Q$1:$Q$6</definedName>
    <definedName name="估价范围判定" localSheetId="12">[1]定义!$D$1:$D$4</definedName>
    <definedName name="估价范围判定">定义!$D$1:$D$4</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基准地价修正!$Q$19:$AD$19</definedName>
    <definedName name="价值类型2" localSheetId="12">[1]定义!$B$54:$B$56</definedName>
    <definedName name="价值类型2">定义!$B$54:$B$56</definedName>
    <definedName name="交通便捷度" localSheetId="12">[1]定义!$O$1:$O$6</definedName>
    <definedName name="交通便捷度">定义!$O$1:$O$6</definedName>
    <definedName name="九级">区片价!$Q$1:$Q$51</definedName>
    <definedName name="居住社区成熟度" localSheetId="12">[1]定义!$K$1:$K$6</definedName>
    <definedName name="居住社区成熟度">定义!$K$1:$K$6</definedName>
    <definedName name="类别" localSheetId="12">[1]定义!$J$1:$J$3</definedName>
    <definedName name="类别">定义!$J$1:$J$3</definedName>
    <definedName name="临街状况" localSheetId="12">[1]定义!$T$1:$T$5</definedName>
    <definedName name="临街状况">定义!$T$1:$T$5</definedName>
    <definedName name="六级">区片价!$N$1:$N$64</definedName>
    <definedName name="内部装修维护情况" localSheetId="12">[1]定义!$U$1:$U$6</definedName>
    <definedName name="内部装修维护情况">定义!$U$1:$U$6</definedName>
    <definedName name="七级">区片价!$O$1:$O$45</definedName>
    <definedName name="七通一平" localSheetId="12">[1]修正!$A$8:$A$16</definedName>
    <definedName name="七通一平">修正!$A$8:$A$16</definedName>
    <definedName name="区域土地利用方向" localSheetId="12">[1]定义!$P$1:$P$6</definedName>
    <definedName name="区域土地利用方向">定义!$P$1:$P$6</definedName>
    <definedName name="三级">区片价!$K$1:$K$26</definedName>
    <definedName name="商业层高" localSheetId="12">'[1]比较法-商业'!$B$116:$M$116</definedName>
    <definedName name="商业层高">'比较法-商业'!$B$116:$M$116</definedName>
    <definedName name="商业成新度">'比较法-商业'!$B$109:$M$109</definedName>
    <definedName name="商业繁华度" localSheetId="12">[1]定义!$L$1:$L$6</definedName>
    <definedName name="商业繁华度">定义!$L$1:$L$6</definedName>
    <definedName name="商业公共部分装修" localSheetId="12">'[1]比较法-商业'!$B$107:$M$107</definedName>
    <definedName name="商业公共部分装修">'比较法-商业'!$B$107:$M$107</definedName>
    <definedName name="商业基础设施水平" localSheetId="12">'[1]比较法-商业'!$B$112:$M$112</definedName>
    <definedName name="商业基础设施水平">'比较法-商业'!$B$112:$M$112</definedName>
    <definedName name="商业建筑结构" localSheetId="12">'[1]比较法-商业'!$B$105:$M$105</definedName>
    <definedName name="商业建筑结构">'比较法-商业'!$B$105:$M$105</definedName>
    <definedName name="商业交易情况" localSheetId="12">'[1]比较法-商业'!$A$61:$M$61</definedName>
    <definedName name="商业交易情况">'比较法-商业'!$A$61:$M$61</definedName>
    <definedName name="商业街名称" localSheetId="12">[1]修正!$C$71:$C$138</definedName>
    <definedName name="商业街名称">修正!$C$71:$C$138</definedName>
    <definedName name="商业进深比" localSheetId="12">'[1]比较法-商业'!$B$120:$M$120</definedName>
    <definedName name="商业进深比">'比较法-商业'!$B$120:$M$120</definedName>
    <definedName name="商业类型" localSheetId="12">'[1]比较法-商业'!$B$100:$M$100</definedName>
    <definedName name="商业类型">'比较法-商业'!$B$100:$M$100</definedName>
    <definedName name="商业临街状况" localSheetId="12">'[1]比较法-商业'!$B$86:$M$86</definedName>
    <definedName name="商业临街状况">'比较法-商业'!$B$86:$M$86</definedName>
    <definedName name="商业楼层" localSheetId="12">'[1]比较法-商业'!$B$92:$M$92</definedName>
    <definedName name="商业楼层">'比较法-商业'!$B$92:$M$92</definedName>
    <definedName name="商业内部装修" localSheetId="12">'[1]比较法-商业'!$B$122:$M$122</definedName>
    <definedName name="商业内部装修">'比较法-商业'!$B$122:$M$122</definedName>
    <definedName name="商业人流量" localSheetId="12">'[1]比较法-商业'!$B$90:$M$90</definedName>
    <definedName name="商业人流量">'比较法-商业'!$B$90:$M$90</definedName>
    <definedName name="商业业态" localSheetId="12">'[1]比较法-商业'!$B$114:$M$114</definedName>
    <definedName name="商业业态">'比较法-商业'!$B$114:$M$114</definedName>
    <definedName name="商业用途" localSheetId="12">'[1]比较法-商业'!$B$63:$M$63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2">'[1]比较法-仓储'!$B$89:$M$89</definedName>
    <definedName name="是否封闭">'比较法-仓储'!$B$89:$M$89</definedName>
    <definedName name="是否直接入户" localSheetId="12">'[1]比较法-车位'!$B$95:$M$95</definedName>
    <definedName name="是否直接入户">'比较法-车位'!$B$95:$M$95</definedName>
    <definedName name="四级">区片价!$L$1:$L$33</definedName>
    <definedName name="套工道路等级" localSheetId="12">'[1]土地比较法-工业'!$B$97:$M$97</definedName>
    <definedName name="套工道路等级">'土地比较法-工业'!$B$97:$M$97</definedName>
    <definedName name="套工地质条件" localSheetId="12">'[1]土地比较法-工业'!$B$114:$M$114</definedName>
    <definedName name="套工地质条件">'土地比较法-工业'!$B$114:$M$114</definedName>
    <definedName name="套工交易情况" localSheetId="12">'[1]土地比较法-住宅、综合'!$A$72:$M$72</definedName>
    <definedName name="套工交易情况">'土地比较法-住宅、综合'!$A$72:$M$72</definedName>
    <definedName name="套工土地级别" localSheetId="12">'[1]土地比较法-工业'!$B$99:$M$99</definedName>
    <definedName name="套工土地级别">'土地比较法-工业'!$B$99:$M$99</definedName>
    <definedName name="套工用途" localSheetId="12">'[1]土地比较法-工业'!$B$70:$M$70</definedName>
    <definedName name="套工用途">'土地比较法-工业'!$B$70:$M$70</definedName>
    <definedName name="套工宗地开发程度" localSheetId="12">'[1]土地比较法-工业'!$B$112:$M$112</definedName>
    <definedName name="套工宗地开发程度">'土地比较法-工业'!$B$112:$M$112</definedName>
    <definedName name="套工宗地形状" localSheetId="12">'[1]土地比较法-工业'!$B$110:$M$110</definedName>
    <definedName name="套工宗地形状">'土地比较法-工业'!$B$110:$M$110</definedName>
    <definedName name="套综道路等级" localSheetId="12">'[1]土地比较法-住宅、综合'!$B$105:$M$105</definedName>
    <definedName name="套综道路等级">'土地比较法-住宅、综合'!$B$105:$M$105</definedName>
    <definedName name="套综工程地质条件" localSheetId="12">'[1]土地比较法-住宅、综合'!$B$124:$M$124</definedName>
    <definedName name="套综工程地质条件">'土地比较法-住宅、综合'!$B$124:$M$124</definedName>
    <definedName name="套综交易情况" localSheetId="12">'[1]土地比较法-住宅、综合'!$A$72:$M$72</definedName>
    <definedName name="套综交易情况">'土地比较法-住宅、综合'!$A$72:$M$72</definedName>
    <definedName name="套综临街宽度及深度" localSheetId="12">'[1]土地比较法-住宅、综合'!$B$120:$M$120</definedName>
    <definedName name="套综临街宽度及深度">'土地比较法-住宅、综合'!$B$120:$M$120</definedName>
    <definedName name="套综土地级别" localSheetId="12">'[1]土地比较法-住宅、综合'!$B$107:$M$107</definedName>
    <definedName name="套综土地级别">'土地比较法-住宅、综合'!$B$107:$M$107</definedName>
    <definedName name="套综用途" localSheetId="12">'[1]土地比较法-住宅、综合'!$B$74:$M$74</definedName>
    <definedName name="套综用途">'土地比较法-住宅、综合'!$B$74:$M$74</definedName>
    <definedName name="套综宗地内开发程度" localSheetId="12">'[1]土地比较法-住宅、综合'!$B$122:$M$122</definedName>
    <definedName name="套综宗地内开发程度">'土地比较法-住宅、综合'!$B$122:$M$122</definedName>
    <definedName name="套综宗地形状" localSheetId="12">'[1]土地比较法-住宅、综合'!$B$118:$M$118</definedName>
    <definedName name="套综宗地形状">'土地比较法-住宅、综合'!$B$118:$M$118</definedName>
    <definedName name="土地估价师">估价师及机构信息!$D$3:$D$24</definedName>
    <definedName name="土地级别" localSheetId="12">[1]定义!$C$1:$C$14</definedName>
    <definedName name="土地级别">定义!$C$1:$C$14</definedName>
    <definedName name="土地利用方向">定义!$P$1:$P$6</definedName>
    <definedName name="土地年限区间">定义!$I$1:$I$16</definedName>
    <definedName name="位置" localSheetId="12">[1]定义!$E$2:$E$4</definedName>
    <definedName name="位置">定义!$E$2:$E$4</definedName>
    <definedName name="五等判定" localSheetId="12">[1]定义!$W$1:$W$6</definedName>
    <definedName name="五等判定">定义!$W$1:$W$6</definedName>
    <definedName name="五级">区片价!$M$1:$M$41</definedName>
    <definedName name="项目类型" localSheetId="12">'[1]数据-汇总表'!$C$17:$C$26</definedName>
    <definedName name="项目类型" localSheetId="25">'[2]数据-汇总表'!$C$17:$C$26</definedName>
    <definedName name="项目类型">'数据-汇总表'!$C$17:$C$26</definedName>
    <definedName name="写字楼等级" localSheetId="12">'[1]比较法-办公'!$B$113:$M$113</definedName>
    <definedName name="写字楼等级">'比较法-办公'!$B$113:$M$113</definedName>
    <definedName name="一级">区片价!$I$1:$I$6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明细" localSheetId="12">[1]定义!$A$1:$A$50</definedName>
    <definedName name="用途明细">定义!$A$1:$A$50</definedName>
    <definedName name="有无电梯" localSheetId="12">'[1]比较法-仓储'!$B$84:$M$84</definedName>
    <definedName name="有无电梯">'比较法-仓储'!$B$84:$M$84</definedName>
    <definedName name="主用途" localSheetId="12">[1]定义!$F$1:$F$12</definedName>
    <definedName name="主用途">定义!$F$1:$F$12</definedName>
    <definedName name="住宅朝向" localSheetId="12">'[1]比较法-住宅'!$B$88:$M$88</definedName>
    <definedName name="住宅朝向">'比较法-住宅'!$B$88:$M$88</definedName>
    <definedName name="住宅房型" localSheetId="12">'[1]比较法-住宅'!$B$118:$M$118</definedName>
    <definedName name="住宅房型">'比较法-住宅'!$B$118:$M$118</definedName>
    <definedName name="住宅公共部分装修" localSheetId="12">'[1]比较法-住宅'!$B$109:$M$109</definedName>
    <definedName name="住宅公共部分装修">'比较法-住宅'!$B$109:$M$109</definedName>
    <definedName name="住宅基础设施水平" localSheetId="12">'[1]比较法-住宅'!$B$116:$M$116</definedName>
    <definedName name="住宅基础设施水平">'比较法-住宅'!$B$116:$M$116</definedName>
    <definedName name="住宅建筑结构" localSheetId="12">'[1]比较法-住宅'!$B$105:$M$105</definedName>
    <definedName name="住宅建筑结构">'比较法-住宅'!$B$105:$M$105</definedName>
    <definedName name="住宅建筑类型" localSheetId="12">'[1]比较法-住宅'!$B$100:$M$100</definedName>
    <definedName name="住宅建筑类型">'比较法-住宅'!$B$100:$M$100</definedName>
    <definedName name="住宅建筑品质" localSheetId="12">'[1]比较法-住宅'!$B$107:$M$107</definedName>
    <definedName name="住宅建筑品质">'比较法-住宅'!$B$107:$M$107</definedName>
    <definedName name="住宅交易情况" localSheetId="12">'[1]比较法-住宅'!$A$61:$M$61</definedName>
    <definedName name="住宅交易情况">'比较法-住宅'!$A$61:$M$61</definedName>
    <definedName name="住宅楼层" localSheetId="12">'[1]比较法-住宅'!$B$86:$M$86</definedName>
    <definedName name="住宅楼层">'比较法-住宅'!$B$86:$M$86</definedName>
    <definedName name="住宅内部装修" localSheetId="12">'[1]比较法-住宅'!$B$122:$M$122</definedName>
    <definedName name="住宅内部装修">'比较法-住宅'!$B$122:$M$122</definedName>
    <definedName name="住宅物业管理" localSheetId="12">'[1]比较法-住宅'!$B$114:$M$114</definedName>
    <definedName name="住宅物业管理">'比较法-住宅'!$B$114:$M$114</definedName>
    <definedName name="住宅用途" localSheetId="12">'[1]比较法-住宅'!$B$63:$M$63</definedName>
    <definedName name="住宅用途">'比较法-住宅'!$B$63:$M$63</definedName>
    <definedName name="住宅主力户型面积">'比较法-住宅'!$B$120:$M$120</definedName>
    <definedName name="注册房地产估价师" localSheetId="12">[1]估价师及机构信息!$A$3:$A$16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C88" i="9" l="1"/>
  <c r="C75" i="9"/>
  <c r="C66" i="9"/>
  <c r="I10" i="83" l="1"/>
  <c r="J5" i="83"/>
  <c r="B14" i="74"/>
  <c r="J49" i="15"/>
  <c r="B29" i="1"/>
  <c r="D33" i="43"/>
  <c r="I7" i="6"/>
  <c r="K84" i="9"/>
  <c r="H13" i="3"/>
  <c r="G13" i="3" s="1"/>
  <c r="H14" i="3"/>
  <c r="G14" i="3" s="1"/>
  <c r="H15" i="3"/>
  <c r="G15" i="3" s="1"/>
  <c r="BB13" i="3"/>
  <c r="BC13" i="3"/>
  <c r="BA13" i="3" s="1"/>
  <c r="BD13" i="3"/>
  <c r="BE13" i="3"/>
  <c r="BF13" i="3"/>
  <c r="BG13" i="3"/>
  <c r="BH13" i="3"/>
  <c r="BI13" i="3"/>
  <c r="BJ13" i="3"/>
  <c r="BK13" i="3"/>
  <c r="BM13" i="3"/>
  <c r="BN13" i="3"/>
  <c r="BO13" i="3"/>
  <c r="BP13" i="3"/>
  <c r="BQ13" i="3"/>
  <c r="BR13" i="3"/>
  <c r="BS13" i="3"/>
  <c r="BT13" i="3"/>
  <c r="BL13" i="3"/>
  <c r="AZ13" i="3"/>
  <c r="BB14" i="3"/>
  <c r="BC14" i="3"/>
  <c r="BA14" i="3" s="1"/>
  <c r="AZ14" i="3" s="1"/>
  <c r="BD14" i="3"/>
  <c r="BE14" i="3"/>
  <c r="BF14" i="3"/>
  <c r="BG14" i="3"/>
  <c r="BH14" i="3"/>
  <c r="BI14" i="3"/>
  <c r="BJ14" i="3"/>
  <c r="BK14" i="3"/>
  <c r="BM14" i="3"/>
  <c r="BN14" i="3"/>
  <c r="BO14" i="3"/>
  <c r="BP14" i="3"/>
  <c r="BQ14" i="3"/>
  <c r="BR14" i="3"/>
  <c r="BS14" i="3"/>
  <c r="BT14" i="3"/>
  <c r="BL14" i="3"/>
  <c r="BB15" i="3"/>
  <c r="BC15" i="3"/>
  <c r="BD15" i="3"/>
  <c r="BE15" i="3"/>
  <c r="BF15" i="3"/>
  <c r="BG15" i="3"/>
  <c r="BH15" i="3"/>
  <c r="BI15" i="3"/>
  <c r="BJ15" i="3"/>
  <c r="BK15" i="3"/>
  <c r="BA15" i="3"/>
  <c r="AZ15" i="3" s="1"/>
  <c r="BM15" i="3"/>
  <c r="BN15" i="3"/>
  <c r="BO15" i="3"/>
  <c r="BP15" i="3"/>
  <c r="BQ15" i="3"/>
  <c r="BR15" i="3"/>
  <c r="BS15" i="3"/>
  <c r="BT15" i="3"/>
  <c r="BL15" i="3"/>
  <c r="BQ5" i="3"/>
  <c r="BS5" i="3"/>
  <c r="F28" i="6"/>
  <c r="BR5" i="3"/>
  <c r="BT5" i="3"/>
  <c r="G28" i="6"/>
  <c r="E28" i="6"/>
  <c r="BB5" i="3"/>
  <c r="E20" i="6"/>
  <c r="L19" i="6"/>
  <c r="Q72" i="82"/>
  <c r="Q59" i="82"/>
  <c r="K59" i="82"/>
  <c r="P74" i="82"/>
  <c r="F59" i="82"/>
  <c r="Q58" i="82"/>
  <c r="Q51" i="82"/>
  <c r="J50" i="82"/>
  <c r="J49" i="82"/>
  <c r="M47" i="82"/>
  <c r="D46" i="82"/>
  <c r="F33" i="82"/>
  <c r="F61" i="82"/>
  <c r="F32" i="82"/>
  <c r="F60" i="82"/>
  <c r="F31" i="82"/>
  <c r="F28" i="82"/>
  <c r="F23" i="82"/>
  <c r="D22" i="82" s="1"/>
  <c r="D24" i="82"/>
  <c r="D23" i="82"/>
  <c r="F21" i="82"/>
  <c r="F20" i="82"/>
  <c r="M19" i="82"/>
  <c r="M18" i="82"/>
  <c r="F18" i="82"/>
  <c r="M17" i="82"/>
  <c r="F17" i="82"/>
  <c r="F15" i="82"/>
  <c r="G1" i="82"/>
  <c r="F38" i="81"/>
  <c r="E37" i="81"/>
  <c r="F36" i="81"/>
  <c r="F35" i="81"/>
  <c r="F30" i="81"/>
  <c r="F48" i="81"/>
  <c r="F21" i="81"/>
  <c r="F20" i="81"/>
  <c r="F39" i="81"/>
  <c r="E19" i="81"/>
  <c r="C19" i="81"/>
  <c r="E10" i="81"/>
  <c r="E9" i="81"/>
  <c r="F7" i="81"/>
  <c r="H1" i="81"/>
  <c r="G1" i="81"/>
  <c r="F116" i="80"/>
  <c r="N111" i="80"/>
  <c r="N112" i="80"/>
  <c r="M111" i="80"/>
  <c r="M112" i="80"/>
  <c r="L111" i="80"/>
  <c r="L112" i="80"/>
  <c r="K111" i="80"/>
  <c r="K112" i="80"/>
  <c r="J111" i="80"/>
  <c r="J112" i="80"/>
  <c r="I111" i="80"/>
  <c r="I112" i="80"/>
  <c r="H111" i="80"/>
  <c r="H112" i="80"/>
  <c r="G111" i="80"/>
  <c r="G112" i="80"/>
  <c r="F111" i="80"/>
  <c r="F112" i="80"/>
  <c r="E111" i="80"/>
  <c r="E112" i="80"/>
  <c r="D111" i="80"/>
  <c r="D112" i="80"/>
  <c r="C111" i="80"/>
  <c r="C112" i="80"/>
  <c r="M101" i="80"/>
  <c r="N101" i="80"/>
  <c r="K101" i="80"/>
  <c r="J101" i="80"/>
  <c r="D101" i="80"/>
  <c r="N100" i="80"/>
  <c r="M100" i="80"/>
  <c r="K100" i="80"/>
  <c r="J100" i="80"/>
  <c r="D100" i="80"/>
  <c r="B100" i="80"/>
  <c r="M99" i="80"/>
  <c r="N99" i="80"/>
  <c r="K99" i="80"/>
  <c r="J99" i="80"/>
  <c r="D99" i="80"/>
  <c r="N98" i="80"/>
  <c r="M98" i="80"/>
  <c r="K98" i="80"/>
  <c r="J98" i="80"/>
  <c r="D98" i="80"/>
  <c r="M97" i="80"/>
  <c r="N97" i="80"/>
  <c r="K97" i="80"/>
  <c r="J97" i="80"/>
  <c r="D97" i="80"/>
  <c r="N96" i="80"/>
  <c r="M96" i="80"/>
  <c r="K96" i="80"/>
  <c r="J96" i="80"/>
  <c r="D96" i="80"/>
  <c r="N95" i="80"/>
  <c r="M95" i="80"/>
  <c r="K95" i="80"/>
  <c r="J95" i="80"/>
  <c r="D95" i="80"/>
  <c r="B95" i="80"/>
  <c r="M94" i="80"/>
  <c r="N94" i="80"/>
  <c r="K94" i="80"/>
  <c r="J94" i="80"/>
  <c r="D94" i="80"/>
  <c r="E93" i="80"/>
  <c r="B91" i="80"/>
  <c r="M93" i="80"/>
  <c r="N93" i="80"/>
  <c r="K93" i="80"/>
  <c r="J93" i="80"/>
  <c r="F93" i="80"/>
  <c r="H95" i="80" s="1"/>
  <c r="D93" i="80"/>
  <c r="M90" i="80"/>
  <c r="N90" i="80"/>
  <c r="K90" i="80"/>
  <c r="J90" i="80"/>
  <c r="D90" i="80"/>
  <c r="B90" i="80"/>
  <c r="M89" i="80"/>
  <c r="N89" i="80"/>
  <c r="K89" i="80"/>
  <c r="J89" i="80"/>
  <c r="D89" i="80"/>
  <c r="N88" i="80"/>
  <c r="M88" i="80"/>
  <c r="K88" i="80"/>
  <c r="J88" i="80"/>
  <c r="D88" i="80"/>
  <c r="B88" i="80"/>
  <c r="N87" i="80"/>
  <c r="M87" i="80"/>
  <c r="K87" i="80"/>
  <c r="J87" i="80"/>
  <c r="D87" i="80"/>
  <c r="B87" i="80"/>
  <c r="M86" i="80"/>
  <c r="N86" i="80"/>
  <c r="K86" i="80"/>
  <c r="J86" i="80"/>
  <c r="D86" i="80"/>
  <c r="B86" i="80"/>
  <c r="M85" i="80"/>
  <c r="N85" i="80"/>
  <c r="K85" i="80"/>
  <c r="J85" i="80"/>
  <c r="D85" i="80"/>
  <c r="B85" i="80"/>
  <c r="M84" i="80"/>
  <c r="N84" i="80"/>
  <c r="K84" i="80"/>
  <c r="J84" i="80"/>
  <c r="D84" i="80"/>
  <c r="B84" i="80"/>
  <c r="N83" i="80"/>
  <c r="M83" i="80"/>
  <c r="K83" i="80"/>
  <c r="J83" i="80"/>
  <c r="F83" i="80"/>
  <c r="H87" i="80" s="1"/>
  <c r="D83" i="80"/>
  <c r="E83" i="80"/>
  <c r="B81" i="80"/>
  <c r="B83" i="80"/>
  <c r="M80" i="80"/>
  <c r="N80" i="80"/>
  <c r="K80" i="80"/>
  <c r="J80" i="80"/>
  <c r="D80" i="80"/>
  <c r="N79" i="80"/>
  <c r="M79" i="80"/>
  <c r="K79" i="80"/>
  <c r="J79" i="80"/>
  <c r="D79" i="80"/>
  <c r="N78" i="80"/>
  <c r="M78" i="80"/>
  <c r="K78" i="80"/>
  <c r="J78" i="80"/>
  <c r="D78" i="80"/>
  <c r="M77" i="80"/>
  <c r="N77" i="80"/>
  <c r="K77" i="80"/>
  <c r="J77" i="80"/>
  <c r="D77" i="80"/>
  <c r="B77" i="80"/>
  <c r="N76" i="80"/>
  <c r="M76" i="80"/>
  <c r="K76" i="80"/>
  <c r="J76" i="80"/>
  <c r="D76" i="80"/>
  <c r="N75" i="80"/>
  <c r="M75" i="80"/>
  <c r="K75" i="80"/>
  <c r="J75" i="80"/>
  <c r="D75" i="80"/>
  <c r="M74" i="80"/>
  <c r="N74" i="80"/>
  <c r="K74" i="80"/>
  <c r="J74" i="80"/>
  <c r="D74" i="80"/>
  <c r="B74" i="80"/>
  <c r="M73" i="80"/>
  <c r="N73" i="80"/>
  <c r="K73" i="80"/>
  <c r="J73" i="80"/>
  <c r="D73" i="80"/>
  <c r="N72" i="80"/>
  <c r="M72" i="80"/>
  <c r="K72" i="80"/>
  <c r="J72" i="80"/>
  <c r="F72" i="80"/>
  <c r="H79" i="80" s="1"/>
  <c r="D72" i="80"/>
  <c r="E72" i="80"/>
  <c r="B70" i="80"/>
  <c r="B72" i="80"/>
  <c r="M69" i="80"/>
  <c r="N69" i="80"/>
  <c r="K69" i="80"/>
  <c r="J69" i="80"/>
  <c r="D69" i="80"/>
  <c r="M68" i="80"/>
  <c r="N68" i="80"/>
  <c r="K68" i="80"/>
  <c r="J68" i="80"/>
  <c r="D68" i="80"/>
  <c r="B68" i="80"/>
  <c r="N67" i="80"/>
  <c r="M67" i="80"/>
  <c r="K67" i="80"/>
  <c r="J67" i="80"/>
  <c r="D67" i="80"/>
  <c r="M66" i="80"/>
  <c r="N66" i="80"/>
  <c r="K66" i="80"/>
  <c r="J66" i="80"/>
  <c r="M65" i="80"/>
  <c r="N65" i="80"/>
  <c r="K65" i="80"/>
  <c r="J65" i="80"/>
  <c r="M64" i="80"/>
  <c r="N64" i="80"/>
  <c r="K64" i="80"/>
  <c r="J64" i="80"/>
  <c r="D64" i="80"/>
  <c r="M63" i="80"/>
  <c r="N63" i="80"/>
  <c r="K63" i="80"/>
  <c r="J63" i="80"/>
  <c r="D63" i="80"/>
  <c r="B63" i="80"/>
  <c r="M62" i="80"/>
  <c r="N62" i="80"/>
  <c r="K62" i="80"/>
  <c r="J62" i="80"/>
  <c r="D62" i="80"/>
  <c r="N61" i="80"/>
  <c r="M61" i="80"/>
  <c r="K61" i="80"/>
  <c r="J61" i="80"/>
  <c r="D61" i="80"/>
  <c r="M58" i="80"/>
  <c r="N58" i="80"/>
  <c r="K58" i="80"/>
  <c r="J58" i="80"/>
  <c r="D58" i="80"/>
  <c r="M57" i="80"/>
  <c r="N57" i="80"/>
  <c r="K57" i="80"/>
  <c r="J57" i="80"/>
  <c r="D57" i="80"/>
  <c r="B57" i="80"/>
  <c r="N56" i="80"/>
  <c r="M56" i="80"/>
  <c r="K56" i="80"/>
  <c r="D56" i="80"/>
  <c r="J56" i="80"/>
  <c r="N55" i="80"/>
  <c r="M55" i="80"/>
  <c r="K55" i="80"/>
  <c r="J55" i="80"/>
  <c r="D55" i="80"/>
  <c r="M54" i="80"/>
  <c r="N54" i="80"/>
  <c r="K54" i="80"/>
  <c r="N53" i="80"/>
  <c r="M53" i="80"/>
  <c r="K53" i="80"/>
  <c r="D53" i="80"/>
  <c r="J53" i="80"/>
  <c r="M52" i="80"/>
  <c r="N52" i="80"/>
  <c r="K52" i="80"/>
  <c r="J52" i="80"/>
  <c r="D52" i="80"/>
  <c r="B52" i="80"/>
  <c r="M51" i="80"/>
  <c r="N51" i="80"/>
  <c r="K51" i="80"/>
  <c r="N50" i="80"/>
  <c r="M50" i="80"/>
  <c r="K50" i="80"/>
  <c r="J50" i="80"/>
  <c r="D50" i="80"/>
  <c r="B50" i="80"/>
  <c r="H42" i="80"/>
  <c r="H41" i="80"/>
  <c r="H40" i="80"/>
  <c r="H39" i="80"/>
  <c r="H38" i="80"/>
  <c r="D37" i="80"/>
  <c r="O32" i="80"/>
  <c r="J24" i="80"/>
  <c r="G24" i="80"/>
  <c r="G18" i="80"/>
  <c r="E24" i="80"/>
  <c r="N32" i="80"/>
  <c r="M23" i="80"/>
  <c r="I23" i="80"/>
  <c r="C22" i="80"/>
  <c r="I18" i="80"/>
  <c r="G17" i="80"/>
  <c r="C17" i="80"/>
  <c r="C13" i="80"/>
  <c r="C11" i="80"/>
  <c r="E10" i="80"/>
  <c r="AJ10" i="80"/>
  <c r="AG10" i="80"/>
  <c r="AF10" i="80"/>
  <c r="AC10" i="80"/>
  <c r="AB10" i="80"/>
  <c r="Y10" i="80"/>
  <c r="C10" i="80"/>
  <c r="AJ9" i="80"/>
  <c r="AI9" i="80"/>
  <c r="AI10" i="80"/>
  <c r="AH9" i="80"/>
  <c r="AH10" i="80"/>
  <c r="AG9" i="80"/>
  <c r="AF9" i="80"/>
  <c r="AE9" i="80"/>
  <c r="AE10" i="80"/>
  <c r="AD9" i="80"/>
  <c r="AD10" i="80"/>
  <c r="AC9" i="80"/>
  <c r="AB9" i="80"/>
  <c r="AA9" i="80"/>
  <c r="AA10" i="80"/>
  <c r="Z9" i="80"/>
  <c r="Z10" i="80"/>
  <c r="C9" i="80"/>
  <c r="E8" i="80"/>
  <c r="M4" i="80"/>
  <c r="G3" i="80"/>
  <c r="Z7" i="80" s="1"/>
  <c r="I2" i="80"/>
  <c r="N5" i="80" s="1"/>
  <c r="G2" i="80"/>
  <c r="N21" i="80" s="1"/>
  <c r="N1" i="80"/>
  <c r="J49" i="67"/>
  <c r="D37" i="43"/>
  <c r="O20" i="1"/>
  <c r="O22" i="1" s="1"/>
  <c r="Y6" i="1" s="1"/>
  <c r="B21" i="1"/>
  <c r="B23" i="1" s="1"/>
  <c r="D66" i="80"/>
  <c r="D65" i="80"/>
  <c r="E61" i="80"/>
  <c r="B59" i="80"/>
  <c r="E17" i="80"/>
  <c r="F38" i="80"/>
  <c r="E44" i="80"/>
  <c r="C44" i="80"/>
  <c r="N3" i="80"/>
  <c r="N11" i="80"/>
  <c r="M2" i="80"/>
  <c r="H72" i="80"/>
  <c r="J54" i="80"/>
  <c r="D54" i="80"/>
  <c r="E9" i="80"/>
  <c r="C7" i="80"/>
  <c r="E11" i="80"/>
  <c r="J51" i="80"/>
  <c r="D51" i="80"/>
  <c r="E50" i="80"/>
  <c r="B48" i="80"/>
  <c r="L21" i="80"/>
  <c r="M32" i="80"/>
  <c r="Q32" i="80"/>
  <c r="H37" i="80"/>
  <c r="F39" i="80"/>
  <c r="F50" i="80"/>
  <c r="H50" i="80" s="1"/>
  <c r="H73" i="80"/>
  <c r="H84" i="80"/>
  <c r="P32" i="80"/>
  <c r="D21" i="80"/>
  <c r="C40" i="81"/>
  <c r="P61" i="82"/>
  <c r="C21" i="81"/>
  <c r="F40" i="81"/>
  <c r="C28" i="80"/>
  <c r="H51" i="80"/>
  <c r="D3" i="4"/>
  <c r="A15" i="51" s="1"/>
  <c r="B12" i="72" s="1"/>
  <c r="I12" i="79"/>
  <c r="AP34" i="79"/>
  <c r="AP35" i="79"/>
  <c r="AP36" i="79"/>
  <c r="AP37" i="79"/>
  <c r="AP38" i="79"/>
  <c r="AP39" i="79"/>
  <c r="AP40" i="79"/>
  <c r="AP41" i="79"/>
  <c r="AP42" i="79"/>
  <c r="AP43" i="79"/>
  <c r="AP44" i="79"/>
  <c r="AP45" i="79"/>
  <c r="AP46" i="79"/>
  <c r="AP47" i="79"/>
  <c r="AP48" i="79"/>
  <c r="AP49" i="79"/>
  <c r="AP50" i="79"/>
  <c r="AP51" i="79"/>
  <c r="AP52" i="79"/>
  <c r="AO34" i="79"/>
  <c r="AO35" i="79"/>
  <c r="AO36" i="79"/>
  <c r="AO37" i="79"/>
  <c r="AO38" i="79"/>
  <c r="AO39" i="79"/>
  <c r="AO40" i="79"/>
  <c r="AO41" i="79"/>
  <c r="AO42" i="79"/>
  <c r="AO43" i="79"/>
  <c r="AO44" i="79"/>
  <c r="AO45" i="79"/>
  <c r="AO46" i="79"/>
  <c r="AO47" i="79"/>
  <c r="AO48" i="79"/>
  <c r="AO49" i="79"/>
  <c r="AO50" i="79"/>
  <c r="AO51" i="79"/>
  <c r="AO52" i="79"/>
  <c r="AN35" i="79"/>
  <c r="AN36" i="79"/>
  <c r="AN37" i="79"/>
  <c r="AN38" i="79"/>
  <c r="AN39" i="79"/>
  <c r="AN40" i="79"/>
  <c r="AN41" i="79"/>
  <c r="AN42" i="79"/>
  <c r="AN43" i="79"/>
  <c r="AN44" i="79"/>
  <c r="AN45" i="79"/>
  <c r="AN46" i="79"/>
  <c r="AN47" i="79"/>
  <c r="AN48" i="79"/>
  <c r="AN49" i="79"/>
  <c r="AN50" i="79"/>
  <c r="AN51" i="79"/>
  <c r="AN52" i="79"/>
  <c r="AN34" i="79"/>
  <c r="AQ6" i="79"/>
  <c r="AQ7" i="79"/>
  <c r="AQ8" i="79"/>
  <c r="AQ9" i="79"/>
  <c r="AQ10" i="79"/>
  <c r="AQ11" i="79"/>
  <c r="AQ12" i="79"/>
  <c r="AQ13" i="79"/>
  <c r="AQ14" i="79"/>
  <c r="AQ15" i="79"/>
  <c r="AQ16" i="79"/>
  <c r="AQ17" i="79"/>
  <c r="AQ18" i="79"/>
  <c r="AQ19" i="79"/>
  <c r="AQ20" i="79"/>
  <c r="AQ21" i="79"/>
  <c r="AQ22" i="79"/>
  <c r="AQ23" i="79"/>
  <c r="AQ24" i="79"/>
  <c r="AP6" i="79"/>
  <c r="AP7" i="79"/>
  <c r="AP8" i="79"/>
  <c r="AP9" i="79"/>
  <c r="AP10" i="79"/>
  <c r="AP11" i="79"/>
  <c r="AP12" i="79"/>
  <c r="AP13" i="79"/>
  <c r="AP14" i="79"/>
  <c r="AP15" i="79"/>
  <c r="AP16" i="79"/>
  <c r="AP17" i="79"/>
  <c r="AP18" i="79"/>
  <c r="AP19" i="79"/>
  <c r="AP20" i="79"/>
  <c r="AP21" i="79"/>
  <c r="AP22" i="79"/>
  <c r="AP23" i="79"/>
  <c r="AP24" i="79"/>
  <c r="AO6" i="79"/>
  <c r="AO7" i="79"/>
  <c r="AO8" i="79"/>
  <c r="AO9" i="79"/>
  <c r="AO10" i="79"/>
  <c r="AO11" i="79"/>
  <c r="AO12" i="79"/>
  <c r="AO13" i="79"/>
  <c r="AO14" i="79"/>
  <c r="AO15" i="79"/>
  <c r="AO16" i="79"/>
  <c r="AO17" i="79"/>
  <c r="AO18" i="79"/>
  <c r="AO19" i="79"/>
  <c r="AO20" i="79"/>
  <c r="AO21" i="79"/>
  <c r="AO22" i="79"/>
  <c r="AO23" i="79"/>
  <c r="AO24" i="79"/>
  <c r="AN6" i="79"/>
  <c r="AN7" i="79"/>
  <c r="AN8" i="79"/>
  <c r="AN9" i="79"/>
  <c r="AN10" i="79"/>
  <c r="AN11" i="79"/>
  <c r="AN12" i="79"/>
  <c r="AN13" i="79"/>
  <c r="AN14" i="79"/>
  <c r="AN15" i="79"/>
  <c r="AN16" i="79"/>
  <c r="AN17" i="79"/>
  <c r="AN18" i="79"/>
  <c r="AN19" i="79"/>
  <c r="AN20" i="79"/>
  <c r="AN21" i="79"/>
  <c r="AN22" i="79"/>
  <c r="AN23" i="79"/>
  <c r="AN24" i="79"/>
  <c r="AM6" i="79"/>
  <c r="AM7" i="79"/>
  <c r="AM8" i="79"/>
  <c r="AM9" i="79"/>
  <c r="AM10" i="79"/>
  <c r="AM11" i="79"/>
  <c r="AM12" i="79"/>
  <c r="AM13" i="79"/>
  <c r="AM14" i="79"/>
  <c r="AM15" i="79"/>
  <c r="AM16" i="79"/>
  <c r="AM17" i="79"/>
  <c r="AM18" i="79"/>
  <c r="AM19" i="79"/>
  <c r="AM20" i="79"/>
  <c r="AM21" i="79"/>
  <c r="AM22" i="79"/>
  <c r="AM23" i="79"/>
  <c r="AM24" i="79"/>
  <c r="AB33" i="79"/>
  <c r="AA33" i="79"/>
  <c r="Z33" i="79"/>
  <c r="N33" i="79"/>
  <c r="M33" i="79"/>
  <c r="P33" i="79"/>
  <c r="L33" i="79"/>
  <c r="I33" i="79"/>
  <c r="AB34" i="79"/>
  <c r="AA34" i="79"/>
  <c r="Z34" i="79"/>
  <c r="N34" i="79"/>
  <c r="M34" i="79"/>
  <c r="P34" i="79"/>
  <c r="L34" i="79"/>
  <c r="I34" i="79"/>
  <c r="AD34" i="79"/>
  <c r="AB35" i="79"/>
  <c r="AA35" i="79"/>
  <c r="Z35" i="79"/>
  <c r="N35" i="79"/>
  <c r="M35" i="79"/>
  <c r="P35" i="79"/>
  <c r="L35" i="79"/>
  <c r="I35" i="79"/>
  <c r="AC5" i="79"/>
  <c r="AB5" i="79"/>
  <c r="AA5" i="79"/>
  <c r="AD5" i="79"/>
  <c r="Z5" i="79"/>
  <c r="Y5" i="79"/>
  <c r="O5" i="79"/>
  <c r="N5" i="79"/>
  <c r="M5" i="79"/>
  <c r="P5" i="79"/>
  <c r="L5" i="79"/>
  <c r="K5" i="79"/>
  <c r="I5" i="79"/>
  <c r="AR6" i="79"/>
  <c r="AR7" i="79"/>
  <c r="AC6" i="79"/>
  <c r="AB6" i="79"/>
  <c r="AA6" i="79"/>
  <c r="AD6" i="79"/>
  <c r="Z6" i="79"/>
  <c r="Y6" i="79"/>
  <c r="O6" i="79"/>
  <c r="N6" i="79"/>
  <c r="M6" i="79"/>
  <c r="P6" i="79"/>
  <c r="L6" i="79"/>
  <c r="K6" i="79"/>
  <c r="I6" i="79"/>
  <c r="AC7" i="79"/>
  <c r="AB7" i="79"/>
  <c r="AA7" i="79"/>
  <c r="AD7" i="79"/>
  <c r="Z7" i="79"/>
  <c r="Y7" i="79"/>
  <c r="O7" i="79"/>
  <c r="N7" i="79"/>
  <c r="M7" i="79"/>
  <c r="P7" i="79"/>
  <c r="L7" i="79"/>
  <c r="K7" i="79"/>
  <c r="I7" i="79"/>
  <c r="AD33" i="79"/>
  <c r="AR34" i="79"/>
  <c r="AR35" i="79"/>
  <c r="AR36" i="79"/>
  <c r="AR8" i="79"/>
  <c r="AD35" i="79"/>
  <c r="C60" i="78"/>
  <c r="D60" i="78"/>
  <c r="B55" i="78"/>
  <c r="D55" i="78"/>
  <c r="D53" i="78"/>
  <c r="D52" i="78"/>
  <c r="D51" i="78"/>
  <c r="B51" i="78"/>
  <c r="B56" i="78"/>
  <c r="C51" i="78"/>
  <c r="C56" i="78"/>
  <c r="C58" i="78"/>
  <c r="B62" i="78"/>
  <c r="B54" i="78"/>
  <c r="D54" i="78"/>
  <c r="D56" i="78"/>
  <c r="D58" i="78"/>
  <c r="D62" i="78"/>
  <c r="C62" i="78"/>
  <c r="G14" i="73"/>
  <c r="F14" i="73"/>
  <c r="E14" i="73"/>
  <c r="AB36" i="79"/>
  <c r="AA36" i="79"/>
  <c r="Z36" i="79"/>
  <c r="N36" i="79"/>
  <c r="M36" i="79"/>
  <c r="L36" i="79"/>
  <c r="I36" i="79"/>
  <c r="AC8" i="79"/>
  <c r="AB8" i="79"/>
  <c r="AA8" i="79"/>
  <c r="AD8" i="79"/>
  <c r="Z8" i="79"/>
  <c r="Y8" i="79"/>
  <c r="O8" i="79"/>
  <c r="N8" i="79"/>
  <c r="M8" i="79"/>
  <c r="P8" i="79"/>
  <c r="L8" i="79"/>
  <c r="K8" i="79"/>
  <c r="I8" i="79"/>
  <c r="AR9" i="79"/>
  <c r="AC9" i="79"/>
  <c r="AB9" i="79"/>
  <c r="AA9" i="79"/>
  <c r="AD9" i="79"/>
  <c r="Z9" i="79"/>
  <c r="Y9" i="79"/>
  <c r="O9" i="79"/>
  <c r="N9" i="79"/>
  <c r="M9" i="79"/>
  <c r="P9" i="79"/>
  <c r="L9" i="79"/>
  <c r="K9" i="79"/>
  <c r="I9" i="79"/>
  <c r="AB37" i="79"/>
  <c r="AA37" i="79"/>
  <c r="Z37" i="79"/>
  <c r="N37" i="79"/>
  <c r="M37" i="79"/>
  <c r="P37" i="79"/>
  <c r="L37" i="79"/>
  <c r="I37" i="79"/>
  <c r="AR37" i="79"/>
  <c r="AR38" i="79"/>
  <c r="P36" i="79"/>
  <c r="AR10" i="79"/>
  <c r="G15" i="73"/>
  <c r="F15" i="73"/>
  <c r="E15" i="73"/>
  <c r="G16" i="73"/>
  <c r="F16" i="73"/>
  <c r="E16" i="73"/>
  <c r="AB38" i="79"/>
  <c r="AA38" i="79"/>
  <c r="Z38" i="79"/>
  <c r="N38" i="79"/>
  <c r="M38" i="79"/>
  <c r="L38" i="79"/>
  <c r="I38" i="79"/>
  <c r="AC10" i="79"/>
  <c r="AB10" i="79"/>
  <c r="AA10" i="79"/>
  <c r="AD10" i="79"/>
  <c r="Z10" i="79"/>
  <c r="Y10" i="79"/>
  <c r="O10" i="79"/>
  <c r="N10" i="79"/>
  <c r="M10" i="79"/>
  <c r="P10" i="79"/>
  <c r="L10" i="79"/>
  <c r="K10" i="79"/>
  <c r="I10" i="79"/>
  <c r="AR11" i="79"/>
  <c r="AR39" i="79"/>
  <c r="P38" i="79"/>
  <c r="I13" i="79"/>
  <c r="I41" i="79"/>
  <c r="I40" i="79"/>
  <c r="N40" i="79"/>
  <c r="M40" i="79"/>
  <c r="P40" i="79"/>
  <c r="L40" i="79"/>
  <c r="N41" i="79"/>
  <c r="M41" i="79"/>
  <c r="L41" i="79"/>
  <c r="O12" i="79"/>
  <c r="N12" i="79"/>
  <c r="M12" i="79"/>
  <c r="P12" i="79"/>
  <c r="L12" i="79"/>
  <c r="K12" i="79"/>
  <c r="O13" i="79"/>
  <c r="N13" i="79"/>
  <c r="M13" i="79"/>
  <c r="P13" i="79"/>
  <c r="L13" i="79"/>
  <c r="K13" i="79"/>
  <c r="P41" i="79"/>
  <c r="G17" i="73"/>
  <c r="F17" i="73"/>
  <c r="E17" i="73"/>
  <c r="L42" i="79"/>
  <c r="M42" i="79"/>
  <c r="P42" i="79"/>
  <c r="N42" i="79"/>
  <c r="L43" i="79"/>
  <c r="M43" i="79"/>
  <c r="P43" i="79"/>
  <c r="N43" i="79"/>
  <c r="L44" i="79"/>
  <c r="M44" i="79"/>
  <c r="N44" i="79"/>
  <c r="I42" i="79"/>
  <c r="I43" i="79"/>
  <c r="I44" i="79"/>
  <c r="I14" i="79"/>
  <c r="I15" i="79"/>
  <c r="I16" i="79"/>
  <c r="K14" i="79"/>
  <c r="L14" i="79"/>
  <c r="M14" i="79"/>
  <c r="P14" i="79"/>
  <c r="N14" i="79"/>
  <c r="O14" i="79"/>
  <c r="K15" i="79"/>
  <c r="L15" i="79"/>
  <c r="M15" i="79"/>
  <c r="P15" i="79"/>
  <c r="N15" i="79"/>
  <c r="O15" i="79"/>
  <c r="K16" i="79"/>
  <c r="L16" i="79"/>
  <c r="M16" i="79"/>
  <c r="P16" i="79"/>
  <c r="N16" i="79"/>
  <c r="O16" i="79"/>
  <c r="P44"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6" i="78" s="1"/>
  <c r="D6" i="78" s="1"/>
  <c r="C7" i="78"/>
  <c r="D7" i="78" s="1"/>
  <c r="F13" i="1"/>
  <c r="D13" i="1"/>
  <c r="D12" i="1"/>
  <c r="D11" i="1"/>
  <c r="D10" i="1"/>
  <c r="D9" i="1"/>
  <c r="D8" i="1"/>
  <c r="D7" i="1"/>
  <c r="D6" i="1"/>
  <c r="I2" i="43"/>
  <c r="N2" i="43" s="1"/>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C27" i="43" s="1"/>
  <c r="C25" i="43" s="1"/>
  <c r="AB52" i="79"/>
  <c r="AA52" i="79"/>
  <c r="Z52" i="79"/>
  <c r="W52" i="79"/>
  <c r="N52" i="79"/>
  <c r="M52" i="79"/>
  <c r="P52" i="79"/>
  <c r="L52" i="79"/>
  <c r="I52" i="79"/>
  <c r="AD52" i="79"/>
  <c r="AB51" i="79"/>
  <c r="AA51" i="79"/>
  <c r="Z51" i="79"/>
  <c r="N51" i="79"/>
  <c r="U51" i="79"/>
  <c r="AI51" i="79"/>
  <c r="M51" i="79"/>
  <c r="L51" i="79"/>
  <c r="S51" i="79"/>
  <c r="AG51" i="79"/>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c r="M45" i="79"/>
  <c r="L45" i="79"/>
  <c r="I45" i="79"/>
  <c r="AB39" i="79"/>
  <c r="AA39" i="79"/>
  <c r="Z39" i="79"/>
  <c r="N39" i="79"/>
  <c r="M39" i="79"/>
  <c r="L39" i="79"/>
  <c r="I39" i="79"/>
  <c r="G31" i="79"/>
  <c r="F31" i="79"/>
  <c r="I31" i="79"/>
  <c r="E31" i="79"/>
  <c r="AC24" i="79"/>
  <c r="AB24" i="79"/>
  <c r="AA24" i="79"/>
  <c r="AD24" i="79"/>
  <c r="Z24" i="79"/>
  <c r="Y24" i="79"/>
  <c r="W24" i="79"/>
  <c r="P24" i="79"/>
  <c r="O24" i="79"/>
  <c r="N24" i="79"/>
  <c r="M24" i="79"/>
  <c r="L24" i="79"/>
  <c r="K24" i="79"/>
  <c r="I24" i="79"/>
  <c r="AC23" i="79"/>
  <c r="AB23" i="79"/>
  <c r="AA23" i="79"/>
  <c r="AD23" i="79"/>
  <c r="Z23" i="79"/>
  <c r="Y23" i="79"/>
  <c r="O23" i="79"/>
  <c r="V23" i="79"/>
  <c r="AJ23" i="79"/>
  <c r="N23" i="79"/>
  <c r="U23" i="79"/>
  <c r="AI23" i="79"/>
  <c r="M23" i="79"/>
  <c r="L23" i="79"/>
  <c r="S23" i="79"/>
  <c r="AG23" i="79"/>
  <c r="K23" i="79"/>
  <c r="R23" i="79"/>
  <c r="AF23" i="79"/>
  <c r="I23" i="79"/>
  <c r="AC22" i="79"/>
  <c r="AB22" i="79"/>
  <c r="AA22" i="79"/>
  <c r="AD22" i="79"/>
  <c r="Z22" i="79"/>
  <c r="Y22" i="79"/>
  <c r="O22" i="79"/>
  <c r="N22" i="79"/>
  <c r="M22" i="79"/>
  <c r="T22" i="79"/>
  <c r="L22" i="79"/>
  <c r="K22" i="79"/>
  <c r="I22" i="79"/>
  <c r="AC21" i="79"/>
  <c r="AB21" i="79"/>
  <c r="AA21" i="79"/>
  <c r="AD21" i="79"/>
  <c r="Z21" i="79"/>
  <c r="Y21" i="79"/>
  <c r="O21" i="79"/>
  <c r="N21" i="79"/>
  <c r="M21" i="79"/>
  <c r="L21" i="79"/>
  <c r="K21" i="79"/>
  <c r="I21" i="79"/>
  <c r="AD20" i="79"/>
  <c r="AC20" i="79"/>
  <c r="AB20" i="79"/>
  <c r="AA20" i="79"/>
  <c r="Z20" i="79"/>
  <c r="Y20" i="79"/>
  <c r="O20" i="79"/>
  <c r="N20" i="79"/>
  <c r="M20" i="79"/>
  <c r="L20" i="79"/>
  <c r="S20" i="79"/>
  <c r="AG20" i="79"/>
  <c r="K20" i="79"/>
  <c r="I20" i="79"/>
  <c r="AC19" i="79"/>
  <c r="AB19" i="79"/>
  <c r="AA19" i="79"/>
  <c r="AD19" i="79"/>
  <c r="Z19" i="79"/>
  <c r="Y19" i="79"/>
  <c r="O19" i="79"/>
  <c r="N19" i="79"/>
  <c r="M19" i="79"/>
  <c r="L19" i="79"/>
  <c r="K19" i="79"/>
  <c r="I19" i="79"/>
  <c r="AC18" i="79"/>
  <c r="AB18" i="79"/>
  <c r="AA18" i="79"/>
  <c r="AD18" i="79"/>
  <c r="Z18" i="79"/>
  <c r="Y18" i="79"/>
  <c r="O18" i="79"/>
  <c r="N18" i="79"/>
  <c r="M18" i="79"/>
  <c r="L18" i="79"/>
  <c r="K18" i="79"/>
  <c r="I18" i="79"/>
  <c r="AC17" i="79"/>
  <c r="AB17" i="79"/>
  <c r="AA17" i="79"/>
  <c r="AD17" i="79"/>
  <c r="Z17" i="79"/>
  <c r="Y17" i="79"/>
  <c r="O17" i="79"/>
  <c r="N17" i="79"/>
  <c r="M17" i="79"/>
  <c r="L17" i="79"/>
  <c r="K17" i="79"/>
  <c r="I17" i="79"/>
  <c r="AC11" i="79"/>
  <c r="AB11" i="79"/>
  <c r="AA11" i="79"/>
  <c r="AD11" i="79"/>
  <c r="Z11" i="79"/>
  <c r="Y11" i="79"/>
  <c r="O11" i="79"/>
  <c r="N11" i="79"/>
  <c r="M11" i="79"/>
  <c r="L11" i="79"/>
  <c r="K11" i="79"/>
  <c r="I11" i="79"/>
  <c r="AR12" i="79"/>
  <c r="AR13" i="79"/>
  <c r="AR14" i="79"/>
  <c r="AR15" i="79"/>
  <c r="AR16" i="79"/>
  <c r="AR17" i="79"/>
  <c r="H3" i="79"/>
  <c r="G3" i="79"/>
  <c r="F3" i="79"/>
  <c r="I3" i="79"/>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34" i="79"/>
  <c r="T35" i="79"/>
  <c r="T33" i="79"/>
  <c r="W22" i="79"/>
  <c r="AK22" i="79"/>
  <c r="AH22" i="79"/>
  <c r="AD37" i="79"/>
  <c r="AD36" i="79"/>
  <c r="AD38" i="79"/>
  <c r="AR40" i="79"/>
  <c r="AR41" i="79"/>
  <c r="AR42" i="79"/>
  <c r="AR43" i="79"/>
  <c r="AR44" i="79"/>
  <c r="AR45" i="79"/>
  <c r="AR46" i="79"/>
  <c r="AR47" i="79"/>
  <c r="AR48" i="79"/>
  <c r="AR49" i="79"/>
  <c r="AR50" i="79"/>
  <c r="AR51" i="79"/>
  <c r="AR52" i="79"/>
  <c r="Z3" i="79"/>
  <c r="S33" i="79"/>
  <c r="AG33" i="79"/>
  <c r="S35" i="79"/>
  <c r="AG35" i="79"/>
  <c r="S34" i="79"/>
  <c r="AG34" i="79"/>
  <c r="AA31" i="79"/>
  <c r="AD31" i="79"/>
  <c r="T40" i="79"/>
  <c r="U46" i="79"/>
  <c r="AI46" i="79"/>
  <c r="AD47" i="79"/>
  <c r="S48" i="79"/>
  <c r="AG48" i="79"/>
  <c r="U50" i="79"/>
  <c r="AI50" i="79"/>
  <c r="AD51" i="79"/>
  <c r="AR18" i="79"/>
  <c r="AR19" i="79"/>
  <c r="AR20" i="79"/>
  <c r="AR21" i="79"/>
  <c r="AR22" i="79"/>
  <c r="AR23" i="79"/>
  <c r="AR24" i="79"/>
  <c r="U35" i="79"/>
  <c r="AI35" i="79"/>
  <c r="U34" i="79"/>
  <c r="AI34" i="79"/>
  <c r="U33" i="79"/>
  <c r="AI33" i="79"/>
  <c r="S6" i="79"/>
  <c r="AG6" i="79"/>
  <c r="S7" i="79"/>
  <c r="AG7" i="79"/>
  <c r="S5" i="79"/>
  <c r="T6" i="79"/>
  <c r="T7" i="79"/>
  <c r="T5" i="79"/>
  <c r="U6" i="79"/>
  <c r="AI6" i="79"/>
  <c r="U5" i="79"/>
  <c r="AI5" i="79"/>
  <c r="U7" i="79"/>
  <c r="AI7" i="79"/>
  <c r="R6" i="79"/>
  <c r="AF6" i="79"/>
  <c r="R7" i="79"/>
  <c r="AF7" i="79"/>
  <c r="R5" i="79"/>
  <c r="AF5" i="79"/>
  <c r="V5" i="79"/>
  <c r="AJ5" i="79"/>
  <c r="V7" i="79"/>
  <c r="AJ7" i="79"/>
  <c r="V6" i="79"/>
  <c r="AJ6" i="79"/>
  <c r="S38" i="79"/>
  <c r="AG38" i="79"/>
  <c r="S37" i="79"/>
  <c r="AG37" i="79"/>
  <c r="S36" i="79"/>
  <c r="AG36" i="79"/>
  <c r="M31" i="79"/>
  <c r="P31" i="79"/>
  <c r="T36" i="79"/>
  <c r="T37" i="79"/>
  <c r="U37" i="79"/>
  <c r="AI37" i="79"/>
  <c r="U36" i="79"/>
  <c r="AI36" i="79"/>
  <c r="R18" i="79"/>
  <c r="AF18" i="79"/>
  <c r="T20" i="79"/>
  <c r="T9" i="79"/>
  <c r="T8" i="79"/>
  <c r="V18" i="79"/>
  <c r="AJ18" i="79"/>
  <c r="U22" i="79"/>
  <c r="AI22" i="79"/>
  <c r="U9" i="79"/>
  <c r="AI9" i="79"/>
  <c r="U8" i="79"/>
  <c r="AI8" i="79"/>
  <c r="S9" i="79"/>
  <c r="AG9" i="79"/>
  <c r="S8" i="79"/>
  <c r="AG8" i="79"/>
  <c r="S19" i="79"/>
  <c r="AG19" i="79"/>
  <c r="R9" i="79"/>
  <c r="AF9" i="79"/>
  <c r="R8" i="79"/>
  <c r="AF8" i="79"/>
  <c r="V9" i="79"/>
  <c r="AJ9" i="79"/>
  <c r="V8" i="79"/>
  <c r="AJ8" i="79"/>
  <c r="R22" i="79"/>
  <c r="AF22" i="79"/>
  <c r="V22" i="79"/>
  <c r="AJ22" i="79"/>
  <c r="S22" i="79"/>
  <c r="AG22" i="79"/>
  <c r="U10" i="79"/>
  <c r="AI10" i="79"/>
  <c r="S18" i="79"/>
  <c r="AG18" i="79"/>
  <c r="U20" i="79"/>
  <c r="AI20" i="79"/>
  <c r="U21" i="79"/>
  <c r="AI21" i="79"/>
  <c r="T31" i="79"/>
  <c r="W31" i="79"/>
  <c r="U40" i="79"/>
  <c r="AI40" i="79"/>
  <c r="AD46" i="79"/>
  <c r="S47" i="79"/>
  <c r="AG47" i="79"/>
  <c r="U49" i="79"/>
  <c r="AI49" i="79"/>
  <c r="AD50" i="79"/>
  <c r="AB3" i="79"/>
  <c r="U31" i="79"/>
  <c r="U38" i="79"/>
  <c r="AI38" i="79"/>
  <c r="U48" i="79"/>
  <c r="AI48" i="79"/>
  <c r="AD49" i="79"/>
  <c r="S50" i="79"/>
  <c r="AG50" i="79"/>
  <c r="L3" i="79"/>
  <c r="Y3" i="79"/>
  <c r="AC3" i="79"/>
  <c r="S21" i="79"/>
  <c r="AG21" i="79"/>
  <c r="AD39" i="79"/>
  <c r="S40" i="79"/>
  <c r="AG40" i="79"/>
  <c r="T46" i="79"/>
  <c r="U47" i="79"/>
  <c r="AI47" i="79"/>
  <c r="AD48" i="79"/>
  <c r="S49" i="79"/>
  <c r="AG49" i="79"/>
  <c r="V3" i="79"/>
  <c r="L31" i="79"/>
  <c r="T39" i="79"/>
  <c r="AH39" i="79"/>
  <c r="T38" i="79"/>
  <c r="N3" i="79"/>
  <c r="K3" i="79"/>
  <c r="R10" i="79"/>
  <c r="AF10" i="79"/>
  <c r="O3" i="79"/>
  <c r="V10" i="79"/>
  <c r="AJ10" i="79"/>
  <c r="T18" i="79"/>
  <c r="U19" i="79"/>
  <c r="AI19" i="79"/>
  <c r="R20" i="79"/>
  <c r="AF20" i="79"/>
  <c r="V20" i="79"/>
  <c r="AJ20" i="79"/>
  <c r="R21" i="79"/>
  <c r="AF21" i="79"/>
  <c r="V21" i="79"/>
  <c r="AJ21" i="79"/>
  <c r="S3" i="79"/>
  <c r="S10" i="79"/>
  <c r="AG10" i="79"/>
  <c r="U18" i="79"/>
  <c r="AI18" i="79"/>
  <c r="R19" i="79"/>
  <c r="AF19" i="79"/>
  <c r="V19" i="79"/>
  <c r="AJ19" i="79"/>
  <c r="P11" i="79"/>
  <c r="T10" i="79"/>
  <c r="U3" i="79"/>
  <c r="S39" i="79"/>
  <c r="AG39" i="79"/>
  <c r="M3" i="79"/>
  <c r="P3" i="79"/>
  <c r="T3" i="79"/>
  <c r="W3" i="79"/>
  <c r="U39" i="79"/>
  <c r="AI39" i="79"/>
  <c r="AD45" i="79"/>
  <c r="T44" i="79"/>
  <c r="T42" i="79"/>
  <c r="AH42" i="79"/>
  <c r="T45" i="79"/>
  <c r="T43" i="79"/>
  <c r="T41" i="79"/>
  <c r="S46" i="79"/>
  <c r="AG46" i="79"/>
  <c r="T47" i="79"/>
  <c r="T49" i="79"/>
  <c r="T51" i="79"/>
  <c r="S45" i="79"/>
  <c r="AG45" i="79"/>
  <c r="S43" i="79"/>
  <c r="AG43" i="79"/>
  <c r="S44" i="79"/>
  <c r="AG44" i="79"/>
  <c r="S42" i="79"/>
  <c r="AG42" i="79"/>
  <c r="S41" i="79"/>
  <c r="AG41" i="79"/>
  <c r="U45" i="79"/>
  <c r="AI45" i="79"/>
  <c r="U43" i="79"/>
  <c r="AI43" i="79"/>
  <c r="U44" i="79"/>
  <c r="AI44" i="79"/>
  <c r="U42" i="79"/>
  <c r="AI42" i="79"/>
  <c r="U41" i="79"/>
  <c r="AI41" i="79"/>
  <c r="T48" i="79"/>
  <c r="T50" i="79"/>
  <c r="S13" i="79"/>
  <c r="AG13" i="79"/>
  <c r="S16" i="79"/>
  <c r="AG16" i="79"/>
  <c r="S17" i="79"/>
  <c r="AG17" i="79"/>
  <c r="S12" i="79"/>
  <c r="AG12" i="79"/>
  <c r="U13" i="79"/>
  <c r="AI13" i="79"/>
  <c r="U16" i="79"/>
  <c r="AI16" i="79"/>
  <c r="U17" i="79"/>
  <c r="AI17" i="79"/>
  <c r="U12" i="79"/>
  <c r="AI12" i="79"/>
  <c r="P21" i="79"/>
  <c r="T21" i="79"/>
  <c r="R13" i="79"/>
  <c r="AF13" i="79"/>
  <c r="R16" i="79"/>
  <c r="AF16" i="79"/>
  <c r="R17" i="79"/>
  <c r="AF17" i="79"/>
  <c r="R12" i="79"/>
  <c r="AF12" i="79"/>
  <c r="T13" i="79"/>
  <c r="T16" i="79"/>
  <c r="T17" i="79"/>
  <c r="T12" i="79"/>
  <c r="V13" i="79"/>
  <c r="AJ13" i="79"/>
  <c r="V16" i="79"/>
  <c r="AJ16" i="79"/>
  <c r="V17" i="79"/>
  <c r="AJ17" i="79"/>
  <c r="V12" i="79"/>
  <c r="AJ12" i="79"/>
  <c r="P19" i="79"/>
  <c r="T19" i="79"/>
  <c r="P23" i="79"/>
  <c r="T23" i="79"/>
  <c r="AA3" i="79"/>
  <c r="AD3" i="79"/>
  <c r="W42" i="79"/>
  <c r="AK42" i="79"/>
  <c r="AB31" i="79"/>
  <c r="R14" i="79"/>
  <c r="AF14" i="79"/>
  <c r="R11" i="79"/>
  <c r="AF11" i="79"/>
  <c r="R15" i="79"/>
  <c r="AF15" i="79"/>
  <c r="P17" i="79"/>
  <c r="T15" i="79"/>
  <c r="T14" i="79"/>
  <c r="T11" i="79"/>
  <c r="V14" i="79"/>
  <c r="AJ14" i="79"/>
  <c r="V11" i="79"/>
  <c r="AJ11" i="79"/>
  <c r="V15" i="79"/>
  <c r="AJ15" i="79"/>
  <c r="S15" i="79"/>
  <c r="AG15" i="79"/>
  <c r="S11" i="79"/>
  <c r="AG11" i="79"/>
  <c r="S14" i="79"/>
  <c r="AG14" i="79"/>
  <c r="U15" i="79"/>
  <c r="AI15" i="79"/>
  <c r="U11" i="79"/>
  <c r="AI11" i="79"/>
  <c r="U14" i="79"/>
  <c r="AI14" i="79"/>
  <c r="S31" i="79"/>
  <c r="P20" i="79"/>
  <c r="P22" i="79"/>
  <c r="R3" i="79"/>
  <c r="Z31" i="79"/>
  <c r="P18" i="79"/>
  <c r="S6" i="43"/>
  <c r="S5" i="43"/>
  <c r="S4" i="43"/>
  <c r="E93" i="43"/>
  <c r="B91" i="43"/>
  <c r="N21" i="43"/>
  <c r="H116" i="43"/>
  <c r="F37" i="43"/>
  <c r="F38" i="43"/>
  <c r="F40" i="43"/>
  <c r="F41" i="43"/>
  <c r="F42" i="43"/>
  <c r="M2" i="43"/>
  <c r="M4" i="43"/>
  <c r="C6" i="43" s="1"/>
  <c r="F93" i="43"/>
  <c r="H100" i="43" s="1"/>
  <c r="M6" i="43"/>
  <c r="N6" i="43"/>
  <c r="N8" i="43"/>
  <c r="M10" i="43"/>
  <c r="M11" i="43"/>
  <c r="E21" i="43"/>
  <c r="I21" i="43"/>
  <c r="K21" i="43"/>
  <c r="O21" i="43"/>
  <c r="D21" i="43"/>
  <c r="H21" i="43"/>
  <c r="L21" i="43"/>
  <c r="G18" i="43"/>
  <c r="P39" i="79"/>
  <c r="P46" i="79"/>
  <c r="P48" i="79"/>
  <c r="P50" i="79"/>
  <c r="P45" i="79"/>
  <c r="P47" i="79"/>
  <c r="P49" i="79"/>
  <c r="P51" i="79"/>
  <c r="E25" i="78"/>
  <c r="E24" i="78"/>
  <c r="F23" i="78"/>
  <c r="F24" i="78"/>
  <c r="F25" i="78"/>
  <c r="E23" i="78"/>
  <c r="E22" i="78"/>
  <c r="G22" i="78"/>
  <c r="F12" i="78"/>
  <c r="F11" i="78"/>
  <c r="C18" i="78"/>
  <c r="W16" i="79"/>
  <c r="AK16" i="79"/>
  <c r="AH16" i="79"/>
  <c r="W41" i="79"/>
  <c r="AK41" i="79"/>
  <c r="AH41" i="79"/>
  <c r="W46" i="79"/>
  <c r="AK46" i="79"/>
  <c r="AH46" i="79"/>
  <c r="W15" i="79"/>
  <c r="AK15" i="79"/>
  <c r="AH15" i="79"/>
  <c r="W13" i="79"/>
  <c r="AK13" i="79"/>
  <c r="AH13" i="79"/>
  <c r="W48" i="79"/>
  <c r="AK48" i="79"/>
  <c r="AH48" i="79"/>
  <c r="W49" i="79"/>
  <c r="AK49" i="79"/>
  <c r="AH49" i="79"/>
  <c r="W43" i="79"/>
  <c r="AK43" i="79"/>
  <c r="AH43" i="79"/>
  <c r="W38" i="79"/>
  <c r="AK38" i="79"/>
  <c r="AH38" i="79"/>
  <c r="W40" i="79"/>
  <c r="AK40" i="79"/>
  <c r="AH40" i="79"/>
  <c r="W33" i="79"/>
  <c r="AK33" i="79"/>
  <c r="AH33" i="79"/>
  <c r="W14" i="79"/>
  <c r="AK14" i="79"/>
  <c r="AH14" i="79"/>
  <c r="W19" i="79"/>
  <c r="AK19" i="79"/>
  <c r="AH19" i="79"/>
  <c r="W51" i="79"/>
  <c r="AK51" i="79"/>
  <c r="AH51" i="79"/>
  <c r="W44" i="79"/>
  <c r="AK44" i="79"/>
  <c r="AH44" i="79"/>
  <c r="W23" i="79"/>
  <c r="AK23" i="79"/>
  <c r="AH23" i="79"/>
  <c r="W12" i="79"/>
  <c r="AK12" i="79"/>
  <c r="AH12" i="79"/>
  <c r="W21" i="79"/>
  <c r="AK21" i="79"/>
  <c r="AH21" i="79"/>
  <c r="W47" i="79"/>
  <c r="AK47" i="79"/>
  <c r="AH47" i="79"/>
  <c r="W50" i="79"/>
  <c r="AK50" i="79"/>
  <c r="AH50" i="79"/>
  <c r="W45" i="79"/>
  <c r="AK45" i="79"/>
  <c r="AH45" i="79"/>
  <c r="W35" i="79"/>
  <c r="AK35" i="79"/>
  <c r="AH35" i="79"/>
  <c r="W11" i="79"/>
  <c r="AK11" i="79"/>
  <c r="AH11" i="79"/>
  <c r="W39" i="79"/>
  <c r="AK39" i="79"/>
  <c r="W17" i="79"/>
  <c r="AK17" i="79"/>
  <c r="AH17" i="79"/>
  <c r="W10" i="79"/>
  <c r="AK10" i="79"/>
  <c r="AH10" i="79"/>
  <c r="W18" i="79"/>
  <c r="AK18" i="79"/>
  <c r="AH18" i="79"/>
  <c r="W20" i="79"/>
  <c r="AK20" i="79"/>
  <c r="AH20" i="79"/>
  <c r="AH34" i="79"/>
  <c r="W34" i="79"/>
  <c r="AK34" i="79"/>
  <c r="W37" i="79"/>
  <c r="AK37" i="79"/>
  <c r="AH37" i="79"/>
  <c r="W36" i="79"/>
  <c r="AK36" i="79"/>
  <c r="AH36" i="79"/>
  <c r="W9" i="79"/>
  <c r="AK9" i="79"/>
  <c r="AH9" i="79"/>
  <c r="W6" i="79"/>
  <c r="AK6" i="79"/>
  <c r="AH6" i="79"/>
  <c r="W8" i="79"/>
  <c r="AK8" i="79"/>
  <c r="AH8" i="79"/>
  <c r="AG5" i="79"/>
  <c r="W5" i="79"/>
  <c r="AK5" i="79"/>
  <c r="AH5" i="79"/>
  <c r="W7" i="79"/>
  <c r="AK7" i="79"/>
  <c r="AH7" i="79"/>
  <c r="C15" i="78"/>
  <c r="G23" i="78"/>
  <c r="G24" i="78"/>
  <c r="G25" i="78"/>
  <c r="B15" i="78"/>
  <c r="B18" i="78"/>
  <c r="G19" i="73"/>
  <c r="F19" i="73"/>
  <c r="E19" i="73"/>
  <c r="G20" i="73"/>
  <c r="F20" i="73"/>
  <c r="E20" i="73"/>
  <c r="G21" i="73"/>
  <c r="F21" i="73"/>
  <c r="E21" i="73"/>
  <c r="G13" i="73"/>
  <c r="F13" i="73"/>
  <c r="E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R10" i="77"/>
  <c r="D10" i="77"/>
  <c r="R9" i="77"/>
  <c r="D9" i="77"/>
  <c r="R8" i="77"/>
  <c r="R7" i="77"/>
  <c r="R4" i="77"/>
  <c r="R3" i="77"/>
  <c r="D11" i="77"/>
  <c r="E11" i="77"/>
  <c r="E7" i="77"/>
  <c r="C27" i="77"/>
  <c r="D7" i="77"/>
  <c r="C26" i="77"/>
  <c r="C32" i="77"/>
  <c r="C38" i="77"/>
  <c r="C39" i="77"/>
  <c r="R14" i="77"/>
  <c r="R24" i="77"/>
  <c r="D29" i="77"/>
  <c r="E23" i="77"/>
  <c r="D26" i="77"/>
  <c r="D32" i="77"/>
  <c r="C29" i="77"/>
  <c r="R35" i="77"/>
  <c r="U34" i="77"/>
  <c r="AH9" i="71"/>
  <c r="AG9" i="71"/>
  <c r="AE9" i="71"/>
  <c r="AF9" i="71"/>
  <c r="AD9" i="71"/>
  <c r="Q9" i="71"/>
  <c r="P9" i="71"/>
  <c r="O9" i="71"/>
  <c r="N9" i="71"/>
  <c r="R25" i="77"/>
  <c r="R19" i="77"/>
  <c r="R5" i="77"/>
  <c r="U5" i="77"/>
  <c r="E26" i="77"/>
  <c r="E38" i="77"/>
  <c r="E39" i="77"/>
  <c r="C40" i="77"/>
  <c r="B2" i="77"/>
  <c r="E29" i="77"/>
  <c r="AH10" i="71"/>
  <c r="AG10" i="71"/>
  <c r="AE10" i="71"/>
  <c r="AF10" i="71"/>
  <c r="AD10" i="71"/>
  <c r="Q10" i="71"/>
  <c r="P10" i="71"/>
  <c r="O10" i="71"/>
  <c r="N10" i="71"/>
  <c r="E32" i="77"/>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B24" i="71"/>
  <c r="B23" i="71"/>
  <c r="Q24" i="71"/>
  <c r="P24" i="71"/>
  <c r="E24" i="71"/>
  <c r="O24" i="71"/>
  <c r="C24" i="71"/>
  <c r="Q25" i="71"/>
  <c r="F24" i="71"/>
  <c r="F23" i="71"/>
  <c r="F22" i="71"/>
  <c r="P25" i="71"/>
  <c r="O25" i="71"/>
  <c r="N25" i="71"/>
  <c r="A2" i="53"/>
  <c r="K59" i="67"/>
  <c r="P61" i="67"/>
  <c r="K59" i="15"/>
  <c r="P74" i="15"/>
  <c r="D115" i="39"/>
  <c r="E115" i="39"/>
  <c r="F115" i="39"/>
  <c r="G115" i="39"/>
  <c r="H115" i="39"/>
  <c r="I115" i="39"/>
  <c r="J115" i="39"/>
  <c r="K115" i="39"/>
  <c r="L115" i="39"/>
  <c r="M115" i="39"/>
  <c r="C115" i="39"/>
  <c r="A21" i="62"/>
  <c r="B67" i="72"/>
  <c r="A20" i="62"/>
  <c r="A22" i="51"/>
  <c r="A21" i="51"/>
  <c r="A20" i="51"/>
  <c r="B15" i="72"/>
  <c r="A15" i="62"/>
  <c r="A14" i="62"/>
  <c r="A13" i="62"/>
  <c r="B59" i="72"/>
  <c r="A19" i="62"/>
  <c r="B65" i="72"/>
  <c r="A12" i="62"/>
  <c r="B58" i="72"/>
  <c r="A120" i="9"/>
  <c r="H2" i="52"/>
  <c r="A1" i="52"/>
  <c r="A3" i="53"/>
  <c r="Q26" i="71"/>
  <c r="P26" i="71"/>
  <c r="O26" i="71"/>
  <c r="N26" i="71"/>
  <c r="C76" i="9"/>
  <c r="I107" i="40"/>
  <c r="K6" i="4"/>
  <c r="M56" i="9"/>
  <c r="B22" i="31"/>
  <c r="E16" i="74"/>
  <c r="F16" i="74"/>
  <c r="E17" i="74"/>
  <c r="F17" i="74"/>
  <c r="E18" i="74"/>
  <c r="F18" i="74"/>
  <c r="E19" i="74"/>
  <c r="F19" i="74"/>
  <c r="E20" i="74"/>
  <c r="F20" i="74"/>
  <c r="E21" i="74"/>
  <c r="F21" i="74"/>
  <c r="E22" i="74"/>
  <c r="F22" i="74"/>
  <c r="E23" i="74"/>
  <c r="F23" i="74"/>
  <c r="B3" i="74"/>
  <c r="B8" i="72"/>
  <c r="O27" i="71"/>
  <c r="Y27" i="71"/>
  <c r="Z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J1" i="73" s="1"/>
  <c r="L1" i="73"/>
  <c r="B74" i="72"/>
  <c r="K49" i="9"/>
  <c r="E107" i="9"/>
  <c r="A122" i="9"/>
  <c r="A8" i="52"/>
  <c r="B54" i="72"/>
  <c r="E111" i="9"/>
  <c r="A126" i="9"/>
  <c r="A12" i="52"/>
  <c r="B56" i="72"/>
  <c r="E109" i="9"/>
  <c r="A124" i="9"/>
  <c r="A10" i="52"/>
  <c r="B55" i="72"/>
  <c r="B44" i="72"/>
  <c r="B42" i="72"/>
  <c r="B69" i="72"/>
  <c r="B68" i="72"/>
  <c r="B63" i="72"/>
  <c r="B62" i="72"/>
  <c r="B16" i="72"/>
  <c r="B60" i="72"/>
  <c r="B66" i="72"/>
  <c r="B10" i="72"/>
  <c r="B51" i="10"/>
  <c r="B19" i="72"/>
  <c r="A18" i="51"/>
  <c r="B13" i="72" s="1"/>
  <c r="B49" i="48"/>
  <c r="B5" i="72"/>
  <c r="D89" i="71"/>
  <c r="F88" i="71"/>
  <c r="F87" i="71"/>
  <c r="F86" i="71"/>
  <c r="E88" i="71"/>
  <c r="E87" i="71"/>
  <c r="E86" i="71"/>
  <c r="C88" i="71"/>
  <c r="D88" i="71"/>
  <c r="B88" i="71"/>
  <c r="B87" i="71"/>
  <c r="B86" i="71"/>
  <c r="D85" i="71"/>
  <c r="F84" i="71"/>
  <c r="F83" i="71"/>
  <c r="F82" i="71"/>
  <c r="E84" i="71"/>
  <c r="E83" i="71"/>
  <c r="E82" i="71"/>
  <c r="C84" i="71"/>
  <c r="D84" i="71"/>
  <c r="B84" i="71"/>
  <c r="B83" i="71"/>
  <c r="B82" i="71"/>
  <c r="D81" i="71"/>
  <c r="Q80" i="71"/>
  <c r="P80" i="71"/>
  <c r="O80" i="71"/>
  <c r="N80" i="71"/>
  <c r="F80" i="71"/>
  <c r="V80" i="71"/>
  <c r="E80" i="71"/>
  <c r="U80" i="71"/>
  <c r="C80" i="71"/>
  <c r="T80" i="71"/>
  <c r="B80" i="71"/>
  <c r="Q79" i="71"/>
  <c r="P79" i="71"/>
  <c r="O79" i="71"/>
  <c r="N79" i="71"/>
  <c r="F79" i="71"/>
  <c r="F78" i="71"/>
  <c r="Q78" i="71"/>
  <c r="P78" i="71"/>
  <c r="O78" i="71"/>
  <c r="N78" i="71"/>
  <c r="Q77" i="71"/>
  <c r="P77" i="71"/>
  <c r="O77" i="71"/>
  <c r="N77" i="71"/>
  <c r="D77" i="71"/>
  <c r="Q76" i="71"/>
  <c r="P76" i="71"/>
  <c r="O76" i="71"/>
  <c r="N76" i="71"/>
  <c r="F76" i="71"/>
  <c r="V76" i="71"/>
  <c r="E76" i="71"/>
  <c r="U76" i="71"/>
  <c r="C76" i="71"/>
  <c r="B76" i="71"/>
  <c r="S76" i="71"/>
  <c r="Q75" i="71"/>
  <c r="P75" i="71"/>
  <c r="O75" i="71"/>
  <c r="N75"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F67" i="71"/>
  <c r="V68" i="71"/>
  <c r="E68" i="71"/>
  <c r="P68" i="71"/>
  <c r="C68" i="71"/>
  <c r="B68" i="71"/>
  <c r="S68" i="71"/>
  <c r="B67" i="71"/>
  <c r="N67" i="71"/>
  <c r="D65" i="71"/>
  <c r="Q64" i="71"/>
  <c r="P64" i="71"/>
  <c r="O64" i="71"/>
  <c r="N64" i="71"/>
  <c r="Q63" i="71"/>
  <c r="P63" i="71"/>
  <c r="O63" i="71"/>
  <c r="N63" i="71"/>
  <c r="Q62" i="71"/>
  <c r="P62" i="71"/>
  <c r="O62" i="71"/>
  <c r="C63" i="71"/>
  <c r="N62" i="71"/>
  <c r="Q61" i="71"/>
  <c r="F62" i="71"/>
  <c r="F63" i="71"/>
  <c r="F64" i="71"/>
  <c r="V64" i="71"/>
  <c r="P61" i="71"/>
  <c r="E62" i="71"/>
  <c r="E63"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P53" i="71"/>
  <c r="E54" i="71"/>
  <c r="E55" i="71"/>
  <c r="E56" i="71"/>
  <c r="O53" i="71"/>
  <c r="N53" i="71"/>
  <c r="B54" i="71"/>
  <c r="B55" i="71"/>
  <c r="B56" i="71"/>
  <c r="S56" i="71"/>
  <c r="D53" i="71"/>
  <c r="Q52" i="71"/>
  <c r="P52" i="71"/>
  <c r="O52" i="71"/>
  <c r="N52" i="71"/>
  <c r="Q51" i="71"/>
  <c r="P51" i="71"/>
  <c r="O51" i="71"/>
  <c r="N51" i="71"/>
  <c r="Q50" i="71"/>
  <c r="P50" i="71"/>
  <c r="O50" i="71"/>
  <c r="N50" i="71"/>
  <c r="Q49" i="71"/>
  <c r="F50" i="71"/>
  <c r="F51" i="71"/>
  <c r="F52" i="71"/>
  <c r="V52"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O45" i="71"/>
  <c r="C46" i="71"/>
  <c r="N45" i="71"/>
  <c r="B46"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AB39" i="71"/>
  <c r="Q39" i="71"/>
  <c r="P39" i="71"/>
  <c r="AA39" i="71"/>
  <c r="O39" i="71"/>
  <c r="Y29" i="71"/>
  <c r="Z29" i="71"/>
  <c r="N39" i="71"/>
  <c r="X39" i="71"/>
  <c r="Q38" i="71"/>
  <c r="P38" i="71"/>
  <c r="O38" i="71"/>
  <c r="N38" i="71"/>
  <c r="Q37" i="71"/>
  <c r="P37" i="71"/>
  <c r="O37" i="71"/>
  <c r="N37" i="71"/>
  <c r="B38" i="71"/>
  <c r="D37" i="71"/>
  <c r="Q36" i="71"/>
  <c r="P36" i="71"/>
  <c r="O36" i="71"/>
  <c r="N36" i="71"/>
  <c r="Q35" i="71"/>
  <c r="P35" i="71"/>
  <c r="O35" i="71"/>
  <c r="N35" i="71"/>
  <c r="Q34" i="71"/>
  <c r="P34" i="71"/>
  <c r="O34" i="71"/>
  <c r="N34" i="71"/>
  <c r="Q33" i="71"/>
  <c r="F34" i="71"/>
  <c r="P33" i="71"/>
  <c r="O33" i="71"/>
  <c r="C34" i="71"/>
  <c r="D34" i="71"/>
  <c r="N33" i="71"/>
  <c r="D33" i="71"/>
  <c r="Q32" i="71"/>
  <c r="P32" i="71"/>
  <c r="O32" i="71"/>
  <c r="N32" i="71"/>
  <c r="Q31" i="71"/>
  <c r="P31" i="71"/>
  <c r="O31" i="71"/>
  <c r="N31" i="71"/>
  <c r="Q30" i="71"/>
  <c r="P30" i="71"/>
  <c r="O30" i="71"/>
  <c r="C31" i="71"/>
  <c r="D31" i="71"/>
  <c r="N30" i="71"/>
  <c r="Q29" i="71"/>
  <c r="F30" i="71"/>
  <c r="P29" i="71"/>
  <c r="O29" i="71"/>
  <c r="N29" i="71"/>
  <c r="D29" i="71"/>
  <c r="O28" i="71"/>
  <c r="C28" i="71"/>
  <c r="N28" i="71"/>
  <c r="B30" i="71"/>
  <c r="B31" i="71"/>
  <c r="B32" i="71"/>
  <c r="S32" i="71"/>
  <c r="E30" i="71"/>
  <c r="E31" i="71"/>
  <c r="E32" i="71"/>
  <c r="U32" i="71"/>
  <c r="B34" i="71"/>
  <c r="B35" i="71"/>
  <c r="B36" i="71"/>
  <c r="S36" i="71"/>
  <c r="B39" i="71"/>
  <c r="B40" i="71"/>
  <c r="S40" i="71"/>
  <c r="E38" i="71"/>
  <c r="N68" i="71"/>
  <c r="E34" i="71"/>
  <c r="C30" i="71"/>
  <c r="C35" i="71"/>
  <c r="C38" i="71"/>
  <c r="D38" i="71"/>
  <c r="X38" i="71"/>
  <c r="B28" i="71"/>
  <c r="B27" i="71"/>
  <c r="B26" i="71"/>
  <c r="X26" i="71"/>
  <c r="D30" i="71"/>
  <c r="C43" i="71"/>
  <c r="P28" i="71"/>
  <c r="E28" i="71"/>
  <c r="U56" i="71"/>
  <c r="E64" i="71"/>
  <c r="U64" i="71"/>
  <c r="U68" i="71"/>
  <c r="E67" i="71"/>
  <c r="Q28" i="71"/>
  <c r="C59" i="71"/>
  <c r="D58" i="71"/>
  <c r="D62" i="71"/>
  <c r="B66" i="71"/>
  <c r="N65" i="71"/>
  <c r="Q68" i="71"/>
  <c r="E71" i="71"/>
  <c r="E70" i="71"/>
  <c r="D72" i="71"/>
  <c r="E75" i="71"/>
  <c r="E74" i="71"/>
  <c r="E79" i="71"/>
  <c r="E78" i="71"/>
  <c r="D80" i="71"/>
  <c r="C87" i="71"/>
  <c r="F28" i="71"/>
  <c r="F27" i="71"/>
  <c r="F26" i="71"/>
  <c r="N66" i="71"/>
  <c r="C60" i="71"/>
  <c r="D59" i="71"/>
  <c r="P67" i="71"/>
  <c r="E66" i="71"/>
  <c r="C32"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18" i="35"/>
  <c r="S18" i="35"/>
  <c r="AA18" i="35"/>
  <c r="C18" i="35"/>
  <c r="Z21" i="37"/>
  <c r="Q21" i="37"/>
  <c r="D77" i="37"/>
  <c r="E77" i="37"/>
  <c r="F77" i="37"/>
  <c r="G77" i="37"/>
  <c r="C21" i="37"/>
  <c r="Q21" i="34"/>
  <c r="Z21" i="34"/>
  <c r="D84" i="34"/>
  <c r="E84" i="34"/>
  <c r="F84" i="34"/>
  <c r="G84" i="34"/>
  <c r="F21" i="34"/>
  <c r="AA21" i="34"/>
  <c r="C21" i="34"/>
  <c r="Q21" i="33"/>
  <c r="Z21" i="33"/>
  <c r="D83" i="33"/>
  <c r="E83" i="33"/>
  <c r="F83" i="33"/>
  <c r="G83" i="33"/>
  <c r="C21" i="33"/>
  <c r="C21" i="21"/>
  <c r="Q21" i="21"/>
  <c r="Z21" i="21"/>
  <c r="H19" i="21"/>
  <c r="D83" i="21"/>
  <c r="F21" i="21"/>
  <c r="AA21" i="21"/>
  <c r="D81" i="21"/>
  <c r="G20" i="20"/>
  <c r="C25" i="40"/>
  <c r="C22" i="20"/>
  <c r="B100" i="43"/>
  <c r="C29" i="39"/>
  <c r="S25" i="40"/>
  <c r="S18" i="36"/>
  <c r="H25" i="40"/>
  <c r="AB25" i="40"/>
  <c r="J25" i="40"/>
  <c r="W25" i="40"/>
  <c r="H29" i="39"/>
  <c r="AB29" i="39"/>
  <c r="J29" i="39"/>
  <c r="AC29" i="39"/>
  <c r="J18" i="36"/>
  <c r="AC18" i="36"/>
  <c r="F68" i="35"/>
  <c r="G68" i="35"/>
  <c r="H18" i="35"/>
  <c r="AB18" i="35"/>
  <c r="J18" i="35"/>
  <c r="W18" i="35"/>
  <c r="H21" i="37"/>
  <c r="F21" i="37"/>
  <c r="AA21" i="37"/>
  <c r="H21" i="34"/>
  <c r="AB21" i="34"/>
  <c r="H21" i="33"/>
  <c r="F21" i="33"/>
  <c r="AA21" i="33"/>
  <c r="E83" i="21"/>
  <c r="F83" i="21"/>
  <c r="H1" i="69"/>
  <c r="AC25" i="40"/>
  <c r="U25" i="40"/>
  <c r="U29" i="39"/>
  <c r="W29" i="39"/>
  <c r="W18" i="36"/>
  <c r="S21" i="37"/>
  <c r="U21" i="34"/>
  <c r="S21" i="33"/>
  <c r="AC18" i="35"/>
  <c r="J21" i="37"/>
  <c r="W21" i="37"/>
  <c r="J21" i="34"/>
  <c r="W21" i="34"/>
  <c r="J21" i="33"/>
  <c r="W21" i="33"/>
  <c r="H21" i="21"/>
  <c r="U21" i="21"/>
  <c r="F38" i="69"/>
  <c r="E37" i="69"/>
  <c r="F36" i="69"/>
  <c r="F35" i="69"/>
  <c r="F21" i="69"/>
  <c r="F20" i="69"/>
  <c r="F39" i="69" s="1"/>
  <c r="E10" i="69"/>
  <c r="E9" i="69"/>
  <c r="AC21" i="37"/>
  <c r="AC21" i="33"/>
  <c r="G83" i="21"/>
  <c r="J21" i="21"/>
  <c r="AC21" i="21"/>
  <c r="F38" i="68"/>
  <c r="E37" i="68"/>
  <c r="F36" i="68"/>
  <c r="F35" i="68"/>
  <c r="F21" i="68"/>
  <c r="F40" i="68" s="1"/>
  <c r="F20" i="68"/>
  <c r="F39" i="68" s="1"/>
  <c r="E10" i="68"/>
  <c r="E9" i="68"/>
  <c r="Q72" i="67"/>
  <c r="Q59" i="67"/>
  <c r="Q58" i="67"/>
  <c r="Q51" i="67"/>
  <c r="J50" i="67"/>
  <c r="M47" i="67"/>
  <c r="D46" i="67"/>
  <c r="F33" i="67"/>
  <c r="F61" i="67"/>
  <c r="F23" i="67"/>
  <c r="D24" i="67"/>
  <c r="F21" i="67"/>
  <c r="F20" i="67"/>
  <c r="M19" i="67"/>
  <c r="F18" i="67"/>
  <c r="F17" i="67"/>
  <c r="F15" i="67"/>
  <c r="S2" i="4"/>
  <c r="C51" i="10" s="1"/>
  <c r="A13" i="51" s="1"/>
  <c r="B11" i="72" s="1"/>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s="1"/>
  <c r="K69" i="43"/>
  <c r="J69" i="43" s="1"/>
  <c r="M68" i="43"/>
  <c r="N68" i="43" s="1"/>
  <c r="K68" i="43"/>
  <c r="J68" i="43" s="1"/>
  <c r="D68"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s="1"/>
  <c r="K58" i="43"/>
  <c r="J58" i="43" s="1"/>
  <c r="D58" i="43"/>
  <c r="M57" i="43"/>
  <c r="N57" i="43" s="1"/>
  <c r="K57" i="43"/>
  <c r="J57" i="43"/>
  <c r="D57" i="43" s="1"/>
  <c r="M56" i="43"/>
  <c r="N56" i="43" s="1"/>
  <c r="K56" i="43"/>
  <c r="D56" i="43" s="1"/>
  <c r="M55" i="43"/>
  <c r="N55" i="43"/>
  <c r="K55" i="43"/>
  <c r="J55" i="43" s="1"/>
  <c r="M54" i="43"/>
  <c r="N54" i="43"/>
  <c r="K54" i="43"/>
  <c r="J54" i="43" s="1"/>
  <c r="M53" i="43"/>
  <c r="N53" i="43" s="1"/>
  <c r="K53" i="43"/>
  <c r="J53" i="43" s="1"/>
  <c r="M52" i="43"/>
  <c r="N52" i="43" s="1"/>
  <c r="K52" i="43"/>
  <c r="J52" i="43" s="1"/>
  <c r="D52" i="43"/>
  <c r="M51" i="43"/>
  <c r="N51" i="43" s="1"/>
  <c r="K51" i="43"/>
  <c r="J51" i="43"/>
  <c r="M50" i="43"/>
  <c r="N50" i="43" s="1"/>
  <c r="K50" i="43"/>
  <c r="J50" i="43"/>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E15" i="4"/>
  <c r="A7" i="1"/>
  <c r="B7" i="1"/>
  <c r="E7" i="1"/>
  <c r="A8" i="1"/>
  <c r="B8" i="1"/>
  <c r="E8" i="1"/>
  <c r="A9" i="1"/>
  <c r="A10" i="1"/>
  <c r="A11" i="1"/>
  <c r="B11" i="1"/>
  <c r="E11" i="1"/>
  <c r="A12" i="1"/>
  <c r="A13" i="1"/>
  <c r="B13" i="1"/>
  <c r="E13" i="1"/>
  <c r="A6" i="1"/>
  <c r="F3" i="35"/>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c r="BK97" i="3"/>
  <c r="BJ97" i="3"/>
  <c r="BI97" i="3"/>
  <c r="BH97" i="3"/>
  <c r="BG97" i="3"/>
  <c r="BF97" i="3"/>
  <c r="BE97" i="3"/>
  <c r="BD97" i="3"/>
  <c r="BA97" i="3"/>
  <c r="BC97" i="3"/>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A95" i="3"/>
  <c r="BC95" i="3"/>
  <c r="BB95" i="3"/>
  <c r="AX95" i="3"/>
  <c r="AW95" i="3"/>
  <c r="AV95" i="3"/>
  <c r="AC95" i="3"/>
  <c r="H95" i="3"/>
  <c r="G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A91" i="3"/>
  <c r="AZ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G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L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AX71" i="3"/>
  <c r="AW71" i="3"/>
  <c r="AV71" i="3"/>
  <c r="AC71" i="3"/>
  <c r="H71" i="3"/>
  <c r="G71" i="3"/>
  <c r="BT70" i="3"/>
  <c r="BS70" i="3"/>
  <c r="BR70" i="3"/>
  <c r="BQ70" i="3"/>
  <c r="BP70" i="3"/>
  <c r="BO70" i="3"/>
  <c r="BN70" i="3"/>
  <c r="BM70" i="3"/>
  <c r="BL70" i="3"/>
  <c r="BK70" i="3"/>
  <c r="BJ70" i="3"/>
  <c r="BI70" i="3"/>
  <c r="BH70" i="3"/>
  <c r="BG70" i="3"/>
  <c r="BF70" i="3"/>
  <c r="BE70" i="3"/>
  <c r="BD70" i="3"/>
  <c r="BA70" i="3"/>
  <c r="AZ70" i="3"/>
  <c r="BC70" i="3"/>
  <c r="BB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AX69" i="3"/>
  <c r="AW69" i="3"/>
  <c r="AV69" i="3"/>
  <c r="AC69" i="3"/>
  <c r="H69" i="3"/>
  <c r="G69" i="3"/>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c r="BK67" i="3"/>
  <c r="BJ67" i="3"/>
  <c r="BI67" i="3"/>
  <c r="BH67" i="3"/>
  <c r="BG67" i="3"/>
  <c r="BF67" i="3"/>
  <c r="BE67" i="3"/>
  <c r="BD67" i="3"/>
  <c r="BA67" i="3"/>
  <c r="BC67" i="3"/>
  <c r="BB67" i="3"/>
  <c r="AX67" i="3"/>
  <c r="AW67" i="3"/>
  <c r="AV67" i="3"/>
  <c r="AC67" i="3"/>
  <c r="H67" i="3"/>
  <c r="BT66" i="3"/>
  <c r="BS66" i="3"/>
  <c r="BR66" i="3"/>
  <c r="BQ66" i="3"/>
  <c r="BP66" i="3"/>
  <c r="BO66" i="3"/>
  <c r="BN66" i="3"/>
  <c r="BM66" i="3"/>
  <c r="BL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L60" i="3"/>
  <c r="BM60" i="3"/>
  <c r="BK60" i="3"/>
  <c r="BJ60" i="3"/>
  <c r="BI60" i="3"/>
  <c r="BH60" i="3"/>
  <c r="BG60" i="3"/>
  <c r="BF60" i="3"/>
  <c r="BE60" i="3"/>
  <c r="BD60" i="3"/>
  <c r="BC60" i="3"/>
  <c r="BB60" i="3"/>
  <c r="AX60" i="3"/>
  <c r="AW60" i="3"/>
  <c r="AV60" i="3"/>
  <c r="AC60" i="3"/>
  <c r="H60" i="3"/>
  <c r="BT59" i="3"/>
  <c r="BS59" i="3"/>
  <c r="BR59" i="3"/>
  <c r="BQ59" i="3"/>
  <c r="BP59" i="3"/>
  <c r="BO59" i="3"/>
  <c r="BN59" i="3"/>
  <c r="BM59" i="3"/>
  <c r="BL59" i="3"/>
  <c r="BK59" i="3"/>
  <c r="BJ59" i="3"/>
  <c r="BI59" i="3"/>
  <c r="BH59" i="3"/>
  <c r="BG59" i="3"/>
  <c r="BF59" i="3"/>
  <c r="BE59" i="3"/>
  <c r="BD59" i="3"/>
  <c r="BC59" i="3"/>
  <c r="BB59" i="3"/>
  <c r="AX59" i="3"/>
  <c r="AW59" i="3"/>
  <c r="AV59" i="3"/>
  <c r="AC59" i="3"/>
  <c r="G59" i="3"/>
  <c r="H59" i="3"/>
  <c r="BT58" i="3"/>
  <c r="BS58" i="3"/>
  <c r="BR58" i="3"/>
  <c r="BQ58" i="3"/>
  <c r="BP58" i="3"/>
  <c r="BO58" i="3"/>
  <c r="BN58" i="3"/>
  <c r="BM58" i="3"/>
  <c r="BK58" i="3"/>
  <c r="BJ58" i="3"/>
  <c r="BI58" i="3"/>
  <c r="BH58" i="3"/>
  <c r="BG58" i="3"/>
  <c r="BF58" i="3"/>
  <c r="BE58" i="3"/>
  <c r="BD58" i="3"/>
  <c r="BC58" i="3"/>
  <c r="BA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c r="AX55" i="3"/>
  <c r="AW55" i="3"/>
  <c r="AV55" i="3"/>
  <c r="AC55" i="3"/>
  <c r="G55" i="3"/>
  <c r="H55" i="3"/>
  <c r="BT54" i="3"/>
  <c r="BS54" i="3"/>
  <c r="BR54" i="3"/>
  <c r="BQ54" i="3"/>
  <c r="BP54" i="3"/>
  <c r="BO54" i="3"/>
  <c r="BN54" i="3"/>
  <c r="BM54" i="3"/>
  <c r="BK54" i="3"/>
  <c r="BJ54" i="3"/>
  <c r="BI54" i="3"/>
  <c r="BH54" i="3"/>
  <c r="BG54" i="3"/>
  <c r="BF54" i="3"/>
  <c r="BE54" i="3"/>
  <c r="BD54" i="3"/>
  <c r="BC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c r="H52" i="3"/>
  <c r="BT51" i="3"/>
  <c r="BS51" i="3"/>
  <c r="BR51" i="3"/>
  <c r="BQ51" i="3"/>
  <c r="BP51" i="3"/>
  <c r="BO51" i="3"/>
  <c r="BN51" i="3"/>
  <c r="BM51" i="3"/>
  <c r="BK51" i="3"/>
  <c r="BJ51" i="3"/>
  <c r="BI51" i="3"/>
  <c r="BH51" i="3"/>
  <c r="BG51" i="3"/>
  <c r="BF51" i="3"/>
  <c r="BE51" i="3"/>
  <c r="BD51" i="3"/>
  <c r="BC51" i="3"/>
  <c r="BA51" i="3"/>
  <c r="BB51" i="3"/>
  <c r="AX51" i="3"/>
  <c r="AW51" i="3"/>
  <c r="AV51" i="3"/>
  <c r="AC51" i="3"/>
  <c r="H51" i="3"/>
  <c r="G51" i="3"/>
  <c r="BT50" i="3"/>
  <c r="BS50" i="3"/>
  <c r="BR50" i="3"/>
  <c r="BQ50" i="3"/>
  <c r="BP50" i="3"/>
  <c r="BO50" i="3"/>
  <c r="BN50" i="3"/>
  <c r="BM50" i="3"/>
  <c r="BK50" i="3"/>
  <c r="BJ50" i="3"/>
  <c r="BI50" i="3"/>
  <c r="BH50" i="3"/>
  <c r="BG50" i="3"/>
  <c r="BF50" i="3"/>
  <c r="BE50" i="3"/>
  <c r="BD50" i="3"/>
  <c r="BC50" i="3"/>
  <c r="BB50" i="3"/>
  <c r="BA50" i="3"/>
  <c r="AX50" i="3"/>
  <c r="AW50" i="3"/>
  <c r="AV50" i="3"/>
  <c r="AC50" i="3"/>
  <c r="G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BA47" i="3"/>
  <c r="AX47" i="3"/>
  <c r="AW47" i="3"/>
  <c r="AV47" i="3"/>
  <c r="AC47" i="3"/>
  <c r="G47" i="3"/>
  <c r="H47" i="3"/>
  <c r="BT46" i="3"/>
  <c r="BS46" i="3"/>
  <c r="BR46" i="3"/>
  <c r="BQ46" i="3"/>
  <c r="BP46" i="3"/>
  <c r="BO46" i="3"/>
  <c r="BN46" i="3"/>
  <c r="BM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c r="H44" i="3"/>
  <c r="BT43" i="3"/>
  <c r="BS43" i="3"/>
  <c r="BR43" i="3"/>
  <c r="BQ43" i="3"/>
  <c r="BP43" i="3"/>
  <c r="BO43" i="3"/>
  <c r="BN43" i="3"/>
  <c r="BM43" i="3"/>
  <c r="BK43" i="3"/>
  <c r="BJ43" i="3"/>
  <c r="BI43" i="3"/>
  <c r="BH43" i="3"/>
  <c r="BG43" i="3"/>
  <c r="BF43" i="3"/>
  <c r="BE43" i="3"/>
  <c r="BD43" i="3"/>
  <c r="BC43" i="3"/>
  <c r="BA43" i="3"/>
  <c r="BB43" i="3"/>
  <c r="AX43" i="3"/>
  <c r="AW43" i="3"/>
  <c r="AV43" i="3"/>
  <c r="AC43" i="3"/>
  <c r="G43" i="3"/>
  <c r="H43" i="3"/>
  <c r="BT42" i="3"/>
  <c r="BS42" i="3"/>
  <c r="BR42" i="3"/>
  <c r="BQ42" i="3"/>
  <c r="BP42" i="3"/>
  <c r="BO42" i="3"/>
  <c r="BN42" i="3"/>
  <c r="BM42" i="3"/>
  <c r="BK42" i="3"/>
  <c r="BJ42" i="3"/>
  <c r="BI42" i="3"/>
  <c r="BH42" i="3"/>
  <c r="BG42" i="3"/>
  <c r="BF42" i="3"/>
  <c r="BE42" i="3"/>
  <c r="BD42" i="3"/>
  <c r="BC42" i="3"/>
  <c r="BA42" i="3"/>
  <c r="BB42" i="3"/>
  <c r="AX42" i="3"/>
  <c r="AW42" i="3"/>
  <c r="AV42" i="3"/>
  <c r="AC42" i="3"/>
  <c r="H42" i="3"/>
  <c r="G42" i="3"/>
  <c r="BT41" i="3"/>
  <c r="BS41" i="3"/>
  <c r="BR41" i="3"/>
  <c r="BQ41" i="3"/>
  <c r="BP41" i="3"/>
  <c r="BO41" i="3"/>
  <c r="BN41" i="3"/>
  <c r="BM41" i="3"/>
  <c r="BK41" i="3"/>
  <c r="BJ41" i="3"/>
  <c r="BI41" i="3"/>
  <c r="BH41" i="3"/>
  <c r="BG41" i="3"/>
  <c r="BF41" i="3"/>
  <c r="BE41" i="3"/>
  <c r="BD41" i="3"/>
  <c r="BC41" i="3"/>
  <c r="BA41" i="3"/>
  <c r="BB41" i="3"/>
  <c r="AX41" i="3"/>
  <c r="AW41" i="3"/>
  <c r="AV41" i="3"/>
  <c r="AC41" i="3"/>
  <c r="H41" i="3"/>
  <c r="G41" i="3"/>
  <c r="BT40" i="3"/>
  <c r="BS40" i="3"/>
  <c r="BR40" i="3"/>
  <c r="BQ40" i="3"/>
  <c r="BP40" i="3"/>
  <c r="BO40" i="3"/>
  <c r="BN40" i="3"/>
  <c r="BM40" i="3"/>
  <c r="BK40" i="3"/>
  <c r="BJ40" i="3"/>
  <c r="BI40" i="3"/>
  <c r="BH40" i="3"/>
  <c r="BG40" i="3"/>
  <c r="BF40" i="3"/>
  <c r="BE40" i="3"/>
  <c r="BD40" i="3"/>
  <c r="BC40" i="3"/>
  <c r="BA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BA38" i="3"/>
  <c r="AX38" i="3"/>
  <c r="AW38" i="3"/>
  <c r="AV38" i="3"/>
  <c r="AC38" i="3"/>
  <c r="G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c r="H34" i="3"/>
  <c r="BT33" i="3"/>
  <c r="BS33" i="3"/>
  <c r="BR33" i="3"/>
  <c r="BQ33" i="3"/>
  <c r="BP33" i="3"/>
  <c r="BO33" i="3"/>
  <c r="BN33" i="3"/>
  <c r="BM33" i="3"/>
  <c r="BK33" i="3"/>
  <c r="BJ33" i="3"/>
  <c r="BI33" i="3"/>
  <c r="BH33" i="3"/>
  <c r="BG33" i="3"/>
  <c r="BF33" i="3"/>
  <c r="BE33" i="3"/>
  <c r="BD33" i="3"/>
  <c r="BC33" i="3"/>
  <c r="BA33" i="3"/>
  <c r="BB33" i="3"/>
  <c r="AX33" i="3"/>
  <c r="AW33" i="3"/>
  <c r="AV33" i="3"/>
  <c r="AC33" i="3"/>
  <c r="G33" i="3"/>
  <c r="H33" i="3"/>
  <c r="BT32" i="3"/>
  <c r="BS32" i="3"/>
  <c r="BR32" i="3"/>
  <c r="BQ32" i="3"/>
  <c r="BP32" i="3"/>
  <c r="BO32" i="3"/>
  <c r="BN32" i="3"/>
  <c r="BM32" i="3"/>
  <c r="BK32" i="3"/>
  <c r="BJ32" i="3"/>
  <c r="BI32" i="3"/>
  <c r="BH32" i="3"/>
  <c r="BG32" i="3"/>
  <c r="BF32" i="3"/>
  <c r="BE32" i="3"/>
  <c r="BD32" i="3"/>
  <c r="BC32" i="3"/>
  <c r="BA32" i="3"/>
  <c r="BB32" i="3"/>
  <c r="AX32" i="3"/>
  <c r="AW32" i="3"/>
  <c r="AV32" i="3"/>
  <c r="AC32" i="3"/>
  <c r="H32" i="3"/>
  <c r="G32" i="3"/>
  <c r="BT31" i="3"/>
  <c r="BS31" i="3"/>
  <c r="BR31" i="3"/>
  <c r="BQ31" i="3"/>
  <c r="BP31" i="3"/>
  <c r="BO31" i="3"/>
  <c r="BN31" i="3"/>
  <c r="BM31" i="3"/>
  <c r="BK31" i="3"/>
  <c r="BJ31" i="3"/>
  <c r="BI31" i="3"/>
  <c r="BH31" i="3"/>
  <c r="BG31" i="3"/>
  <c r="BF31" i="3"/>
  <c r="BE31" i="3"/>
  <c r="BD31" i="3"/>
  <c r="BC31" i="3"/>
  <c r="BA31" i="3"/>
  <c r="BB31" i="3"/>
  <c r="AX31" i="3"/>
  <c r="AW31" i="3"/>
  <c r="AV31" i="3"/>
  <c r="AC31" i="3"/>
  <c r="H31" i="3"/>
  <c r="G31" i="3"/>
  <c r="BT30" i="3"/>
  <c r="BS30" i="3"/>
  <c r="BR30" i="3"/>
  <c r="BQ30" i="3"/>
  <c r="BP30" i="3"/>
  <c r="BO30" i="3"/>
  <c r="BN30" i="3"/>
  <c r="BM30" i="3"/>
  <c r="BK30" i="3"/>
  <c r="BJ30" i="3"/>
  <c r="BI30" i="3"/>
  <c r="BH30" i="3"/>
  <c r="BG30" i="3"/>
  <c r="BF30" i="3"/>
  <c r="BE30" i="3"/>
  <c r="BD30" i="3"/>
  <c r="BC30" i="3"/>
  <c r="BA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L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G23" i="3"/>
  <c r="H23" i="3"/>
  <c r="BT22" i="3"/>
  <c r="BS22" i="3"/>
  <c r="BR22" i="3"/>
  <c r="BQ22" i="3"/>
  <c r="BP22" i="3"/>
  <c r="BO22" i="3"/>
  <c r="BN22" i="3"/>
  <c r="BM22" i="3"/>
  <c r="BK22" i="3"/>
  <c r="BJ22" i="3"/>
  <c r="BI22" i="3"/>
  <c r="BH22" i="3"/>
  <c r="BG22" i="3"/>
  <c r="BF22" i="3"/>
  <c r="BE22" i="3"/>
  <c r="BD22" i="3"/>
  <c r="BC22" i="3"/>
  <c r="BA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c r="BT20" i="3"/>
  <c r="BS20" i="3"/>
  <c r="BR20" i="3"/>
  <c r="BQ20" i="3"/>
  <c r="BP20" i="3"/>
  <c r="BO20" i="3"/>
  <c r="BN20" i="3"/>
  <c r="BM20" i="3"/>
  <c r="BK20" i="3"/>
  <c r="BJ20" i="3"/>
  <c r="BI20" i="3"/>
  <c r="BH20" i="3"/>
  <c r="BG20" i="3"/>
  <c r="BF20" i="3"/>
  <c r="BE20" i="3"/>
  <c r="BD20" i="3"/>
  <c r="BC20" i="3"/>
  <c r="BB20" i="3"/>
  <c r="BA20" i="3"/>
  <c r="AX20" i="3"/>
  <c r="AW20" i="3"/>
  <c r="AV20" i="3"/>
  <c r="AC20" i="3"/>
  <c r="H20" i="3"/>
  <c r="BT19" i="3"/>
  <c r="BS19" i="3"/>
  <c r="BR19" i="3"/>
  <c r="BQ19" i="3"/>
  <c r="BP19" i="3"/>
  <c r="BO19" i="3"/>
  <c r="BN19" i="3"/>
  <c r="BL19" i="3"/>
  <c r="BM19" i="3"/>
  <c r="BK19" i="3"/>
  <c r="BJ19" i="3"/>
  <c r="BI19" i="3"/>
  <c r="BH19" i="3"/>
  <c r="BG19" i="3"/>
  <c r="BF19" i="3"/>
  <c r="BE19" i="3"/>
  <c r="BD19" i="3"/>
  <c r="BC19" i="3"/>
  <c r="BB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G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L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A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G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G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L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L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L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A162" i="3"/>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c r="BM158" i="3"/>
  <c r="BK158" i="3"/>
  <c r="BJ158" i="3"/>
  <c r="BI158" i="3"/>
  <c r="BH158" i="3"/>
  <c r="BG158" i="3"/>
  <c r="BF158" i="3"/>
  <c r="BE158" i="3"/>
  <c r="BD158" i="3"/>
  <c r="BC158" i="3"/>
  <c r="BB158" i="3"/>
  <c r="AX158" i="3"/>
  <c r="AW158" i="3"/>
  <c r="AV158" i="3"/>
  <c r="AC158" i="3"/>
  <c r="G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A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G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c r="AZ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c r="BN118" i="3"/>
  <c r="BM118" i="3"/>
  <c r="BK118" i="3"/>
  <c r="BJ118" i="3"/>
  <c r="BI118" i="3"/>
  <c r="BH118" i="3"/>
  <c r="BG118" i="3"/>
  <c r="BF118" i="3"/>
  <c r="BE118" i="3"/>
  <c r="BD118" i="3"/>
  <c r="BC118" i="3"/>
  <c r="BB118" i="3"/>
  <c r="BA118" i="3"/>
  <c r="AZ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A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A291" i="3"/>
  <c r="BB291" i="3"/>
  <c r="AX291" i="3"/>
  <c r="AW291" i="3"/>
  <c r="AV291" i="3"/>
  <c r="AC291" i="3"/>
  <c r="G291" i="3"/>
  <c r="H291" i="3"/>
  <c r="BT290" i="3"/>
  <c r="BS290" i="3"/>
  <c r="BR290" i="3"/>
  <c r="BQ290" i="3"/>
  <c r="BP290" i="3"/>
  <c r="BO290" i="3"/>
  <c r="BN290" i="3"/>
  <c r="BM290" i="3"/>
  <c r="BK290" i="3"/>
  <c r="BJ290" i="3"/>
  <c r="BI290" i="3"/>
  <c r="BH290" i="3"/>
  <c r="BG290" i="3"/>
  <c r="BF290" i="3"/>
  <c r="BE290" i="3"/>
  <c r="BD290" i="3"/>
  <c r="BC290" i="3"/>
  <c r="BA290" i="3"/>
  <c r="BB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L287" i="3"/>
  <c r="BN287" i="3"/>
  <c r="BM287" i="3"/>
  <c r="BK287" i="3"/>
  <c r="BJ287" i="3"/>
  <c r="BI287" i="3"/>
  <c r="BH287" i="3"/>
  <c r="BG287" i="3"/>
  <c r="BF287" i="3"/>
  <c r="BE287" i="3"/>
  <c r="BD287" i="3"/>
  <c r="BC287" i="3"/>
  <c r="BB287" i="3"/>
  <c r="AX287" i="3"/>
  <c r="AW287" i="3"/>
  <c r="AV287" i="3"/>
  <c r="AC287" i="3"/>
  <c r="G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L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c r="AZ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L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L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A260" i="3"/>
  <c r="BC260" i="3"/>
  <c r="BB260" i="3"/>
  <c r="AX260" i="3"/>
  <c r="AW260" i="3"/>
  <c r="AV260" i="3"/>
  <c r="AC260" i="3"/>
  <c r="H260" i="3"/>
  <c r="G260" i="3"/>
  <c r="BT259" i="3"/>
  <c r="BS259" i="3"/>
  <c r="BR259" i="3"/>
  <c r="BQ259" i="3"/>
  <c r="BP259" i="3"/>
  <c r="BO259" i="3"/>
  <c r="BN259" i="3"/>
  <c r="BL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c r="H255" i="3"/>
  <c r="BT254" i="3"/>
  <c r="BS254" i="3"/>
  <c r="BR254" i="3"/>
  <c r="BQ254" i="3"/>
  <c r="BP254" i="3"/>
  <c r="BO254" i="3"/>
  <c r="BL254" i="3"/>
  <c r="BN254" i="3"/>
  <c r="BM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G253" i="3"/>
  <c r="H253" i="3"/>
  <c r="BT252" i="3"/>
  <c r="BS252" i="3"/>
  <c r="BR252" i="3"/>
  <c r="BQ252" i="3"/>
  <c r="BP252" i="3"/>
  <c r="BO252" i="3"/>
  <c r="BL252" i="3"/>
  <c r="BN252" i="3"/>
  <c r="BM252" i="3"/>
  <c r="BK252" i="3"/>
  <c r="BJ252" i="3"/>
  <c r="BI252" i="3"/>
  <c r="BH252" i="3"/>
  <c r="BG252" i="3"/>
  <c r="BF252" i="3"/>
  <c r="BE252" i="3"/>
  <c r="BD252" i="3"/>
  <c r="BC252" i="3"/>
  <c r="BB252" i="3"/>
  <c r="AX252" i="3"/>
  <c r="AW252" i="3"/>
  <c r="AV252" i="3"/>
  <c r="AC252" i="3"/>
  <c r="H252" i="3"/>
  <c r="G252" i="3"/>
  <c r="BT251" i="3"/>
  <c r="BS251" i="3"/>
  <c r="BR251" i="3"/>
  <c r="BQ251" i="3"/>
  <c r="BP251" i="3"/>
  <c r="BO251" i="3"/>
  <c r="BL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L249" i="3"/>
  <c r="BN249" i="3"/>
  <c r="BM249" i="3"/>
  <c r="BK249" i="3"/>
  <c r="BJ249" i="3"/>
  <c r="BI249" i="3"/>
  <c r="BH249" i="3"/>
  <c r="BG249" i="3"/>
  <c r="BF249" i="3"/>
  <c r="BE249" i="3"/>
  <c r="BD249" i="3"/>
  <c r="BC249" i="3"/>
  <c r="BB249" i="3"/>
  <c r="BA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L247" i="3"/>
  <c r="BN247" i="3"/>
  <c r="BM247" i="3"/>
  <c r="BK247" i="3"/>
  <c r="BJ247" i="3"/>
  <c r="BI247" i="3"/>
  <c r="BH247" i="3"/>
  <c r="BG247" i="3"/>
  <c r="BF247" i="3"/>
  <c r="BE247" i="3"/>
  <c r="BD247" i="3"/>
  <c r="BC247" i="3"/>
  <c r="BB247" i="3"/>
  <c r="BA247" i="3"/>
  <c r="AZ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A235" i="3"/>
  <c r="BC235" i="3"/>
  <c r="BB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A233" i="3"/>
  <c r="BC233" i="3"/>
  <c r="BB233" i="3"/>
  <c r="AX233" i="3"/>
  <c r="AW233" i="3"/>
  <c r="AV233" i="3"/>
  <c r="AC233" i="3"/>
  <c r="H233" i="3"/>
  <c r="G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A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L229" i="3"/>
  <c r="BN229" i="3"/>
  <c r="BM229" i="3"/>
  <c r="BK229" i="3"/>
  <c r="BJ229" i="3"/>
  <c r="BI229" i="3"/>
  <c r="BH229" i="3"/>
  <c r="BG229" i="3"/>
  <c r="BF229" i="3"/>
  <c r="BE229" i="3"/>
  <c r="BD229" i="3"/>
  <c r="BC229" i="3"/>
  <c r="BB229" i="3"/>
  <c r="BA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c r="BC227" i="3"/>
  <c r="BB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A220" i="3"/>
  <c r="BC220" i="3"/>
  <c r="BB220" i="3"/>
  <c r="AX220" i="3"/>
  <c r="AW220" i="3"/>
  <c r="AV220" i="3"/>
  <c r="AC220" i="3"/>
  <c r="H220" i="3"/>
  <c r="G220" i="3"/>
  <c r="BT219" i="3"/>
  <c r="BS219" i="3"/>
  <c r="BR219" i="3"/>
  <c r="BQ219" i="3"/>
  <c r="BP219" i="3"/>
  <c r="BO219" i="3"/>
  <c r="BN219" i="3"/>
  <c r="BL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c r="BN218" i="3"/>
  <c r="BM218" i="3"/>
  <c r="BK218" i="3"/>
  <c r="BJ218" i="3"/>
  <c r="BI218" i="3"/>
  <c r="BH218" i="3"/>
  <c r="BG218" i="3"/>
  <c r="BF218" i="3"/>
  <c r="BE218" i="3"/>
  <c r="BD218" i="3"/>
  <c r="BC218" i="3"/>
  <c r="BB218" i="3"/>
  <c r="BA218" i="3"/>
  <c r="AX218" i="3"/>
  <c r="AW218" i="3"/>
  <c r="AV218" i="3"/>
  <c r="AC218" i="3"/>
  <c r="G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c r="AZ216" i="3"/>
  <c r="BC216" i="3"/>
  <c r="BB216" i="3"/>
  <c r="AX216" i="3"/>
  <c r="AW216" i="3"/>
  <c r="AV216" i="3"/>
  <c r="AC216" i="3"/>
  <c r="H216" i="3"/>
  <c r="G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c r="BB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c r="H351" i="3"/>
  <c r="BT350" i="3"/>
  <c r="BS350" i="3"/>
  <c r="BR350" i="3"/>
  <c r="BQ350" i="3"/>
  <c r="BP350" i="3"/>
  <c r="BO350" i="3"/>
  <c r="BL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c r="BN332" i="3"/>
  <c r="BM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c r="H489" i="3"/>
  <c r="BT488" i="3"/>
  <c r="BS488" i="3"/>
  <c r="BR488" i="3"/>
  <c r="BQ488" i="3"/>
  <c r="BP488" i="3"/>
  <c r="BO488" i="3"/>
  <c r="BL488" i="3"/>
  <c r="BN488" i="3"/>
  <c r="BM488" i="3"/>
  <c r="BK488" i="3"/>
  <c r="BJ488" i="3"/>
  <c r="BI488" i="3"/>
  <c r="BH488" i="3"/>
  <c r="BG488" i="3"/>
  <c r="BF488" i="3"/>
  <c r="BE488" i="3"/>
  <c r="BD488" i="3"/>
  <c r="BC488" i="3"/>
  <c r="BB488" i="3"/>
  <c r="AX488" i="3"/>
  <c r="AW488" i="3"/>
  <c r="AV488" i="3"/>
  <c r="AC488" i="3"/>
  <c r="H488" i="3"/>
  <c r="G488" i="3"/>
  <c r="BT487" i="3"/>
  <c r="BS487" i="3"/>
  <c r="BR487" i="3"/>
  <c r="BQ487" i="3"/>
  <c r="BP487" i="3"/>
  <c r="BO487" i="3"/>
  <c r="BL487" i="3"/>
  <c r="BN487" i="3"/>
  <c r="BM487" i="3"/>
  <c r="BK487" i="3"/>
  <c r="BJ487" i="3"/>
  <c r="BI487" i="3"/>
  <c r="BH487" i="3"/>
  <c r="BG487" i="3"/>
  <c r="BF487" i="3"/>
  <c r="BE487" i="3"/>
  <c r="BD487" i="3"/>
  <c r="BC487" i="3"/>
  <c r="BA487" i="3"/>
  <c r="AZ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c r="AZ484" i="3"/>
  <c r="BC484" i="3"/>
  <c r="BB484" i="3"/>
  <c r="AX484" i="3"/>
  <c r="AW484" i="3"/>
  <c r="AV484" i="3"/>
  <c r="AC484" i="3"/>
  <c r="H484" i="3"/>
  <c r="G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A470" i="3"/>
  <c r="BC470" i="3"/>
  <c r="BB470" i="3"/>
  <c r="AX470" i="3"/>
  <c r="AW470" i="3"/>
  <c r="AV470" i="3"/>
  <c r="AC470" i="3"/>
  <c r="H470" i="3"/>
  <c r="G470" i="3"/>
  <c r="BT469" i="3"/>
  <c r="BS469" i="3"/>
  <c r="BR469" i="3"/>
  <c r="BQ469" i="3"/>
  <c r="BP469" i="3"/>
  <c r="BO469" i="3"/>
  <c r="BN469" i="3"/>
  <c r="BL469" i="3"/>
  <c r="BM469" i="3"/>
  <c r="BK469" i="3"/>
  <c r="BJ469" i="3"/>
  <c r="BI469" i="3"/>
  <c r="BH469" i="3"/>
  <c r="BG469" i="3"/>
  <c r="BF469" i="3"/>
  <c r="BE469" i="3"/>
  <c r="BD469" i="3"/>
  <c r="BC469" i="3"/>
  <c r="BB469" i="3"/>
  <c r="BA469" i="3"/>
  <c r="AX469" i="3"/>
  <c r="AW469" i="3"/>
  <c r="AV469" i="3"/>
  <c r="AC469" i="3"/>
  <c r="H469" i="3"/>
  <c r="BT468" i="3"/>
  <c r="BS468" i="3"/>
  <c r="BR468" i="3"/>
  <c r="BQ468" i="3"/>
  <c r="BP468" i="3"/>
  <c r="BO468" i="3"/>
  <c r="BL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c r="H466" i="3"/>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G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L455" i="3"/>
  <c r="BM455" i="3"/>
  <c r="BK455" i="3"/>
  <c r="BJ455" i="3"/>
  <c r="BI455" i="3"/>
  <c r="BH455" i="3"/>
  <c r="BG455" i="3"/>
  <c r="BF455" i="3"/>
  <c r="BE455" i="3"/>
  <c r="BD455" i="3"/>
  <c r="BC455" i="3"/>
  <c r="BB455" i="3"/>
  <c r="AX455" i="3"/>
  <c r="AW455" i="3"/>
  <c r="AV455" i="3"/>
  <c r="AC455" i="3"/>
  <c r="G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L451" i="3"/>
  <c r="BM451" i="3"/>
  <c r="BK451" i="3"/>
  <c r="BJ451" i="3"/>
  <c r="BI451" i="3"/>
  <c r="BH451" i="3"/>
  <c r="BG451" i="3"/>
  <c r="BF451" i="3"/>
  <c r="BE451" i="3"/>
  <c r="BD451" i="3"/>
  <c r="BC451" i="3"/>
  <c r="BB451" i="3"/>
  <c r="BA451" i="3"/>
  <c r="AZ451" i="3"/>
  <c r="AX451" i="3"/>
  <c r="AW451" i="3"/>
  <c r="AV451" i="3"/>
  <c r="AC451" i="3"/>
  <c r="H451" i="3"/>
  <c r="BT450" i="3"/>
  <c r="BS450" i="3"/>
  <c r="BR450" i="3"/>
  <c r="BQ450" i="3"/>
  <c r="BP450" i="3"/>
  <c r="BO450" i="3"/>
  <c r="BL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c r="H448" i="3"/>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BT446" i="3"/>
  <c r="BS446" i="3"/>
  <c r="BR446" i="3"/>
  <c r="BQ446" i="3"/>
  <c r="BP446" i="3"/>
  <c r="BO446" i="3"/>
  <c r="BL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c r="H444" i="3"/>
  <c r="BT443" i="3"/>
  <c r="BS443" i="3"/>
  <c r="BR443" i="3"/>
  <c r="BQ443" i="3"/>
  <c r="BP443" i="3"/>
  <c r="BO443" i="3"/>
  <c r="BN443" i="3"/>
  <c r="BM443" i="3"/>
  <c r="BL443" i="3"/>
  <c r="BK443" i="3"/>
  <c r="BJ443" i="3"/>
  <c r="BI443" i="3"/>
  <c r="BH443" i="3"/>
  <c r="BG443" i="3"/>
  <c r="BF443" i="3"/>
  <c r="BE443" i="3"/>
  <c r="BD443" i="3"/>
  <c r="BC443" i="3"/>
  <c r="BA443" i="3"/>
  <c r="BB443" i="3"/>
  <c r="AX443" i="3"/>
  <c r="AW443" i="3"/>
  <c r="AV443" i="3"/>
  <c r="AC443" i="3"/>
  <c r="G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G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L430" i="3"/>
  <c r="BM430" i="3"/>
  <c r="BK430" i="3"/>
  <c r="BJ430" i="3"/>
  <c r="BI430" i="3"/>
  <c r="BH430" i="3"/>
  <c r="BG430" i="3"/>
  <c r="BF430" i="3"/>
  <c r="BE430" i="3"/>
  <c r="BD430" i="3"/>
  <c r="BC430" i="3"/>
  <c r="BB430" i="3"/>
  <c r="AX430" i="3"/>
  <c r="AW430" i="3"/>
  <c r="AV430" i="3"/>
  <c r="AC430" i="3"/>
  <c r="G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c r="BB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c r="BC422" i="3"/>
  <c r="BB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c r="BB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G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G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A413" i="3"/>
  <c r="AZ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G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L409" i="3"/>
  <c r="BN409" i="3"/>
  <c r="BM409" i="3"/>
  <c r="BK409" i="3"/>
  <c r="BJ409" i="3"/>
  <c r="BI409" i="3"/>
  <c r="BH409" i="3"/>
  <c r="BG409" i="3"/>
  <c r="BF409" i="3"/>
  <c r="BE409" i="3"/>
  <c r="BD409" i="3"/>
  <c r="BC409" i="3"/>
  <c r="BB409" i="3"/>
  <c r="AX409" i="3"/>
  <c r="AW409" i="3"/>
  <c r="AV409" i="3"/>
  <c r="AC409" i="3"/>
  <c r="G409" i="3"/>
  <c r="H409" i="3"/>
  <c r="BT408" i="3"/>
  <c r="BS408" i="3"/>
  <c r="BR408" i="3"/>
  <c r="BQ408" i="3"/>
  <c r="BP408" i="3"/>
  <c r="BO408" i="3"/>
  <c r="BL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c r="H407" i="3"/>
  <c r="BT406" i="3"/>
  <c r="BS406" i="3"/>
  <c r="BR406" i="3"/>
  <c r="BQ406" i="3"/>
  <c r="BP406" i="3"/>
  <c r="BO406" i="3"/>
  <c r="BN406" i="3"/>
  <c r="BM406" i="3"/>
  <c r="BL406" i="3"/>
  <c r="BK406" i="3"/>
  <c r="BJ406" i="3"/>
  <c r="BI406" i="3"/>
  <c r="BH406" i="3"/>
  <c r="BG406" i="3"/>
  <c r="BF406" i="3"/>
  <c r="BE406" i="3"/>
  <c r="BD406" i="3"/>
  <c r="BC406" i="3"/>
  <c r="BA406" i="3"/>
  <c r="AZ406" i="3"/>
  <c r="BB406" i="3"/>
  <c r="AX406" i="3"/>
  <c r="AW406" i="3"/>
  <c r="AV406" i="3"/>
  <c r="AC406" i="3"/>
  <c r="G406" i="3"/>
  <c r="H406" i="3"/>
  <c r="BT405" i="3"/>
  <c r="BS405" i="3"/>
  <c r="BR405" i="3"/>
  <c r="BQ405" i="3"/>
  <c r="BP405" i="3"/>
  <c r="BO405" i="3"/>
  <c r="BN405" i="3"/>
  <c r="BM405" i="3"/>
  <c r="BK405" i="3"/>
  <c r="BJ405" i="3"/>
  <c r="BI405" i="3"/>
  <c r="BH405" i="3"/>
  <c r="BG405" i="3"/>
  <c r="BF405" i="3"/>
  <c r="BE405" i="3"/>
  <c r="BD405" i="3"/>
  <c r="BC405" i="3"/>
  <c r="BA405" i="3"/>
  <c r="BB405" i="3"/>
  <c r="AX405" i="3"/>
  <c r="AW405" i="3"/>
  <c r="AV405" i="3"/>
  <c r="AC405" i="3"/>
  <c r="H405" i="3"/>
  <c r="G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G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G403" i="3"/>
  <c r="H403" i="3"/>
  <c r="BT402" i="3"/>
  <c r="BS402" i="3"/>
  <c r="BR402" i="3"/>
  <c r="BQ402" i="3"/>
  <c r="BP402" i="3"/>
  <c r="BO402" i="3"/>
  <c r="BN402" i="3"/>
  <c r="BM402" i="3"/>
  <c r="BL402" i="3"/>
  <c r="BK402" i="3"/>
  <c r="BJ402" i="3"/>
  <c r="BI402" i="3"/>
  <c r="BH402" i="3"/>
  <c r="BG402" i="3"/>
  <c r="BF402" i="3"/>
  <c r="BE402" i="3"/>
  <c r="BD402" i="3"/>
  <c r="BC402" i="3"/>
  <c r="BA402" i="3"/>
  <c r="AZ402" i="3"/>
  <c r="BB402" i="3"/>
  <c r="AX402" i="3"/>
  <c r="AW402" i="3"/>
  <c r="AV402" i="3"/>
  <c r="AC402" i="3"/>
  <c r="G402" i="3"/>
  <c r="H402" i="3"/>
  <c r="BT401" i="3"/>
  <c r="BS401" i="3"/>
  <c r="BR401" i="3"/>
  <c r="BQ401" i="3"/>
  <c r="BP401" i="3"/>
  <c r="BO401" i="3"/>
  <c r="BN401" i="3"/>
  <c r="BM401" i="3"/>
  <c r="BK401" i="3"/>
  <c r="BJ401" i="3"/>
  <c r="BI401" i="3"/>
  <c r="BH401" i="3"/>
  <c r="BG401" i="3"/>
  <c r="BF401" i="3"/>
  <c r="BE401" i="3"/>
  <c r="BD401" i="3"/>
  <c r="BC401" i="3"/>
  <c r="BA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c r="BB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c r="AZ399" i="3"/>
  <c r="BC399" i="3"/>
  <c r="BB399" i="3"/>
  <c r="AX399" i="3"/>
  <c r="AW399" i="3"/>
  <c r="AV399" i="3"/>
  <c r="AC399" i="3"/>
  <c r="G399" i="3"/>
  <c r="H399" i="3"/>
  <c r="BT398" i="3"/>
  <c r="BS398" i="3"/>
  <c r="BR398" i="3"/>
  <c r="BQ398" i="3"/>
  <c r="BP398" i="3"/>
  <c r="BO398" i="3"/>
  <c r="BN398" i="3"/>
  <c r="BM398" i="3"/>
  <c r="BK398" i="3"/>
  <c r="BJ398" i="3"/>
  <c r="BI398" i="3"/>
  <c r="BH398" i="3"/>
  <c r="BG398" i="3"/>
  <c r="BF398" i="3"/>
  <c r="BE398" i="3"/>
  <c r="BD398" i="3"/>
  <c r="BC398" i="3"/>
  <c r="BA398" i="3"/>
  <c r="BB398" i="3"/>
  <c r="AX398" i="3"/>
  <c r="AW398" i="3"/>
  <c r="AV398" i="3"/>
  <c r="AC398" i="3"/>
  <c r="H398" i="3"/>
  <c r="G398" i="3"/>
  <c r="H60" i="40"/>
  <c r="I60" i="40"/>
  <c r="C60" i="40" s="1"/>
  <c r="H59" i="40"/>
  <c r="I59" i="40" s="1"/>
  <c r="C59" i="40" s="1"/>
  <c r="H58" i="40"/>
  <c r="I58" i="40"/>
  <c r="C58" i="40" s="1"/>
  <c r="H57" i="40"/>
  <c r="I57" i="40" s="1"/>
  <c r="C57" i="40" s="1"/>
  <c r="H56" i="40"/>
  <c r="I56" i="40" s="1"/>
  <c r="C56" i="40" s="1"/>
  <c r="H54" i="40"/>
  <c r="I54" i="40" s="1"/>
  <c r="C54" i="40" s="1"/>
  <c r="H53" i="40"/>
  <c r="I53" i="40"/>
  <c r="C53" i="40" s="1"/>
  <c r="H52" i="40"/>
  <c r="I52" i="40" s="1"/>
  <c r="C52" i="40" s="1"/>
  <c r="H64" i="39"/>
  <c r="I64" i="39"/>
  <c r="C64" i="39" s="1"/>
  <c r="H63" i="39"/>
  <c r="I63" i="39" s="1"/>
  <c r="C63" i="39" s="1"/>
  <c r="H59" i="39"/>
  <c r="I59" i="39"/>
  <c r="C59" i="39" s="1"/>
  <c r="H58" i="39"/>
  <c r="I58" i="39" s="1"/>
  <c r="C58" i="39" s="1"/>
  <c r="H57" i="39"/>
  <c r="I57" i="39"/>
  <c r="C57" i="39" s="1"/>
  <c r="H60" i="39"/>
  <c r="I60" i="39" s="1"/>
  <c r="C60" i="39" s="1"/>
  <c r="H62" i="39"/>
  <c r="I62" i="39"/>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K4" i="9"/>
  <c r="L22" i="4"/>
  <c r="B61" i="72"/>
  <c r="L20" i="4"/>
  <c r="A5" i="62"/>
  <c r="B72" i="72"/>
  <c r="A4" i="62"/>
  <c r="B70" i="72"/>
  <c r="F33" i="9"/>
  <c r="B37" i="48"/>
  <c r="B2" i="72" s="1"/>
  <c r="B13" i="53"/>
  <c r="B29" i="72"/>
  <c r="R35" i="4"/>
  <c r="Q35" i="4"/>
  <c r="P35" i="4"/>
  <c r="O35" i="4"/>
  <c r="N35" i="4"/>
  <c r="M35" i="4"/>
  <c r="L35" i="4"/>
  <c r="K34" i="4"/>
  <c r="T34" i="4"/>
  <c r="G13" i="1"/>
  <c r="H15" i="4"/>
  <c r="G15" i="4"/>
  <c r="F12" i="1"/>
  <c r="F15" i="4"/>
  <c r="F11" i="1"/>
  <c r="G11" i="1" s="1"/>
  <c r="D15" i="4"/>
  <c r="F7" i="1" s="1"/>
  <c r="G7" i="1" s="1"/>
  <c r="C15" i="4"/>
  <c r="F6" i="1"/>
  <c r="L21" i="4"/>
  <c r="F19" i="4"/>
  <c r="F2" i="52"/>
  <c r="B50" i="72"/>
  <c r="D2" i="52"/>
  <c r="B46" i="72"/>
  <c r="B8" i="53"/>
  <c r="B23" i="72"/>
  <c r="L4" i="9"/>
  <c r="B17" i="72"/>
  <c r="A3" i="51"/>
  <c r="C8" i="11"/>
  <c r="B40" i="48"/>
  <c r="B3" i="72"/>
  <c r="F35" i="4"/>
  <c r="J55" i="39"/>
  <c r="H38" i="43"/>
  <c r="H39" i="43"/>
  <c r="H40" i="43"/>
  <c r="H41" i="43"/>
  <c r="H42" i="43"/>
  <c r="H37" i="43"/>
  <c r="J24" i="43"/>
  <c r="C22" i="43"/>
  <c r="C10" i="43"/>
  <c r="C11" i="43" s="1"/>
  <c r="C9" i="43"/>
  <c r="F33" i="15"/>
  <c r="F61" i="15"/>
  <c r="M19" i="15"/>
  <c r="B22" i="1"/>
  <c r="G41" i="69" s="1"/>
  <c r="B43" i="1"/>
  <c r="D78" i="9"/>
  <c r="BQ16" i="3"/>
  <c r="BQ17" i="3"/>
  <c r="BS16" i="3"/>
  <c r="BS17" i="3"/>
  <c r="BR16" i="3"/>
  <c r="BR17" i="3"/>
  <c r="BT16" i="3"/>
  <c r="BT17" i="3"/>
  <c r="BM16" i="3"/>
  <c r="BM17" i="3"/>
  <c r="BO16" i="3"/>
  <c r="BO17" i="3"/>
  <c r="BN16" i="3"/>
  <c r="BN17" i="3"/>
  <c r="BP16" i="3"/>
  <c r="BP17" i="3"/>
  <c r="E21" i="6"/>
  <c r="K8" i="1"/>
  <c r="M8" i="1" s="1"/>
  <c r="F23" i="15"/>
  <c r="D24" i="15"/>
  <c r="E22" i="6"/>
  <c r="E23" i="6"/>
  <c r="K10" i="1"/>
  <c r="M10" i="1" s="1"/>
  <c r="O10" i="1"/>
  <c r="P10" i="1"/>
  <c r="E24" i="6"/>
  <c r="E25" i="6"/>
  <c r="E26" i="6"/>
  <c r="BB16" i="3"/>
  <c r="BC16" i="3"/>
  <c r="BD16" i="3"/>
  <c r="BE16" i="3"/>
  <c r="BF16" i="3"/>
  <c r="BG16" i="3"/>
  <c r="BH16" i="3"/>
  <c r="BI16" i="3"/>
  <c r="BJ16" i="3"/>
  <c r="BK16" i="3"/>
  <c r="BB17" i="3"/>
  <c r="BC17" i="3"/>
  <c r="BD17" i="3"/>
  <c r="BE17" i="3"/>
  <c r="BF17" i="3"/>
  <c r="BG17" i="3"/>
  <c r="BH17" i="3"/>
  <c r="BI17" i="3"/>
  <c r="BJ17" i="3"/>
  <c r="BK17" i="3"/>
  <c r="BC10" i="3"/>
  <c r="BD10" i="3"/>
  <c r="BB10" i="3"/>
  <c r="AC13" i="3"/>
  <c r="AC14"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J55" i="9"/>
  <c r="B31" i="1"/>
  <c r="B52" i="1"/>
  <c r="M20" i="15" s="1"/>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c r="AC570" i="3"/>
  <c r="BB570" i="3"/>
  <c r="BC570" i="3"/>
  <c r="BD570" i="3"/>
  <c r="BE570" i="3"/>
  <c r="BF570" i="3"/>
  <c r="BG570" i="3"/>
  <c r="BG5" i="3"/>
  <c r="BH570" i="3"/>
  <c r="BI570" i="3"/>
  <c r="BJ570" i="3"/>
  <c r="BK570" i="3"/>
  <c r="BK5"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A572" i="3"/>
  <c r="BE572" i="3"/>
  <c r="BF572" i="3"/>
  <c r="BG572" i="3"/>
  <c r="BH572" i="3"/>
  <c r="BI572" i="3"/>
  <c r="BJ572" i="3"/>
  <c r="BK572" i="3"/>
  <c r="BM572" i="3"/>
  <c r="BL572" i="3"/>
  <c r="BN572" i="3"/>
  <c r="BO572" i="3"/>
  <c r="BP572" i="3"/>
  <c r="BQ572" i="3"/>
  <c r="BR572" i="3"/>
  <c r="BS572" i="3"/>
  <c r="BT572" i="3"/>
  <c r="H573" i="3"/>
  <c r="G573" i="3"/>
  <c r="AC573" i="3"/>
  <c r="BB573" i="3"/>
  <c r="BC573" i="3"/>
  <c r="BD573" i="3"/>
  <c r="BA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I5" i="3"/>
  <c r="BJ574" i="3"/>
  <c r="BK574" i="3"/>
  <c r="BM574" i="3"/>
  <c r="BN574" i="3"/>
  <c r="BL574" i="3"/>
  <c r="BO574" i="3"/>
  <c r="BP574" i="3"/>
  <c r="BQ574" i="3"/>
  <c r="BR574" i="3"/>
  <c r="BS574" i="3"/>
  <c r="BT574" i="3"/>
  <c r="H575" i="3"/>
  <c r="AC575" i="3"/>
  <c r="G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F5"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L579" i="3"/>
  <c r="BR579" i="3"/>
  <c r="BS579" i="3"/>
  <c r="BT579" i="3"/>
  <c r="H580" i="3"/>
  <c r="G580" i="3"/>
  <c r="AC580" i="3"/>
  <c r="BB580" i="3"/>
  <c r="BC580" i="3"/>
  <c r="BD580" i="3"/>
  <c r="BA580" i="3"/>
  <c r="BE580" i="3"/>
  <c r="BF580" i="3"/>
  <c r="BG580" i="3"/>
  <c r="BH580" i="3"/>
  <c r="BI580" i="3"/>
  <c r="BJ580" i="3"/>
  <c r="BK580" i="3"/>
  <c r="BM580" i="3"/>
  <c r="BN580" i="3"/>
  <c r="BO580" i="3"/>
  <c r="BP580" i="3"/>
  <c r="BQ580" i="3"/>
  <c r="BR580" i="3"/>
  <c r="BS580" i="3"/>
  <c r="BT580" i="3"/>
  <c r="H581" i="3"/>
  <c r="G581" i="3"/>
  <c r="AC581" i="3"/>
  <c r="BB581" i="3"/>
  <c r="BC581" i="3"/>
  <c r="BD581" i="3"/>
  <c r="BA581" i="3"/>
  <c r="BE581" i="3"/>
  <c r="BF581" i="3"/>
  <c r="BG581" i="3"/>
  <c r="BH581" i="3"/>
  <c r="BI581" i="3"/>
  <c r="BJ581" i="3"/>
  <c r="BK581" i="3"/>
  <c r="BM581" i="3"/>
  <c r="BL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AB31" i="35"/>
  <c r="F31" i="35"/>
  <c r="D87" i="35"/>
  <c r="E87" i="35"/>
  <c r="F87" i="35"/>
  <c r="G87" i="35"/>
  <c r="H87" i="35"/>
  <c r="I87" i="35"/>
  <c r="J87" i="35"/>
  <c r="K87" i="35"/>
  <c r="L87" i="35"/>
  <c r="M87" i="35"/>
  <c r="H34" i="37"/>
  <c r="D101" i="37"/>
  <c r="E101" i="37"/>
  <c r="F34" i="37"/>
  <c r="D99" i="37"/>
  <c r="E99" i="37"/>
  <c r="F99" i="37"/>
  <c r="G99" i="37"/>
  <c r="H99" i="37"/>
  <c r="I99" i="37"/>
  <c r="J99" i="37"/>
  <c r="K99" i="37"/>
  <c r="L99" i="37"/>
  <c r="M99" i="37"/>
  <c r="H42" i="34"/>
  <c r="U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H40" i="40"/>
  <c r="AB40" i="40"/>
  <c r="B118" i="40"/>
  <c r="J39" i="40"/>
  <c r="B116" i="40"/>
  <c r="H38"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W12" i="40"/>
  <c r="M74" i="40"/>
  <c r="L74" i="40"/>
  <c r="K74" i="40"/>
  <c r="J74" i="40"/>
  <c r="I74" i="40"/>
  <c r="H74" i="40"/>
  <c r="G74" i="40"/>
  <c r="F74" i="40"/>
  <c r="E74" i="40"/>
  <c r="D74" i="40"/>
  <c r="C74" i="40"/>
  <c r="P43" i="40"/>
  <c r="P42" i="40"/>
  <c r="V41" i="40"/>
  <c r="T41" i="40"/>
  <c r="R41" i="40"/>
  <c r="P41" i="40"/>
  <c r="Q40" i="40"/>
  <c r="Z40" i="40"/>
  <c r="Q39" i="40"/>
  <c r="Z39" i="40"/>
  <c r="H39" i="40"/>
  <c r="Q38" i="40"/>
  <c r="Z38" i="40"/>
  <c r="J38" i="40"/>
  <c r="AC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F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H31" i="39"/>
  <c r="AB31"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H26" i="37"/>
  <c r="AB26" i="37"/>
  <c r="Q25" i="37"/>
  <c r="Z25" i="37"/>
  <c r="J25" i="37"/>
  <c r="AC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D83" i="36"/>
  <c r="E83" i="36"/>
  <c r="F83" i="36"/>
  <c r="G83" i="36"/>
  <c r="H83" i="36"/>
  <c r="I83" i="36"/>
  <c r="J83" i="36"/>
  <c r="K83" i="36"/>
  <c r="L83" i="36"/>
  <c r="M83" i="36"/>
  <c r="D78" i="36"/>
  <c r="E78" i="36"/>
  <c r="F78" i="36"/>
  <c r="G78" i="36"/>
  <c r="H78" i="36"/>
  <c r="I78" i="36"/>
  <c r="J78" i="36"/>
  <c r="K78" i="36"/>
  <c r="L78" i="36"/>
  <c r="M78" i="36"/>
  <c r="B75" i="36"/>
  <c r="B73" i="36"/>
  <c r="B71" i="36"/>
  <c r="H23" i="36"/>
  <c r="D70" i="36"/>
  <c r="H22" i="36"/>
  <c r="AB22" i="36"/>
  <c r="D68" i="36"/>
  <c r="E68" i="36"/>
  <c r="F68" i="36"/>
  <c r="G68" i="36"/>
  <c r="D64" i="36"/>
  <c r="E64" i="36"/>
  <c r="F64" i="36"/>
  <c r="G64" i="36"/>
  <c r="J16" i="36"/>
  <c r="W16" i="36"/>
  <c r="D62" i="36"/>
  <c r="E62" i="36"/>
  <c r="F62" i="36"/>
  <c r="G62" i="36"/>
  <c r="B59" i="36"/>
  <c r="B57" i="36"/>
  <c r="B55" i="36"/>
  <c r="C51" i="36"/>
  <c r="H9" i="36"/>
  <c r="AB9" i="36"/>
  <c r="P37" i="36"/>
  <c r="P36" i="36"/>
  <c r="V35" i="36"/>
  <c r="T35" i="36"/>
  <c r="R35" i="36"/>
  <c r="P35" i="36"/>
  <c r="Q34" i="36"/>
  <c r="Z34" i="36"/>
  <c r="Q33" i="36"/>
  <c r="Z33" i="36"/>
  <c r="Q32" i="36"/>
  <c r="Z32" i="36"/>
  <c r="Q31" i="36"/>
  <c r="Z31" i="36"/>
  <c r="Q30" i="36"/>
  <c r="Z30" i="36"/>
  <c r="AC30" i="36"/>
  <c r="Q29" i="36"/>
  <c r="Z29" i="36"/>
  <c r="Q28" i="36"/>
  <c r="Z28" i="36"/>
  <c r="J28" i="36"/>
  <c r="Q27" i="36"/>
  <c r="Z27" i="36"/>
  <c r="Q26" i="36"/>
  <c r="Z26" i="36"/>
  <c r="H26" i="36"/>
  <c r="AB26" i="36"/>
  <c r="Q25" i="36"/>
  <c r="Z25" i="36"/>
  <c r="Q24" i="36"/>
  <c r="Z24" i="36"/>
  <c r="Q23" i="36"/>
  <c r="Z23" i="36"/>
  <c r="J23" i="36"/>
  <c r="AC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J8" i="36"/>
  <c r="AC8" i="36"/>
  <c r="H8" i="36"/>
  <c r="U8" i="36"/>
  <c r="F8" i="36"/>
  <c r="AA8" i="36"/>
  <c r="D89" i="35"/>
  <c r="M90" i="35"/>
  <c r="L90" i="35"/>
  <c r="K90" i="35"/>
  <c r="J90" i="35"/>
  <c r="I90" i="35"/>
  <c r="H90" i="35"/>
  <c r="G90" i="35"/>
  <c r="F90" i="35"/>
  <c r="E90" i="35"/>
  <c r="D90" i="35"/>
  <c r="C90" i="35"/>
  <c r="F85" i="35"/>
  <c r="E85" i="35"/>
  <c r="D85" i="35"/>
  <c r="C85" i="35"/>
  <c r="J27" i="35"/>
  <c r="AC27" i="35"/>
  <c r="W27" i="35"/>
  <c r="H27" i="35"/>
  <c r="U27" i="35"/>
  <c r="F27" i="35"/>
  <c r="AA27" i="35"/>
  <c r="J22" i="35"/>
  <c r="AC22" i="35"/>
  <c r="B101" i="35"/>
  <c r="B99" i="35"/>
  <c r="B97" i="35"/>
  <c r="B77" i="35"/>
  <c r="B75" i="35"/>
  <c r="J24" i="35"/>
  <c r="AC24" i="35"/>
  <c r="B73" i="35"/>
  <c r="J23" i="35"/>
  <c r="AC23" i="35"/>
  <c r="H23" i="35"/>
  <c r="U23" i="35"/>
  <c r="B57" i="35"/>
  <c r="B61" i="35"/>
  <c r="B59" i="35"/>
  <c r="F12" i="35"/>
  <c r="B131" i="34"/>
  <c r="B129" i="34"/>
  <c r="B127" i="34"/>
  <c r="B99" i="34"/>
  <c r="B97" i="34"/>
  <c r="H31" i="34"/>
  <c r="B95" i="34"/>
  <c r="B93" i="34"/>
  <c r="B75" i="34"/>
  <c r="B73" i="34"/>
  <c r="B71" i="34"/>
  <c r="J12" i="34"/>
  <c r="W12" i="34"/>
  <c r="B130" i="33"/>
  <c r="B128" i="33"/>
  <c r="B126" i="33"/>
  <c r="F44" i="33"/>
  <c r="B98" i="33"/>
  <c r="B96" i="33"/>
  <c r="B94" i="33"/>
  <c r="B74" i="33"/>
  <c r="J1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Q35" i="35"/>
  <c r="Z35" i="35"/>
  <c r="Q34" i="35"/>
  <c r="Z34" i="35"/>
  <c r="H34" i="35"/>
  <c r="AB34" i="35"/>
  <c r="Q33" i="35"/>
  <c r="Z33" i="35"/>
  <c r="Q32" i="35"/>
  <c r="Z32" i="35"/>
  <c r="H32" i="35"/>
  <c r="AB32" i="35"/>
  <c r="F32" i="35"/>
  <c r="AA32" i="35"/>
  <c r="Q31" i="35"/>
  <c r="Z31" i="35"/>
  <c r="AC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H12" i="35"/>
  <c r="U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F9" i="34"/>
  <c r="AA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F12" i="34"/>
  <c r="S12" i="34"/>
  <c r="Q11" i="34"/>
  <c r="Z11" i="34"/>
  <c r="Q10" i="34"/>
  <c r="Z10" i="34"/>
  <c r="F10" i="34"/>
  <c r="AA10" i="34"/>
  <c r="Q9" i="34"/>
  <c r="Z9" i="34"/>
  <c r="J9" i="34"/>
  <c r="AC9" i="34"/>
  <c r="H9" i="34"/>
  <c r="J8" i="34"/>
  <c r="AC8" i="34"/>
  <c r="H8" i="34"/>
  <c r="U8" i="34"/>
  <c r="F8" i="34"/>
  <c r="D121" i="33"/>
  <c r="E121" i="33"/>
  <c r="F109" i="33"/>
  <c r="E109" i="33"/>
  <c r="D109" i="33"/>
  <c r="C109" i="33"/>
  <c r="D91" i="33"/>
  <c r="E91" i="33"/>
  <c r="B88"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9" i="33"/>
  <c r="AB9"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Q38" i="33"/>
  <c r="Z38" i="33"/>
  <c r="J38" i="33"/>
  <c r="AC38" i="33"/>
  <c r="H38" i="33"/>
  <c r="AB38" i="33"/>
  <c r="F38" i="33"/>
  <c r="Q37" i="33"/>
  <c r="Z37" i="33"/>
  <c r="Q36" i="33"/>
  <c r="Z36" i="33"/>
  <c r="Q35" i="33"/>
  <c r="Z35" i="33"/>
  <c r="H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65" i="80" s="1"/>
  <c r="C21" i="20"/>
  <c r="B99" i="80" s="1"/>
  <c r="C20" i="20"/>
  <c r="B101" i="80" s="1"/>
  <c r="B101" i="43"/>
  <c r="C18" i="20"/>
  <c r="B73" i="80" s="1"/>
  <c r="C17" i="20"/>
  <c r="B61" i="43" s="1"/>
  <c r="C16" i="20"/>
  <c r="C17" i="39" s="1"/>
  <c r="C15" i="20"/>
  <c r="B72" i="43"/>
  <c r="E54" i="21"/>
  <c r="F54" i="21"/>
  <c r="I54" i="21"/>
  <c r="J54" i="21"/>
  <c r="G54" i="21"/>
  <c r="H54" i="21"/>
  <c r="D125" i="21"/>
  <c r="E125" i="21"/>
  <c r="F125" i="21"/>
  <c r="G125" i="21"/>
  <c r="D123" i="21"/>
  <c r="E123" i="21"/>
  <c r="F123" i="21"/>
  <c r="G123" i="21"/>
  <c r="H123" i="21"/>
  <c r="I123" i="21"/>
  <c r="J123" i="21"/>
  <c r="K123" i="21"/>
  <c r="L123" i="21"/>
  <c r="M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J30" i="21"/>
  <c r="B94" i="21"/>
  <c r="J29" i="21"/>
  <c r="AC29" i="21"/>
  <c r="B92" i="21"/>
  <c r="J28" i="21"/>
  <c r="W28" i="21"/>
  <c r="B90" i="21"/>
  <c r="J27" i="21"/>
  <c r="W27" i="21"/>
  <c r="B74" i="21"/>
  <c r="J1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F19" i="6"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26" i="21"/>
  <c r="W26" i="21"/>
  <c r="F26" i="21"/>
  <c r="S26" i="21"/>
  <c r="AB41" i="21"/>
  <c r="S41" i="21"/>
  <c r="AA41" i="21"/>
  <c r="F45" i="39"/>
  <c r="S45" i="39"/>
  <c r="J45" i="39"/>
  <c r="W45" i="39"/>
  <c r="F36" i="39"/>
  <c r="S36" i="39"/>
  <c r="H36" i="39"/>
  <c r="AB36" i="39"/>
  <c r="J35" i="39"/>
  <c r="AC35" i="39"/>
  <c r="F35" i="39"/>
  <c r="AA35" i="39"/>
  <c r="J36" i="39"/>
  <c r="AC36" i="39"/>
  <c r="U9" i="39"/>
  <c r="W40" i="39"/>
  <c r="W25" i="37"/>
  <c r="W31" i="37"/>
  <c r="E103" i="37"/>
  <c r="F103" i="37"/>
  <c r="G103" i="37"/>
  <c r="H103" i="37"/>
  <c r="I103" i="37"/>
  <c r="J103" i="37"/>
  <c r="K103" i="37"/>
  <c r="L103" i="37"/>
  <c r="M103" i="37"/>
  <c r="F29" i="36"/>
  <c r="AA29" i="36"/>
  <c r="F16" i="36"/>
  <c r="AA16" i="36"/>
  <c r="U31" i="36"/>
  <c r="J33" i="36"/>
  <c r="AC33" i="36"/>
  <c r="H22" i="35"/>
  <c r="AB22" i="35"/>
  <c r="W28" i="35"/>
  <c r="U31" i="35"/>
  <c r="U34" i="35"/>
  <c r="F36" i="34"/>
  <c r="J35" i="34"/>
  <c r="U34" i="34"/>
  <c r="H39" i="33"/>
  <c r="AB39" i="33"/>
  <c r="U33" i="33"/>
  <c r="S40" i="33"/>
  <c r="W33" i="33"/>
  <c r="S27" i="35"/>
  <c r="F11" i="40"/>
  <c r="AA11" i="40"/>
  <c r="H11" i="40"/>
  <c r="AB11" i="40"/>
  <c r="W8" i="40"/>
  <c r="AA9" i="40"/>
  <c r="S34" i="40"/>
  <c r="U34" i="40"/>
  <c r="S38" i="40"/>
  <c r="F42" i="39"/>
  <c r="AA42" i="39"/>
  <c r="F41" i="39"/>
  <c r="S41" i="39"/>
  <c r="H40" i="39"/>
  <c r="AB40" i="39"/>
  <c r="H39" i="39"/>
  <c r="U39" i="39"/>
  <c r="S38" i="39"/>
  <c r="S34" i="39"/>
  <c r="H34" i="39"/>
  <c r="U34" i="39"/>
  <c r="E108" i="39"/>
  <c r="F108" i="39"/>
  <c r="G108" i="39"/>
  <c r="H108" i="39"/>
  <c r="I108" i="39"/>
  <c r="J108" i="39"/>
  <c r="K108" i="39"/>
  <c r="L108" i="39"/>
  <c r="M108" i="39"/>
  <c r="F31" i="39"/>
  <c r="AA31" i="39"/>
  <c r="E100" i="39"/>
  <c r="H19" i="39"/>
  <c r="AB19" i="39"/>
  <c r="F19" i="39"/>
  <c r="AA19" i="39"/>
  <c r="H17" i="39"/>
  <c r="AB17" i="39"/>
  <c r="F17" i="39"/>
  <c r="AA17" i="39"/>
  <c r="J23" i="40"/>
  <c r="AC23" i="40"/>
  <c r="F21" i="40"/>
  <c r="AA21" i="40"/>
  <c r="J21" i="40"/>
  <c r="W21" i="40"/>
  <c r="H42" i="39"/>
  <c r="AB42" i="39"/>
  <c r="J34" i="39"/>
  <c r="AC34" i="39"/>
  <c r="J31" i="39"/>
  <c r="F100" i="39"/>
  <c r="H27" i="39"/>
  <c r="U27" i="39"/>
  <c r="J19" i="39"/>
  <c r="AC19" i="39"/>
  <c r="J17" i="39"/>
  <c r="J27" i="39"/>
  <c r="AC27" i="39"/>
  <c r="F27" i="39"/>
  <c r="F11" i="21"/>
  <c r="S11" i="21"/>
  <c r="S40" i="21"/>
  <c r="U34" i="21"/>
  <c r="C25" i="39"/>
  <c r="H11" i="39"/>
  <c r="S40" i="39"/>
  <c r="C15" i="39"/>
  <c r="H32" i="33"/>
  <c r="AB32" i="33"/>
  <c r="H11" i="21"/>
  <c r="U11" i="21"/>
  <c r="J11" i="21"/>
  <c r="W11" i="21"/>
  <c r="H37" i="40"/>
  <c r="U37" i="40"/>
  <c r="H36" i="40"/>
  <c r="AB36" i="40"/>
  <c r="F35" i="40"/>
  <c r="AA35" i="40"/>
  <c r="H23" i="40"/>
  <c r="AB23" i="40"/>
  <c r="H17" i="40"/>
  <c r="U17" i="40"/>
  <c r="J15" i="40"/>
  <c r="W15" i="40"/>
  <c r="J11" i="40"/>
  <c r="W11" i="40"/>
  <c r="AB8" i="39"/>
  <c r="AC12" i="34"/>
  <c r="AB12" i="35"/>
  <c r="W32" i="40"/>
  <c r="F37" i="39"/>
  <c r="AA37" i="39"/>
  <c r="U30" i="36"/>
  <c r="J30" i="35"/>
  <c r="W30" i="35"/>
  <c r="H30" i="35"/>
  <c r="AB30" i="35"/>
  <c r="F22" i="35"/>
  <c r="AA22" i="35"/>
  <c r="H10" i="35"/>
  <c r="U10" i="35"/>
  <c r="F33" i="36"/>
  <c r="AA33" i="36"/>
  <c r="W30" i="36"/>
  <c r="H16" i="36"/>
  <c r="AB16" i="36"/>
  <c r="E85" i="36"/>
  <c r="F85" i="36"/>
  <c r="G85" i="36"/>
  <c r="H85" i="36"/>
  <c r="I85" i="36"/>
  <c r="J85" i="36"/>
  <c r="K85" i="36"/>
  <c r="L85" i="36"/>
  <c r="M85" i="36"/>
  <c r="J29" i="36"/>
  <c r="AC29" i="36"/>
  <c r="F34" i="36"/>
  <c r="S34" i="36"/>
  <c r="F14" i="35"/>
  <c r="AA14" i="35"/>
  <c r="F23" i="35"/>
  <c r="AA23" i="35"/>
  <c r="J32" i="35"/>
  <c r="AC32" i="35"/>
  <c r="J16" i="35"/>
  <c r="AC16" i="35"/>
  <c r="H16" i="35"/>
  <c r="U16" i="35"/>
  <c r="F16" i="35"/>
  <c r="S16" i="35"/>
  <c r="H14" i="35"/>
  <c r="AB14" i="35"/>
  <c r="J29" i="35"/>
  <c r="H33" i="35"/>
  <c r="J20" i="35"/>
  <c r="W20" i="35"/>
  <c r="F35" i="37"/>
  <c r="S35" i="37"/>
  <c r="F101" i="37"/>
  <c r="G101" i="37"/>
  <c r="H101" i="37"/>
  <c r="I101" i="37"/>
  <c r="J101" i="37"/>
  <c r="K101" i="37"/>
  <c r="L101" i="37"/>
  <c r="M101" i="37"/>
  <c r="J34" i="37"/>
  <c r="W34" i="37"/>
  <c r="AB34" i="37"/>
  <c r="J33" i="37"/>
  <c r="AC33" i="37"/>
  <c r="H40" i="34"/>
  <c r="U40" i="34"/>
  <c r="E114" i="34"/>
  <c r="H36" i="34"/>
  <c r="U36" i="34"/>
  <c r="F37" i="34"/>
  <c r="AA37" i="34"/>
  <c r="S35" i="34"/>
  <c r="F28" i="34"/>
  <c r="AA28" i="34"/>
  <c r="F25" i="34"/>
  <c r="S25" i="34"/>
  <c r="H23" i="34"/>
  <c r="U23" i="34"/>
  <c r="J23" i="34"/>
  <c r="F19" i="34"/>
  <c r="H17" i="34"/>
  <c r="U17" i="34"/>
  <c r="F15" i="34"/>
  <c r="AA15" i="34"/>
  <c r="J15" i="34"/>
  <c r="H15" i="34"/>
  <c r="AB15" i="34"/>
  <c r="W8" i="34"/>
  <c r="J28" i="34"/>
  <c r="W28" i="34"/>
  <c r="F41" i="33"/>
  <c r="AA41" i="33"/>
  <c r="E113" i="33"/>
  <c r="F32" i="33"/>
  <c r="AA32" i="33"/>
  <c r="J19" i="33"/>
  <c r="AC19" i="33"/>
  <c r="J15" i="33"/>
  <c r="AC15" i="33"/>
  <c r="F11" i="33"/>
  <c r="AA11" i="33"/>
  <c r="U40" i="33"/>
  <c r="W40" i="33"/>
  <c r="F37" i="40"/>
  <c r="AA37" i="40"/>
  <c r="F36" i="40"/>
  <c r="AA36" i="40"/>
  <c r="H28" i="40"/>
  <c r="U28" i="40"/>
  <c r="F23" i="40"/>
  <c r="AA23" i="40"/>
  <c r="F17" i="40"/>
  <c r="AA17" i="40"/>
  <c r="J17" i="40"/>
  <c r="W17" i="40"/>
  <c r="F15" i="40"/>
  <c r="S15" i="40"/>
  <c r="H15" i="40"/>
  <c r="AB15" i="40"/>
  <c r="AC11" i="40"/>
  <c r="AB30" i="36"/>
  <c r="F29" i="35"/>
  <c r="S29" i="35"/>
  <c r="H29" i="35"/>
  <c r="AB29" i="35"/>
  <c r="H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F23" i="34"/>
  <c r="AA23" i="34"/>
  <c r="J19" i="34"/>
  <c r="AC19" i="34"/>
  <c r="F17" i="34"/>
  <c r="AA17" i="34"/>
  <c r="J17" i="34"/>
  <c r="W17" i="34"/>
  <c r="S41" i="33"/>
  <c r="F113" i="33"/>
  <c r="G113" i="33"/>
  <c r="H113" i="33"/>
  <c r="I113" i="33"/>
  <c r="J113" i="33"/>
  <c r="K113" i="33"/>
  <c r="L113" i="33"/>
  <c r="M113" i="33"/>
  <c r="H37" i="33"/>
  <c r="AB37" i="33"/>
  <c r="H15" i="33"/>
  <c r="AB15" i="33"/>
  <c r="H11" i="33"/>
  <c r="F28" i="40"/>
  <c r="AA28" i="40"/>
  <c r="AA29" i="35"/>
  <c r="AA42" i="34"/>
  <c r="S42" i="34"/>
  <c r="AC38" i="34"/>
  <c r="AA38" i="34"/>
  <c r="J37" i="34"/>
  <c r="AC37" i="34"/>
  <c r="J11" i="33"/>
  <c r="W11" i="33"/>
  <c r="S28" i="34"/>
  <c r="J42" i="21"/>
  <c r="AC42" i="21"/>
  <c r="H42" i="21"/>
  <c r="U42" i="21"/>
  <c r="J44" i="34"/>
  <c r="F44" i="34"/>
  <c r="S44" i="34"/>
  <c r="J10" i="35"/>
  <c r="AC10" i="35"/>
  <c r="W14" i="21"/>
  <c r="F14" i="21"/>
  <c r="S14" i="21"/>
  <c r="H14" i="21"/>
  <c r="U14" i="21"/>
  <c r="H28" i="21"/>
  <c r="AB28" i="21"/>
  <c r="F28" i="21"/>
  <c r="AA28" i="21"/>
  <c r="H30" i="21"/>
  <c r="U30" i="21"/>
  <c r="F30" i="21"/>
  <c r="S30" i="21"/>
  <c r="AC30" i="21"/>
  <c r="J44" i="21"/>
  <c r="AC44" i="21"/>
  <c r="H44" i="21"/>
  <c r="U44" i="21"/>
  <c r="F44" i="21"/>
  <c r="AA44" i="21"/>
  <c r="H46" i="21"/>
  <c r="U46" i="21"/>
  <c r="J46" i="21"/>
  <c r="F46" i="21"/>
  <c r="AA46" i="21"/>
  <c r="E119" i="21"/>
  <c r="F119" i="21"/>
  <c r="G119" i="21"/>
  <c r="H119" i="21"/>
  <c r="I119" i="21"/>
  <c r="J119" i="21"/>
  <c r="K119" i="21"/>
  <c r="L119" i="21"/>
  <c r="M119" i="21"/>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H29" i="33"/>
  <c r="U29" i="33"/>
  <c r="F29" i="33"/>
  <c r="S29" i="33"/>
  <c r="J31" i="33"/>
  <c r="W31" i="33"/>
  <c r="H31" i="33"/>
  <c r="F31" i="33"/>
  <c r="H45" i="33"/>
  <c r="U45" i="33"/>
  <c r="J45" i="33"/>
  <c r="F45" i="33"/>
  <c r="AA45" i="33"/>
  <c r="J14" i="34"/>
  <c r="W14" i="34"/>
  <c r="F14" i="34"/>
  <c r="H14" i="34"/>
  <c r="H30" i="34"/>
  <c r="F30" i="34"/>
  <c r="S30" i="34"/>
  <c r="J30" i="34"/>
  <c r="H32" i="34"/>
  <c r="F32" i="34"/>
  <c r="J32" i="34"/>
  <c r="W32" i="34"/>
  <c r="H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G105" i="37"/>
  <c r="H36" i="37"/>
  <c r="AB36" i="37"/>
  <c r="F107" i="37"/>
  <c r="J37" i="37"/>
  <c r="AC37" i="37"/>
  <c r="H37" i="37"/>
  <c r="U37" i="37"/>
  <c r="H40" i="37"/>
  <c r="U40" i="37"/>
  <c r="J40" i="37"/>
  <c r="AC40" i="37"/>
  <c r="F40" i="37"/>
  <c r="AA40" i="37"/>
  <c r="AC12" i="40"/>
  <c r="H14" i="33"/>
  <c r="U14" i="33"/>
  <c r="F14" i="33"/>
  <c r="S14" i="33"/>
  <c r="H30" i="33"/>
  <c r="AB30" i="33"/>
  <c r="F30" i="33"/>
  <c r="J30" i="33"/>
  <c r="H44" i="33"/>
  <c r="J44" i="33"/>
  <c r="AC44" i="33"/>
  <c r="J46" i="33"/>
  <c r="AC46" i="33"/>
  <c r="F46" i="33"/>
  <c r="AA46" i="33"/>
  <c r="H46" i="33"/>
  <c r="AB46" i="33"/>
  <c r="H13" i="34"/>
  <c r="U13" i="34"/>
  <c r="J13" i="34"/>
  <c r="W13" i="34"/>
  <c r="F13" i="34"/>
  <c r="AA13" i="34"/>
  <c r="J29" i="34"/>
  <c r="F29" i="34"/>
  <c r="S29" i="34"/>
  <c r="H29" i="34"/>
  <c r="AB29" i="34"/>
  <c r="J31" i="34"/>
  <c r="W31" i="34"/>
  <c r="AC31" i="34"/>
  <c r="F31" i="34"/>
  <c r="S31" i="34"/>
  <c r="H45" i="34"/>
  <c r="U45" i="34"/>
  <c r="J45" i="34"/>
  <c r="W45" i="34"/>
  <c r="F45" i="34"/>
  <c r="S45" i="34"/>
  <c r="H47" i="34"/>
  <c r="U47" i="34"/>
  <c r="F47" i="34"/>
  <c r="S47" i="34"/>
  <c r="J47" i="34"/>
  <c r="AC47" i="34"/>
  <c r="F13" i="35"/>
  <c r="J13" i="35"/>
  <c r="AC13" i="35"/>
  <c r="H13" i="35"/>
  <c r="U13" i="35"/>
  <c r="F25" i="35"/>
  <c r="S25" i="35"/>
  <c r="J35" i="35"/>
  <c r="AC35" i="35"/>
  <c r="F35" i="35"/>
  <c r="AA35" i="35"/>
  <c r="H35" i="35"/>
  <c r="J25" i="36"/>
  <c r="W25" i="36"/>
  <c r="F25" i="36"/>
  <c r="S25" i="36"/>
  <c r="H25" i="36"/>
  <c r="AB25" i="36"/>
  <c r="H13" i="37"/>
  <c r="AB13" i="37"/>
  <c r="F13" i="37"/>
  <c r="S13" i="37"/>
  <c r="J13" i="37"/>
  <c r="W13" i="37"/>
  <c r="F28" i="37"/>
  <c r="AA28" i="37"/>
  <c r="J28" i="37"/>
  <c r="AC28" i="37"/>
  <c r="H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AA14" i="37"/>
  <c r="F27" i="37"/>
  <c r="AA27" i="37"/>
  <c r="H14" i="40"/>
  <c r="AB14" i="40"/>
  <c r="J14" i="40"/>
  <c r="W14" i="40"/>
  <c r="F14" i="40"/>
  <c r="AA14" i="40"/>
  <c r="J14" i="37"/>
  <c r="J27" i="37"/>
  <c r="AC27" i="37"/>
  <c r="U46" i="33"/>
  <c r="AA14" i="33"/>
  <c r="J36" i="37"/>
  <c r="AC36" i="37"/>
  <c r="J10" i="36"/>
  <c r="AC10" i="36"/>
  <c r="AB30" i="21"/>
  <c r="S11" i="36"/>
  <c r="S45" i="33"/>
  <c r="AC28" i="21"/>
  <c r="BA586" i="3"/>
  <c r="BA585" i="3"/>
  <c r="F17" i="21"/>
  <c r="AA17" i="21"/>
  <c r="H17" i="21"/>
  <c r="AB17" i="21"/>
  <c r="F15" i="21"/>
  <c r="S15" i="21"/>
  <c r="J41" i="39"/>
  <c r="W41" i="39"/>
  <c r="U36" i="39"/>
  <c r="S35" i="39"/>
  <c r="G544" i="3"/>
  <c r="G540" i="3"/>
  <c r="G535" i="3"/>
  <c r="G532" i="3"/>
  <c r="G531" i="3"/>
  <c r="G527" i="3"/>
  <c r="G523" i="3"/>
  <c r="G518" i="3"/>
  <c r="G510" i="3"/>
  <c r="G508" i="3"/>
  <c r="G504" i="3"/>
  <c r="G496" i="3"/>
  <c r="G584" i="3"/>
  <c r="G576" i="3"/>
  <c r="G568" i="3"/>
  <c r="G564" i="3"/>
  <c r="G560" i="3"/>
  <c r="G554" i="3"/>
  <c r="G550" i="3"/>
  <c r="BL584" i="3"/>
  <c r="BL568" i="3"/>
  <c r="BL564" i="3"/>
  <c r="BL560" i="3"/>
  <c r="BL554" i="3"/>
  <c r="BL546" i="3"/>
  <c r="BL542" i="3"/>
  <c r="BL538" i="3"/>
  <c r="BL534" i="3"/>
  <c r="BL530" i="3"/>
  <c r="BL526" i="3"/>
  <c r="BL522" i="3"/>
  <c r="BL516" i="3"/>
  <c r="BL512" i="3"/>
  <c r="BL506" i="3"/>
  <c r="BL502" i="3"/>
  <c r="BL498" i="3"/>
  <c r="AZ498" i="3"/>
  <c r="BL494" i="3"/>
  <c r="BL582" i="3"/>
  <c r="BL566" i="3"/>
  <c r="BL562" i="3"/>
  <c r="BL556" i="3"/>
  <c r="AZ556" i="3"/>
  <c r="BL552" i="3"/>
  <c r="BL544" i="3"/>
  <c r="BL540" i="3"/>
  <c r="AZ540" i="3"/>
  <c r="BL536" i="3"/>
  <c r="G533" i="3"/>
  <c r="BL532" i="3"/>
  <c r="G529" i="3"/>
  <c r="BL528" i="3"/>
  <c r="G525" i="3"/>
  <c r="BL524" i="3"/>
  <c r="BL518" i="3"/>
  <c r="BL514" i="3"/>
  <c r="BL510" i="3"/>
  <c r="BL504" i="3"/>
  <c r="BL500" i="3"/>
  <c r="BL496" i="3"/>
  <c r="G493" i="3"/>
  <c r="BA584" i="3"/>
  <c r="BA582" i="3"/>
  <c r="BA568" i="3"/>
  <c r="AZ568" i="3"/>
  <c r="BA566" i="3"/>
  <c r="BA564" i="3"/>
  <c r="AZ564" i="3"/>
  <c r="BA562" i="3"/>
  <c r="BA560" i="3"/>
  <c r="AZ560" i="3"/>
  <c r="BA558" i="3"/>
  <c r="AZ558" i="3"/>
  <c r="BA556" i="3"/>
  <c r="BA554" i="3"/>
  <c r="AZ554" i="3"/>
  <c r="BA552" i="3"/>
  <c r="AZ552" i="3"/>
  <c r="BA548" i="3"/>
  <c r="BA546" i="3"/>
  <c r="AZ546" i="3"/>
  <c r="BA544" i="3"/>
  <c r="AZ544" i="3"/>
  <c r="BA542" i="3"/>
  <c r="AZ542" i="3"/>
  <c r="BA540" i="3"/>
  <c r="BA538" i="3"/>
  <c r="AZ538" i="3"/>
  <c r="BA536" i="3"/>
  <c r="BA534" i="3"/>
  <c r="AZ534" i="3"/>
  <c r="BA532" i="3"/>
  <c r="AZ532" i="3"/>
  <c r="BA530" i="3"/>
  <c r="BA528" i="3"/>
  <c r="BA526" i="3"/>
  <c r="AZ526" i="3"/>
  <c r="BA524" i="3"/>
  <c r="BA522" i="3"/>
  <c r="BA520" i="3"/>
  <c r="BA518" i="3"/>
  <c r="AZ518" i="3"/>
  <c r="BA516" i="3"/>
  <c r="BA514" i="3"/>
  <c r="BA512" i="3"/>
  <c r="AZ512" i="3"/>
  <c r="BA510" i="3"/>
  <c r="AZ510" i="3"/>
  <c r="BA508" i="3"/>
  <c r="BA506" i="3"/>
  <c r="AZ506" i="3"/>
  <c r="BA504" i="3"/>
  <c r="AZ504" i="3"/>
  <c r="BA502" i="3"/>
  <c r="BA500" i="3"/>
  <c r="AZ500" i="3"/>
  <c r="BA498" i="3"/>
  <c r="BA496" i="3"/>
  <c r="BA494" i="3"/>
  <c r="BA587" i="3"/>
  <c r="BA583" i="3"/>
  <c r="BA569" i="3"/>
  <c r="BA567" i="3"/>
  <c r="BA565" i="3"/>
  <c r="AZ565" i="3"/>
  <c r="BA563" i="3"/>
  <c r="BA561" i="3"/>
  <c r="BA559" i="3"/>
  <c r="BA555" i="3"/>
  <c r="BA553" i="3"/>
  <c r="BA549" i="3"/>
  <c r="BA547" i="3"/>
  <c r="BA545" i="3"/>
  <c r="BA543" i="3"/>
  <c r="BA541" i="3"/>
  <c r="BA539" i="3"/>
  <c r="BA537" i="3"/>
  <c r="AZ537" i="3"/>
  <c r="BA535" i="3"/>
  <c r="BA533" i="3"/>
  <c r="BA531" i="3"/>
  <c r="BA529" i="3"/>
  <c r="BA527" i="3"/>
  <c r="BA525" i="3"/>
  <c r="BA523" i="3"/>
  <c r="BA519" i="3"/>
  <c r="BA517" i="3"/>
  <c r="BA515" i="3"/>
  <c r="BA513" i="3"/>
  <c r="BA511" i="3"/>
  <c r="BA507" i="3"/>
  <c r="BA505" i="3"/>
  <c r="BA503" i="3"/>
  <c r="BA501" i="3"/>
  <c r="BA499" i="3"/>
  <c r="BA497" i="3"/>
  <c r="BA495" i="3"/>
  <c r="BA493" i="3"/>
  <c r="G583" i="3"/>
  <c r="G579" i="3"/>
  <c r="G577" i="3"/>
  <c r="G571" i="3"/>
  <c r="G569" i="3"/>
  <c r="G567" i="3"/>
  <c r="G565" i="3"/>
  <c r="G563" i="3"/>
  <c r="G561" i="3"/>
  <c r="BL558" i="3"/>
  <c r="BA557" i="3"/>
  <c r="AZ557" i="3"/>
  <c r="AC557" i="3"/>
  <c r="G557" i="3"/>
  <c r="BQ557" i="3"/>
  <c r="BL557" i="3"/>
  <c r="BQ583" i="3"/>
  <c r="BL583" i="3"/>
  <c r="AZ583" i="3"/>
  <c r="BQ581" i="3"/>
  <c r="BQ579" i="3"/>
  <c r="BQ577" i="3"/>
  <c r="BQ575" i="3"/>
  <c r="BQ573" i="3"/>
  <c r="BQ571" i="3"/>
  <c r="BL571" i="3"/>
  <c r="BQ569" i="3"/>
  <c r="BL569" i="3"/>
  <c r="BQ567" i="3"/>
  <c r="BL567" i="3"/>
  <c r="BQ565" i="3"/>
  <c r="BL565" i="3"/>
  <c r="BQ563" i="3"/>
  <c r="BL563" i="3"/>
  <c r="AZ563" i="3"/>
  <c r="BQ561" i="3"/>
  <c r="BL561" i="3"/>
  <c r="AZ561" i="3"/>
  <c r="BQ559" i="3"/>
  <c r="BL559" i="3"/>
  <c r="AZ559" i="3"/>
  <c r="G559" i="3"/>
  <c r="G555" i="3"/>
  <c r="G553" i="3"/>
  <c r="G549" i="3"/>
  <c r="G547" i="3"/>
  <c r="G545" i="3"/>
  <c r="G543" i="3"/>
  <c r="G541" i="3"/>
  <c r="G539" i="3"/>
  <c r="G537" i="3"/>
  <c r="BQ555" i="3"/>
  <c r="BL555" i="3"/>
  <c r="BQ553" i="3"/>
  <c r="BL553" i="3"/>
  <c r="AZ553" i="3"/>
  <c r="BQ551" i="3"/>
  <c r="BL551" i="3"/>
  <c r="BQ549" i="3"/>
  <c r="BL549" i="3"/>
  <c r="AZ549" i="3"/>
  <c r="BQ547" i="3"/>
  <c r="BL547" i="3"/>
  <c r="BQ545" i="3"/>
  <c r="BL545" i="3"/>
  <c r="BQ543" i="3"/>
  <c r="BL543" i="3"/>
  <c r="AZ543" i="3"/>
  <c r="BQ541" i="3"/>
  <c r="BL541" i="3"/>
  <c r="AZ541" i="3"/>
  <c r="BQ539" i="3"/>
  <c r="BL539" i="3"/>
  <c r="AZ539" i="3"/>
  <c r="BQ537" i="3"/>
  <c r="BL537" i="3"/>
  <c r="BQ535" i="3"/>
  <c r="BL535" i="3"/>
  <c r="AZ535" i="3"/>
  <c r="BQ533" i="3"/>
  <c r="BL533" i="3"/>
  <c r="AZ533" i="3"/>
  <c r="BQ531" i="3"/>
  <c r="BL531" i="3"/>
  <c r="AZ531" i="3"/>
  <c r="BQ529" i="3"/>
  <c r="BL529" i="3"/>
  <c r="BQ527" i="3"/>
  <c r="BL527" i="3"/>
  <c r="AZ527" i="3"/>
  <c r="BQ525" i="3"/>
  <c r="BL525" i="3"/>
  <c r="AZ525" i="3"/>
  <c r="BQ523" i="3"/>
  <c r="BL523" i="3"/>
  <c r="BA521" i="3"/>
  <c r="AC521" i="3"/>
  <c r="G521" i="3"/>
  <c r="BQ521" i="3"/>
  <c r="BL521" i="3"/>
  <c r="AZ521" i="3"/>
  <c r="BL520" i="3"/>
  <c r="AZ520" i="3"/>
  <c r="G519" i="3"/>
  <c r="G517" i="3"/>
  <c r="G515" i="3"/>
  <c r="G513" i="3"/>
  <c r="G511" i="3"/>
  <c r="BQ519" i="3"/>
  <c r="BL519" i="3"/>
  <c r="BQ517" i="3"/>
  <c r="BL517" i="3"/>
  <c r="BQ515" i="3"/>
  <c r="BL515" i="3"/>
  <c r="BQ513" i="3"/>
  <c r="BL513" i="3"/>
  <c r="BQ511" i="3"/>
  <c r="BL511" i="3"/>
  <c r="BA509" i="3"/>
  <c r="AC509" i="3"/>
  <c r="BQ509" i="3"/>
  <c r="BL509" i="3"/>
  <c r="BL508" i="3"/>
  <c r="AZ508" i="3"/>
  <c r="G507" i="3"/>
  <c r="G505" i="3"/>
  <c r="G503" i="3"/>
  <c r="G501" i="3"/>
  <c r="G499" i="3"/>
  <c r="G497" i="3"/>
  <c r="G495" i="3"/>
  <c r="BQ507" i="3"/>
  <c r="BQ505" i="3"/>
  <c r="BL505" i="3"/>
  <c r="AZ505" i="3"/>
  <c r="BQ503" i="3"/>
  <c r="BL503" i="3"/>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G125" i="33"/>
  <c r="H43" i="33"/>
  <c r="H17" i="37"/>
  <c r="U17" i="37"/>
  <c r="AB27" i="37"/>
  <c r="U32" i="33"/>
  <c r="AA36" i="39"/>
  <c r="F39" i="33"/>
  <c r="AA39" i="33"/>
  <c r="E123" i="33"/>
  <c r="F42" i="33"/>
  <c r="AA42" i="33"/>
  <c r="H28" i="34"/>
  <c r="AB28" i="34"/>
  <c r="F14" i="36"/>
  <c r="AA14" i="36"/>
  <c r="F22" i="36"/>
  <c r="S22" i="36"/>
  <c r="F26" i="36"/>
  <c r="S26" i="36"/>
  <c r="H27" i="34"/>
  <c r="AB27" i="34"/>
  <c r="H35" i="34"/>
  <c r="U35" i="34"/>
  <c r="F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J43" i="33"/>
  <c r="AC43" i="33"/>
  <c r="S28" i="31"/>
  <c r="S27" i="31"/>
  <c r="S26" i="31"/>
  <c r="U14" i="40"/>
  <c r="W23" i="35"/>
  <c r="U26" i="37"/>
  <c r="W47" i="34"/>
  <c r="AC36" i="34"/>
  <c r="AA13" i="33"/>
  <c r="AC31" i="33"/>
  <c r="W44" i="33"/>
  <c r="U19" i="21"/>
  <c r="W44"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U9" i="37"/>
  <c r="F9" i="37"/>
  <c r="S9" i="37"/>
  <c r="J12" i="37"/>
  <c r="H12" i="37"/>
  <c r="AB12" i="37"/>
  <c r="F12" i="37"/>
  <c r="S12" i="37"/>
  <c r="E71" i="37"/>
  <c r="F71" i="37"/>
  <c r="G71" i="37"/>
  <c r="F15" i="37"/>
  <c r="AA15" i="37"/>
  <c r="E94" i="37"/>
  <c r="F31" i="37"/>
  <c r="S31" i="37"/>
  <c r="F12" i="39"/>
  <c r="S12" i="39"/>
  <c r="J42" i="39"/>
  <c r="AC42" i="39"/>
  <c r="H21" i="40"/>
  <c r="AB21" i="40"/>
  <c r="F94" i="37"/>
  <c r="G94" i="37"/>
  <c r="H94" i="37"/>
  <c r="I94" i="37"/>
  <c r="J94" i="37"/>
  <c r="K94" i="37"/>
  <c r="L94" i="37"/>
  <c r="M94" i="37"/>
  <c r="H31" i="37"/>
  <c r="U31" i="37"/>
  <c r="J15" i="37"/>
  <c r="W15" i="37"/>
  <c r="AT6" i="3"/>
  <c r="AA25" i="21"/>
  <c r="H19" i="40"/>
  <c r="U19" i="40"/>
  <c r="F88" i="40"/>
  <c r="G88" i="40"/>
  <c r="F19" i="40"/>
  <c r="S19" i="40"/>
  <c r="S14" i="40"/>
  <c r="AC13" i="40"/>
  <c r="AB33" i="40"/>
  <c r="W23" i="39"/>
  <c r="AC43" i="39"/>
  <c r="W43" i="39"/>
  <c r="U45" i="39"/>
  <c r="AB45"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W35" i="40"/>
  <c r="A4" i="52"/>
  <c r="B41" i="72" s="1"/>
  <c r="J11" i="39"/>
  <c r="W11" i="39"/>
  <c r="F11" i="39"/>
  <c r="G4" i="4"/>
  <c r="K5" i="4" s="1"/>
  <c r="B47" i="48" s="1"/>
  <c r="I4" i="4"/>
  <c r="AZ497" i="3"/>
  <c r="AZ494" i="3"/>
  <c r="AZ514" i="3"/>
  <c r="AZ522" i="3"/>
  <c r="AZ530" i="3"/>
  <c r="G546" i="3"/>
  <c r="G524" i="3"/>
  <c r="G303" i="3"/>
  <c r="BL304" i="3"/>
  <c r="G305" i="3"/>
  <c r="BL306" i="3"/>
  <c r="BA308" i="3"/>
  <c r="AZ308" i="3"/>
  <c r="BA309" i="3"/>
  <c r="BL309" i="3"/>
  <c r="G310" i="3"/>
  <c r="BA311" i="3"/>
  <c r="G319" i="3"/>
  <c r="BL320" i="3"/>
  <c r="G321" i="3"/>
  <c r="BL322" i="3"/>
  <c r="BA324" i="3"/>
  <c r="BA325" i="3"/>
  <c r="AZ325" i="3"/>
  <c r="BL325" i="3"/>
  <c r="G326" i="3"/>
  <c r="BA327" i="3"/>
  <c r="G335" i="3"/>
  <c r="BL336" i="3"/>
  <c r="G337" i="3"/>
  <c r="BL338" i="3"/>
  <c r="BA340" i="3"/>
  <c r="AZ340" i="3"/>
  <c r="BA341" i="3"/>
  <c r="BL341" i="3"/>
  <c r="BA343" i="3"/>
  <c r="BA345" i="3"/>
  <c r="BL355" i="3"/>
  <c r="G356" i="3"/>
  <c r="BL357" i="3"/>
  <c r="BA359" i="3"/>
  <c r="AZ359" i="3"/>
  <c r="BA360" i="3"/>
  <c r="AZ360" i="3"/>
  <c r="BL360" i="3"/>
  <c r="G361" i="3"/>
  <c r="BA362" i="3"/>
  <c r="G370" i="3"/>
  <c r="BL371" i="3"/>
  <c r="G372" i="3"/>
  <c r="BL373" i="3"/>
  <c r="BA375" i="3"/>
  <c r="BA376" i="3"/>
  <c r="BL376" i="3"/>
  <c r="G377" i="3"/>
  <c r="BA378" i="3"/>
  <c r="AZ378" i="3"/>
  <c r="BL378" i="3"/>
  <c r="G379" i="3"/>
  <c r="BA380" i="3"/>
  <c r="G388" i="3"/>
  <c r="BL389" i="3"/>
  <c r="G390" i="3"/>
  <c r="BL391" i="3"/>
  <c r="BA393" i="3"/>
  <c r="BA394" i="3"/>
  <c r="BL394" i="3"/>
  <c r="G113" i="3"/>
  <c r="BA115" i="3"/>
  <c r="AZ115" i="3"/>
  <c r="BL116" i="3"/>
  <c r="G117" i="3"/>
  <c r="BA119" i="3"/>
  <c r="BL120" i="3"/>
  <c r="G121" i="3"/>
  <c r="BA123" i="3"/>
  <c r="BL124" i="3"/>
  <c r="G125" i="3"/>
  <c r="BA127" i="3"/>
  <c r="AZ127" i="3"/>
  <c r="BL128" i="3"/>
  <c r="G129" i="3"/>
  <c r="BA131" i="3"/>
  <c r="BL132" i="3"/>
  <c r="AZ132" i="3"/>
  <c r="G133" i="3"/>
  <c r="BA135" i="3"/>
  <c r="AZ135" i="3"/>
  <c r="BL136" i="3"/>
  <c r="G137" i="3"/>
  <c r="BA139" i="3"/>
  <c r="BL140" i="3"/>
  <c r="G141" i="3"/>
  <c r="BA143" i="3"/>
  <c r="BL144" i="3"/>
  <c r="G145" i="3"/>
  <c r="BA147" i="3"/>
  <c r="BL148" i="3"/>
  <c r="G149" i="3"/>
  <c r="BA151" i="3"/>
  <c r="BL152" i="3"/>
  <c r="G153" i="3"/>
  <c r="BA155" i="3"/>
  <c r="BL156" i="3"/>
  <c r="G157" i="3"/>
  <c r="BA159" i="3"/>
  <c r="BL160" i="3"/>
  <c r="G161" i="3"/>
  <c r="BA163" i="3"/>
  <c r="AZ163" i="3"/>
  <c r="BL164" i="3"/>
  <c r="G165" i="3"/>
  <c r="BA167" i="3"/>
  <c r="BL168" i="3"/>
  <c r="AZ168" i="3"/>
  <c r="G169" i="3"/>
  <c r="BA171" i="3"/>
  <c r="AZ171" i="3"/>
  <c r="BL172" i="3"/>
  <c r="G173" i="3"/>
  <c r="BA175" i="3"/>
  <c r="AZ175" i="3"/>
  <c r="BL176" i="3"/>
  <c r="G177" i="3"/>
  <c r="BA179" i="3"/>
  <c r="BL180" i="3"/>
  <c r="G181" i="3"/>
  <c r="BA183" i="3"/>
  <c r="BL184" i="3"/>
  <c r="AZ184" i="3"/>
  <c r="G185" i="3"/>
  <c r="BA187" i="3"/>
  <c r="AZ187" i="3"/>
  <c r="BL188" i="3"/>
  <c r="AZ188" i="3"/>
  <c r="G189" i="3"/>
  <c r="BA191" i="3"/>
  <c r="BL192" i="3"/>
  <c r="AZ192" i="3"/>
  <c r="G193" i="3"/>
  <c r="BA195" i="3"/>
  <c r="AZ195" i="3"/>
  <c r="BL196" i="3"/>
  <c r="G197" i="3"/>
  <c r="BA199" i="3"/>
  <c r="AZ199" i="3"/>
  <c r="BL200" i="3"/>
  <c r="AZ200" i="3"/>
  <c r="G201" i="3"/>
  <c r="BA203" i="3"/>
  <c r="BL204" i="3"/>
  <c r="AZ67" i="3"/>
  <c r="AZ144" i="3"/>
  <c r="AZ152" i="3"/>
  <c r="AZ176" i="3"/>
  <c r="AZ97" i="3"/>
  <c r="AZ120" i="3"/>
  <c r="G534" i="3"/>
  <c r="G530" i="3"/>
  <c r="G522" i="3"/>
  <c r="G516" i="3"/>
  <c r="G512" i="3"/>
  <c r="G506" i="3"/>
  <c r="G498" i="3"/>
  <c r="G494" i="3"/>
  <c r="G16" i="3"/>
  <c r="BA304" i="3"/>
  <c r="AZ304" i="3"/>
  <c r="BA305" i="3"/>
  <c r="AZ305" i="3"/>
  <c r="BL305" i="3"/>
  <c r="G306" i="3"/>
  <c r="G309" i="3"/>
  <c r="BL310" i="3"/>
  <c r="BA312" i="3"/>
  <c r="BA313" i="3"/>
  <c r="BL313" i="3"/>
  <c r="G314" i="3"/>
  <c r="G317" i="3"/>
  <c r="BL318" i="3"/>
  <c r="BA320" i="3"/>
  <c r="AZ320" i="3"/>
  <c r="BA321" i="3"/>
  <c r="BL321" i="3"/>
  <c r="G322" i="3"/>
  <c r="G325" i="3"/>
  <c r="BL326" i="3"/>
  <c r="BA328" i="3"/>
  <c r="BA329" i="3"/>
  <c r="AZ329" i="3"/>
  <c r="BL329" i="3"/>
  <c r="G330" i="3"/>
  <c r="G333" i="3"/>
  <c r="BL334" i="3"/>
  <c r="BA336" i="3"/>
  <c r="AZ336" i="3"/>
  <c r="BA337" i="3"/>
  <c r="BL337" i="3"/>
  <c r="G338" i="3"/>
  <c r="G341" i="3"/>
  <c r="BA342" i="3"/>
  <c r="BL342" i="3"/>
  <c r="AZ342" i="3"/>
  <c r="BA344" i="3"/>
  <c r="BL344" i="3"/>
  <c r="AZ344" i="3"/>
  <c r="BA346" i="3"/>
  <c r="BA347" i="3"/>
  <c r="BL347" i="3"/>
  <c r="G350" i="3"/>
  <c r="BA351" i="3"/>
  <c r="BL351" i="3"/>
  <c r="G352" i="3"/>
  <c r="G354" i="3"/>
  <c r="BA355" i="3"/>
  <c r="AZ355" i="3"/>
  <c r="BA356" i="3"/>
  <c r="BL356" i="3"/>
  <c r="G357" i="3"/>
  <c r="G360" i="3"/>
  <c r="BL361" i="3"/>
  <c r="BA363" i="3"/>
  <c r="BA364" i="3"/>
  <c r="AZ364" i="3"/>
  <c r="BL364" i="3"/>
  <c r="G365" i="3"/>
  <c r="G368" i="3"/>
  <c r="BL369" i="3"/>
  <c r="BA371" i="3"/>
  <c r="AZ371" i="3"/>
  <c r="BA372" i="3"/>
  <c r="BL372" i="3"/>
  <c r="G373" i="3"/>
  <c r="G376" i="3"/>
  <c r="BL377" i="3"/>
  <c r="BL379" i="3"/>
  <c r="BA381" i="3"/>
  <c r="AZ381" i="3"/>
  <c r="BA382" i="3"/>
  <c r="BL382" i="3"/>
  <c r="G383" i="3"/>
  <c r="G386" i="3"/>
  <c r="BL387" i="3"/>
  <c r="BA389" i="3"/>
  <c r="AZ389" i="3"/>
  <c r="BA390" i="3"/>
  <c r="BL390" i="3"/>
  <c r="G391" i="3"/>
  <c r="G394" i="3"/>
  <c r="AZ154" i="3"/>
  <c r="BA16" i="3"/>
  <c r="BL303" i="3"/>
  <c r="AZ303" i="3"/>
  <c r="G304" i="3"/>
  <c r="BA306" i="3"/>
  <c r="BL307" i="3"/>
  <c r="AZ307" i="3"/>
  <c r="G308" i="3"/>
  <c r="BA310" i="3"/>
  <c r="AZ310" i="3"/>
  <c r="BL311" i="3"/>
  <c r="AZ311" i="3"/>
  <c r="G312" i="3"/>
  <c r="BA314" i="3"/>
  <c r="AZ314" i="3"/>
  <c r="BL315" i="3"/>
  <c r="G316" i="3"/>
  <c r="BA318" i="3"/>
  <c r="BL319" i="3"/>
  <c r="AZ319" i="3"/>
  <c r="G320" i="3"/>
  <c r="BA322" i="3"/>
  <c r="AZ322" i="3"/>
  <c r="BL323" i="3"/>
  <c r="G324" i="3"/>
  <c r="BA326" i="3"/>
  <c r="AZ326" i="3"/>
  <c r="BL327" i="3"/>
  <c r="AZ327" i="3"/>
  <c r="G328" i="3"/>
  <c r="BA330" i="3"/>
  <c r="BL331" i="3"/>
  <c r="AZ331" i="3"/>
  <c r="G332" i="3"/>
  <c r="BA334" i="3"/>
  <c r="BL335" i="3"/>
  <c r="G336" i="3"/>
  <c r="BA338" i="3"/>
  <c r="AZ338" i="3"/>
  <c r="BL339" i="3"/>
  <c r="G340" i="3"/>
  <c r="BL343" i="3"/>
  <c r="G344" i="3"/>
  <c r="G348" i="3"/>
  <c r="G355" i="3"/>
  <c r="AZ218" i="3"/>
  <c r="G342" i="3"/>
  <c r="BL345" i="3"/>
  <c r="G346" i="3"/>
  <c r="BL349" i="3"/>
  <c r="BL352" i="3"/>
  <c r="G353" i="3"/>
  <c r="BA357" i="3"/>
  <c r="AZ357" i="3"/>
  <c r="BL358" i="3"/>
  <c r="G359" i="3"/>
  <c r="BA361" i="3"/>
  <c r="AZ361" i="3"/>
  <c r="BL362" i="3"/>
  <c r="AZ362" i="3"/>
  <c r="G363" i="3"/>
  <c r="BA365" i="3"/>
  <c r="BL366" i="3"/>
  <c r="G367" i="3"/>
  <c r="BA369" i="3"/>
  <c r="AZ369" i="3"/>
  <c r="BL370" i="3"/>
  <c r="AZ370" i="3"/>
  <c r="G371" i="3"/>
  <c r="BA373" i="3"/>
  <c r="AZ373" i="3"/>
  <c r="BL374" i="3"/>
  <c r="G375" i="3"/>
  <c r="BA377" i="3"/>
  <c r="AZ377" i="3"/>
  <c r="AZ229" i="3"/>
  <c r="AZ233" i="3"/>
  <c r="AZ249" i="3"/>
  <c r="BA379" i="3"/>
  <c r="AZ379" i="3"/>
  <c r="BL380" i="3"/>
  <c r="AZ380" i="3"/>
  <c r="G381" i="3"/>
  <c r="BA383" i="3"/>
  <c r="AZ383" i="3"/>
  <c r="BL384" i="3"/>
  <c r="G385" i="3"/>
  <c r="BA387" i="3"/>
  <c r="AZ387" i="3"/>
  <c r="BL388" i="3"/>
  <c r="G389" i="3"/>
  <c r="BA391" i="3"/>
  <c r="AZ391" i="3"/>
  <c r="BL392" i="3"/>
  <c r="G393" i="3"/>
  <c r="AZ275" i="3"/>
  <c r="BJ5" i="3"/>
  <c r="AC5" i="3"/>
  <c r="AZ496" i="3"/>
  <c r="G548" i="3"/>
  <c r="G538" i="3"/>
  <c r="G520" i="3"/>
  <c r="G502" i="3"/>
  <c r="BN5" i="3"/>
  <c r="BE5" i="3"/>
  <c r="G17" i="3"/>
  <c r="BA17" i="3"/>
  <c r="AZ356" i="3"/>
  <c r="AZ392" i="3"/>
  <c r="AZ499" i="3"/>
  <c r="AZ509" i="3"/>
  <c r="G509" i="3"/>
  <c r="BL493" i="3"/>
  <c r="AZ493" i="3"/>
  <c r="U36" i="40"/>
  <c r="F83" i="43"/>
  <c r="H83" i="43" s="1"/>
  <c r="H85" i="43"/>
  <c r="F72" i="43"/>
  <c r="H76" i="43" s="1"/>
  <c r="U17" i="39"/>
  <c r="S14" i="35"/>
  <c r="U43" i="21"/>
  <c r="U35" i="21"/>
  <c r="AC35" i="21"/>
  <c r="AC11" i="39"/>
  <c r="AZ501" i="3"/>
  <c r="W37" i="37"/>
  <c r="W44" i="34"/>
  <c r="AC44" i="34"/>
  <c r="S15" i="37"/>
  <c r="U13" i="37"/>
  <c r="U12" i="40"/>
  <c r="AA12" i="40"/>
  <c r="J37" i="33"/>
  <c r="W37" i="33"/>
  <c r="AC17" i="34"/>
  <c r="F106" i="33"/>
  <c r="G106" i="33"/>
  <c r="H106" i="33"/>
  <c r="I106" i="33"/>
  <c r="J106" i="33"/>
  <c r="K106" i="33"/>
  <c r="L106" i="33"/>
  <c r="M106" i="33"/>
  <c r="J34" i="33"/>
  <c r="W34" i="33"/>
  <c r="F33" i="34"/>
  <c r="S33" i="34"/>
  <c r="H20" i="36"/>
  <c r="U20" i="36"/>
  <c r="J20" i="36"/>
  <c r="W20"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AA39" i="34"/>
  <c r="J39" i="34"/>
  <c r="W39" i="34"/>
  <c r="F40" i="34"/>
  <c r="S40" i="34"/>
  <c r="F43" i="34"/>
  <c r="AA43" i="34"/>
  <c r="H44" i="34"/>
  <c r="U44" i="34"/>
  <c r="AC38" i="39"/>
  <c r="F39" i="39"/>
  <c r="S39" i="39"/>
  <c r="J39" i="39"/>
  <c r="AC39" i="39"/>
  <c r="E96" i="39"/>
  <c r="F96" i="39"/>
  <c r="G96" i="39"/>
  <c r="AZ386" i="3"/>
  <c r="C40" i="11"/>
  <c r="AZ227" i="3"/>
  <c r="AZ235" i="3"/>
  <c r="AZ251" i="3"/>
  <c r="AZ72" i="3"/>
  <c r="AZ110" i="3"/>
  <c r="F23" i="39"/>
  <c r="S23" i="39"/>
  <c r="H27" i="36"/>
  <c r="U27" i="36"/>
  <c r="F27" i="36"/>
  <c r="AA27" i="36"/>
  <c r="H33" i="34"/>
  <c r="AB33" i="34"/>
  <c r="F32" i="37"/>
  <c r="AA32" i="37"/>
  <c r="G96" i="37"/>
  <c r="H96" i="37"/>
  <c r="I96" i="37"/>
  <c r="J96" i="37"/>
  <c r="K96" i="37"/>
  <c r="L96" i="37"/>
  <c r="M96" i="37"/>
  <c r="F20" i="36"/>
  <c r="AA20" i="36"/>
  <c r="J33" i="34"/>
  <c r="AC33" i="34"/>
  <c r="H23" i="39"/>
  <c r="U23" i="39"/>
  <c r="K9" i="1"/>
  <c r="M9" i="1" s="1"/>
  <c r="D93" i="9"/>
  <c r="W27" i="34"/>
  <c r="AC27" i="34"/>
  <c r="AB33" i="36"/>
  <c r="U33" i="36"/>
  <c r="AC12" i="39"/>
  <c r="W12" i="39"/>
  <c r="AC39" i="40"/>
  <c r="W39" i="40"/>
  <c r="W12" i="33"/>
  <c r="AC12" i="33"/>
  <c r="AA32" i="36"/>
  <c r="S32" i="36"/>
  <c r="AZ473" i="3"/>
  <c r="U30" i="33"/>
  <c r="AC13" i="34"/>
  <c r="AA47" i="34"/>
  <c r="W28" i="37"/>
  <c r="F12" i="33"/>
  <c r="H12" i="39"/>
  <c r="U12" i="39"/>
  <c r="AB12" i="39"/>
  <c r="F39" i="40"/>
  <c r="AZ367" i="3"/>
  <c r="AZ149" i="3"/>
  <c r="B12" i="1"/>
  <c r="E12" i="1"/>
  <c r="B10" i="1"/>
  <c r="E10" i="1"/>
  <c r="K12" i="1"/>
  <c r="M12" i="1" s="1"/>
  <c r="S13" i="1"/>
  <c r="AR13" i="1" s="1"/>
  <c r="R13" i="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AA32" i="39"/>
  <c r="F106" i="39"/>
  <c r="G106" i="39"/>
  <c r="H106" i="39"/>
  <c r="I106" i="39"/>
  <c r="J106" i="39"/>
  <c r="K106" i="39"/>
  <c r="L106" i="39"/>
  <c r="M106" i="39"/>
  <c r="U25" i="39"/>
  <c r="AB27" i="39"/>
  <c r="U31" i="39"/>
  <c r="J21" i="39"/>
  <c r="W21" i="39"/>
  <c r="F21" i="39"/>
  <c r="G94" i="39"/>
  <c r="H21" i="39"/>
  <c r="U21" i="39"/>
  <c r="W19" i="39"/>
  <c r="U19" i="39"/>
  <c r="S17" i="39"/>
  <c r="S15" i="39"/>
  <c r="S9" i="39"/>
  <c r="U14" i="39"/>
  <c r="S23" i="36"/>
  <c r="U13" i="36"/>
  <c r="U26" i="36"/>
  <c r="S33" i="36"/>
  <c r="AA26" i="36"/>
  <c r="AA34" i="36"/>
  <c r="AC26" i="36"/>
  <c r="AA22" i="36"/>
  <c r="W14" i="36"/>
  <c r="AB14" i="36"/>
  <c r="U22" i="36"/>
  <c r="S16" i="36"/>
  <c r="AA25" i="36"/>
  <c r="U23" i="36"/>
  <c r="AB20" i="36"/>
  <c r="U16" i="36"/>
  <c r="S14" i="36"/>
  <c r="AA25" i="35"/>
  <c r="S23" i="35"/>
  <c r="W24" i="35"/>
  <c r="AB13" i="35"/>
  <c r="U29" i="35"/>
  <c r="U28" i="35"/>
  <c r="AB27" i="35"/>
  <c r="U32" i="35"/>
  <c r="AA33" i="35"/>
  <c r="AC30" i="35"/>
  <c r="S32" i="35"/>
  <c r="AA36" i="35"/>
  <c r="S28" i="35"/>
  <c r="AB16" i="35"/>
  <c r="U22" i="35"/>
  <c r="AC20" i="35"/>
  <c r="S22" i="35"/>
  <c r="U14" i="35"/>
  <c r="AA11" i="35"/>
  <c r="AC9" i="35"/>
  <c r="W9" i="35"/>
  <c r="W13" i="35"/>
  <c r="F9" i="35"/>
  <c r="S9" i="35"/>
  <c r="H9" i="35"/>
  <c r="U9" i="35"/>
  <c r="AB40" i="37"/>
  <c r="W27" i="37"/>
  <c r="AC29" i="37"/>
  <c r="U29" i="37"/>
  <c r="S32" i="37"/>
  <c r="W30" i="37"/>
  <c r="S36" i="37"/>
  <c r="AA38" i="37"/>
  <c r="U32" i="37"/>
  <c r="W38" i="37"/>
  <c r="AC35" i="37"/>
  <c r="S30" i="37"/>
  <c r="S37" i="37"/>
  <c r="AC15" i="37"/>
  <c r="J17" i="37"/>
  <c r="W17" i="37"/>
  <c r="G73" i="37"/>
  <c r="F17" i="37"/>
  <c r="AA17" i="37"/>
  <c r="AB17" i="37"/>
  <c r="F75" i="37"/>
  <c r="F19" i="37"/>
  <c r="S19" i="37"/>
  <c r="F79" i="37"/>
  <c r="F23" i="37"/>
  <c r="S23" i="37"/>
  <c r="U23" i="37"/>
  <c r="U15" i="37"/>
  <c r="AC13" i="37"/>
  <c r="AA13" i="37"/>
  <c r="H10" i="37"/>
  <c r="AB10" i="37"/>
  <c r="F63" i="37"/>
  <c r="F11" i="37"/>
  <c r="S11" i="37"/>
  <c r="W25" i="34"/>
  <c r="AB8" i="34"/>
  <c r="AA33" i="34"/>
  <c r="U43" i="34"/>
  <c r="AC39" i="34"/>
  <c r="W41" i="34"/>
  <c r="AC42" i="34"/>
  <c r="AB35" i="34"/>
  <c r="U39" i="34"/>
  <c r="AB41" i="34"/>
  <c r="AA45" i="34"/>
  <c r="AA25" i="34"/>
  <c r="U28" i="34"/>
  <c r="S17" i="34"/>
  <c r="AA29" i="34"/>
  <c r="U27" i="34"/>
  <c r="S23" i="34"/>
  <c r="U15" i="34"/>
  <c r="S13" i="34"/>
  <c r="H10" i="34"/>
  <c r="AB10" i="34"/>
  <c r="F11" i="34"/>
  <c r="S11" i="34"/>
  <c r="F70" i="34"/>
  <c r="W42" i="33"/>
  <c r="S27" i="33"/>
  <c r="S32" i="33"/>
  <c r="AA29" i="33"/>
  <c r="AB29" i="33"/>
  <c r="W38" i="33"/>
  <c r="H41" i="33"/>
  <c r="F121" i="33"/>
  <c r="G121" i="33"/>
  <c r="H121" i="33"/>
  <c r="I121" i="33"/>
  <c r="J121" i="33"/>
  <c r="K121" i="33"/>
  <c r="L121" i="33"/>
  <c r="M121" i="33"/>
  <c r="U42" i="33"/>
  <c r="S42" i="33"/>
  <c r="F36" i="33"/>
  <c r="AA36" i="33"/>
  <c r="G111" i="33"/>
  <c r="H111" i="33"/>
  <c r="I111" i="33"/>
  <c r="J111" i="33"/>
  <c r="K111" i="33"/>
  <c r="L111" i="33"/>
  <c r="M111" i="33"/>
  <c r="G108" i="33"/>
  <c r="H108" i="33"/>
  <c r="I108" i="33"/>
  <c r="J108" i="33"/>
  <c r="K108" i="33"/>
  <c r="L108" i="33"/>
  <c r="M108" i="33"/>
  <c r="J35" i="33"/>
  <c r="S37" i="33"/>
  <c r="AA37" i="33"/>
  <c r="S39" i="33"/>
  <c r="F101" i="33"/>
  <c r="G101" i="33"/>
  <c r="H101" i="33"/>
  <c r="I101" i="33"/>
  <c r="J101" i="33"/>
  <c r="K101" i="33"/>
  <c r="L101" i="33"/>
  <c r="M101" i="33"/>
  <c r="J32" i="33"/>
  <c r="AC32" i="33"/>
  <c r="S46" i="33"/>
  <c r="W43" i="33"/>
  <c r="S43" i="33"/>
  <c r="F91" i="33"/>
  <c r="G91" i="33"/>
  <c r="H91" i="33"/>
  <c r="I91" i="33"/>
  <c r="J91" i="33"/>
  <c r="K91" i="33"/>
  <c r="L91" i="33"/>
  <c r="M91" i="33"/>
  <c r="H27" i="33"/>
  <c r="F87" i="33"/>
  <c r="H25" i="33"/>
  <c r="F25" i="33"/>
  <c r="S25" i="33"/>
  <c r="J23" i="33"/>
  <c r="AC23" i="33"/>
  <c r="F85" i="33"/>
  <c r="H23" i="33"/>
  <c r="F81" i="33"/>
  <c r="G81" i="33"/>
  <c r="F19" i="33"/>
  <c r="S19" i="33"/>
  <c r="W19" i="33"/>
  <c r="J17" i="33"/>
  <c r="F79" i="33"/>
  <c r="G79" i="33"/>
  <c r="S15" i="33"/>
  <c r="W1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F34" i="67"/>
  <c r="F62" i="67"/>
  <c r="M20" i="67"/>
  <c r="F34" i="15"/>
  <c r="F62" i="15"/>
  <c r="BL17" i="3"/>
  <c r="AZ17" i="3"/>
  <c r="J56" i="9"/>
  <c r="J57" i="9"/>
  <c r="J59" i="9"/>
  <c r="J61" i="9"/>
  <c r="A24" i="51"/>
  <c r="B18" i="72" s="1"/>
  <c r="U29" i="34"/>
  <c r="E5" i="6"/>
  <c r="E32" i="6"/>
  <c r="E19" i="69"/>
  <c r="E19" i="68"/>
  <c r="E19" i="11"/>
  <c r="B19" i="53"/>
  <c r="B37" i="72"/>
  <c r="A4" i="51"/>
  <c r="B6" i="72"/>
  <c r="L20" i="6"/>
  <c r="K11" i="1"/>
  <c r="M11" i="1" s="1"/>
  <c r="O11" i="1"/>
  <c r="B9" i="1"/>
  <c r="E9" i="1"/>
  <c r="K7" i="1"/>
  <c r="M7" i="1" s="1"/>
  <c r="O7" i="1"/>
  <c r="P7" i="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9" i="36"/>
  <c r="W22" i="36"/>
  <c r="W23" i="36"/>
  <c r="AB20" i="35"/>
  <c r="S24" i="35"/>
  <c r="U24" i="35"/>
  <c r="S35" i="35"/>
  <c r="W35" i="35"/>
  <c r="AA16" i="35"/>
  <c r="AA35" i="37"/>
  <c r="W36" i="37"/>
  <c r="S27" i="37"/>
  <c r="S28" i="37"/>
  <c r="W32" i="37"/>
  <c r="U36" i="37"/>
  <c r="S40" i="37"/>
  <c r="U38" i="37"/>
  <c r="AB37" i="37"/>
  <c r="AC34" i="37"/>
  <c r="AA31" i="37"/>
  <c r="U19" i="37"/>
  <c r="AA29" i="37"/>
  <c r="U8" i="37"/>
  <c r="AA40" i="34"/>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AA29" i="21"/>
  <c r="F13" i="21"/>
  <c r="AA13" i="21"/>
  <c r="AC38" i="21"/>
  <c r="H32" i="21"/>
  <c r="H9" i="21"/>
  <c r="U9" i="21"/>
  <c r="J9" i="21"/>
  <c r="AC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W31" i="21"/>
  <c r="S27" i="21"/>
  <c r="S17" i="21"/>
  <c r="AA15" i="21"/>
  <c r="AC27" i="21"/>
  <c r="AC26" i="21"/>
  <c r="AB29" i="21"/>
  <c r="S28" i="21"/>
  <c r="AC34" i="21"/>
  <c r="AB36" i="21"/>
  <c r="W30" i="40"/>
  <c r="C15" i="40"/>
  <c r="C17" i="40"/>
  <c r="C23" i="40"/>
  <c r="C21" i="40"/>
  <c r="U30" i="40"/>
  <c r="B56" i="43"/>
  <c r="B67" i="43"/>
  <c r="B51" i="43"/>
  <c r="B58" i="43"/>
  <c r="B62" i="43"/>
  <c r="B69" i="43"/>
  <c r="D23" i="15"/>
  <c r="D22" i="15"/>
  <c r="AA39" i="40"/>
  <c r="S39" i="40"/>
  <c r="S12" i="33"/>
  <c r="AA12" i="33"/>
  <c r="J32" i="39"/>
  <c r="AC32" i="39"/>
  <c r="H32" i="39"/>
  <c r="AB32" i="39"/>
  <c r="S32" i="39"/>
  <c r="AA21" i="39"/>
  <c r="S21" i="39"/>
  <c r="AC17" i="37"/>
  <c r="J19" i="37"/>
  <c r="W19" i="37"/>
  <c r="G75" i="37"/>
  <c r="AA19" i="37"/>
  <c r="AA23" i="37"/>
  <c r="J23" i="37"/>
  <c r="AC23" i="37"/>
  <c r="G79" i="37"/>
  <c r="J10" i="37"/>
  <c r="W10" i="37"/>
  <c r="G63" i="37"/>
  <c r="H63" i="37"/>
  <c r="I63" i="37"/>
  <c r="H11" i="37"/>
  <c r="AB11" i="37"/>
  <c r="G70" i="34"/>
  <c r="H70" i="34"/>
  <c r="I70" i="34"/>
  <c r="J70" i="34"/>
  <c r="K70" i="34"/>
  <c r="L70" i="34"/>
  <c r="M70" i="34"/>
  <c r="H11" i="34"/>
  <c r="U11" i="34"/>
  <c r="J10" i="34"/>
  <c r="AC10" i="34"/>
  <c r="AB41" i="33"/>
  <c r="U41" i="33"/>
  <c r="W35" i="33"/>
  <c r="AC35" i="33"/>
  <c r="J36" i="33"/>
  <c r="W36" i="33"/>
  <c r="H36" i="33"/>
  <c r="U36" i="33"/>
  <c r="S36" i="33"/>
  <c r="W32" i="33"/>
  <c r="U27" i="33"/>
  <c r="AB27" i="33"/>
  <c r="J27" i="33"/>
  <c r="AC27" i="33"/>
  <c r="U25" i="33"/>
  <c r="AB25" i="33"/>
  <c r="G87" i="33"/>
  <c r="H87" i="33"/>
  <c r="I87" i="33"/>
  <c r="J87" i="33"/>
  <c r="K87" i="33"/>
  <c r="L87" i="33"/>
  <c r="M87" i="33"/>
  <c r="J25" i="33"/>
  <c r="AB23" i="33"/>
  <c r="U23" i="33"/>
  <c r="F23" i="33"/>
  <c r="G85" i="33"/>
  <c r="AA19" i="33"/>
  <c r="H19" i="33"/>
  <c r="U19" i="33"/>
  <c r="H17" i="33"/>
  <c r="U17" i="33"/>
  <c r="F17" i="33"/>
  <c r="S17" i="33"/>
  <c r="W17" i="33"/>
  <c r="AC17" i="33"/>
  <c r="S37" i="21"/>
  <c r="AA23" i="21"/>
  <c r="AB15" i="21"/>
  <c r="J23" i="21"/>
  <c r="F85" i="21"/>
  <c r="G85" i="21"/>
  <c r="H23" i="21"/>
  <c r="U23" i="21"/>
  <c r="D6" i="52"/>
  <c r="AP7" i="1"/>
  <c r="AB45" i="21"/>
  <c r="AB9" i="21"/>
  <c r="AA32" i="21"/>
  <c r="S32" i="21"/>
  <c r="AB32" i="21"/>
  <c r="U32" i="21"/>
  <c r="U32" i="39"/>
  <c r="W32" i="39"/>
  <c r="W23" i="37"/>
  <c r="J63" i="37"/>
  <c r="K63" i="37"/>
  <c r="L63" i="37"/>
  <c r="M63" i="37"/>
  <c r="J11" i="37"/>
  <c r="AC11" i="37"/>
  <c r="J11" i="34"/>
  <c r="W11" i="34"/>
  <c r="AB36" i="33"/>
  <c r="W27" i="33"/>
  <c r="W25" i="33"/>
  <c r="AC25" i="33"/>
  <c r="AB19" i="33"/>
  <c r="AC23" i="21"/>
  <c r="W23" i="21"/>
  <c r="H109" i="9"/>
  <c r="AD3" i="71"/>
  <c r="D24" i="71"/>
  <c r="U24" i="71"/>
  <c r="S24" i="71"/>
  <c r="T24" i="71"/>
  <c r="AB22" i="71"/>
  <c r="X20" i="71"/>
  <c r="X19" i="71"/>
  <c r="AA20" i="71"/>
  <c r="AA19" i="71"/>
  <c r="X23" i="71"/>
  <c r="Y19" i="71"/>
  <c r="Z19" i="71"/>
  <c r="AB20" i="71"/>
  <c r="AB19" i="71"/>
  <c r="F21" i="71"/>
  <c r="F20" i="71"/>
  <c r="F19" i="71"/>
  <c r="F18" i="71"/>
  <c r="F17" i="71"/>
  <c r="Y20" i="71"/>
  <c r="Z20" i="71"/>
  <c r="X3" i="71"/>
  <c r="C18" i="9"/>
  <c r="D18" i="9" s="1"/>
  <c r="D53" i="43"/>
  <c r="D51" i="43"/>
  <c r="D55" i="43"/>
  <c r="B79" i="43"/>
  <c r="B57" i="43"/>
  <c r="B77" i="43"/>
  <c r="B68" i="43"/>
  <c r="G1" i="15"/>
  <c r="B6" i="1"/>
  <c r="E6" i="1" s="1"/>
  <c r="AP6" i="1"/>
  <c r="G1" i="67"/>
  <c r="K1" i="12"/>
  <c r="G1" i="69"/>
  <c r="G1" i="68"/>
  <c r="B41" i="1"/>
  <c r="G22" i="69"/>
  <c r="BD5" i="3"/>
  <c r="BH5" i="3"/>
  <c r="BP5" i="3"/>
  <c r="A118" i="9"/>
  <c r="A2" i="9"/>
  <c r="AZ572" i="3"/>
  <c r="AB23" i="21"/>
  <c r="W9" i="21"/>
  <c r="S13" i="21"/>
  <c r="AB21" i="39"/>
  <c r="AB35" i="37"/>
  <c r="AA35" i="33"/>
  <c r="S20" i="35"/>
  <c r="AA12" i="39"/>
  <c r="S19" i="39"/>
  <c r="U33" i="34"/>
  <c r="AA23" i="39"/>
  <c r="AZ318" i="3"/>
  <c r="AZ390" i="3"/>
  <c r="AZ351" i="3"/>
  <c r="AZ341" i="3"/>
  <c r="AZ306" i="3"/>
  <c r="W12" i="37"/>
  <c r="AC12" i="37"/>
  <c r="AB46" i="34"/>
  <c r="U46" i="34"/>
  <c r="S14" i="34"/>
  <c r="AA14" i="34"/>
  <c r="W45" i="33"/>
  <c r="AC45" i="33"/>
  <c r="S11" i="39"/>
  <c r="AA11" i="39"/>
  <c r="J13" i="39"/>
  <c r="H13" i="39"/>
  <c r="F13" i="39"/>
  <c r="AB9" i="40"/>
  <c r="U9" i="40"/>
  <c r="AC31" i="40"/>
  <c r="W31" i="40"/>
  <c r="BL580" i="3"/>
  <c r="AZ580" i="3"/>
  <c r="BA579" i="3"/>
  <c r="AZ579" i="3"/>
  <c r="BL578" i="3"/>
  <c r="BA578" i="3"/>
  <c r="BA577" i="3"/>
  <c r="BL576" i="3"/>
  <c r="BA576" i="3"/>
  <c r="BL575" i="3"/>
  <c r="BA575" i="3"/>
  <c r="AZ575" i="3"/>
  <c r="BA574" i="3"/>
  <c r="AZ574" i="3"/>
  <c r="G572" i="3"/>
  <c r="BA571" i="3"/>
  <c r="AZ571" i="3"/>
  <c r="BL570" i="3"/>
  <c r="BA570" i="3"/>
  <c r="AA25" i="33"/>
  <c r="G29" i="6"/>
  <c r="BM5" i="3"/>
  <c r="AZ313" i="3"/>
  <c r="AZ394" i="3"/>
  <c r="AZ511" i="3"/>
  <c r="AZ536" i="3"/>
  <c r="J25" i="35"/>
  <c r="H25" i="35"/>
  <c r="AC28" i="36"/>
  <c r="W28" i="36"/>
  <c r="AA17" i="33"/>
  <c r="S17" i="37"/>
  <c r="S43" i="34"/>
  <c r="AB31" i="37"/>
  <c r="BO5" i="3"/>
  <c r="AZ375" i="3"/>
  <c r="AZ529" i="3"/>
  <c r="AB11" i="33"/>
  <c r="U11" i="33"/>
  <c r="AB35" i="33"/>
  <c r="U35" i="33"/>
  <c r="AC39" i="33"/>
  <c r="W39" i="33"/>
  <c r="AA44" i="39"/>
  <c r="S44" i="39"/>
  <c r="AZ388" i="3"/>
  <c r="AZ345" i="3"/>
  <c r="AZ334" i="3"/>
  <c r="AZ372" i="3"/>
  <c r="AZ347" i="3"/>
  <c r="AZ337" i="3"/>
  <c r="AZ376" i="3"/>
  <c r="AZ309" i="3"/>
  <c r="AZ515" i="3"/>
  <c r="AZ523" i="3"/>
  <c r="AZ547" i="3"/>
  <c r="AZ569" i="3"/>
  <c r="AZ516" i="3"/>
  <c r="AZ524" i="3"/>
  <c r="AB45" i="33"/>
  <c r="AB23" i="34"/>
  <c r="H36" i="35"/>
  <c r="J36" i="35"/>
  <c r="AC36" i="35"/>
  <c r="H34" i="36"/>
  <c r="J34" i="36"/>
  <c r="W34" i="36"/>
  <c r="J39" i="37"/>
  <c r="H39" i="37"/>
  <c r="F39" i="37"/>
  <c r="S39" i="37"/>
  <c r="G552" i="3"/>
  <c r="BL577" i="3"/>
  <c r="AZ577" i="3"/>
  <c r="AZ513" i="3"/>
  <c r="AZ528" i="3"/>
  <c r="AZ566" i="3"/>
  <c r="AZ582" i="3"/>
  <c r="AZ502" i="3"/>
  <c r="S14" i="37"/>
  <c r="AA44" i="34"/>
  <c r="AB17" i="34"/>
  <c r="S44" i="33"/>
  <c r="AA44" i="33"/>
  <c r="J12" i="36"/>
  <c r="F12" i="36"/>
  <c r="H12" i="36"/>
  <c r="AA31" i="35"/>
  <c r="S31" i="35"/>
  <c r="G582" i="3"/>
  <c r="AZ519" i="3"/>
  <c r="BL573" i="3"/>
  <c r="AZ573" i="3"/>
  <c r="B97" i="43"/>
  <c r="AA38" i="33"/>
  <c r="S38" i="33"/>
  <c r="J26" i="33"/>
  <c r="F26" i="33"/>
  <c r="H26" i="33"/>
  <c r="J24" i="36"/>
  <c r="H24" i="36"/>
  <c r="F24" i="36"/>
  <c r="H44" i="39"/>
  <c r="J44" i="39"/>
  <c r="U39" i="40"/>
  <c r="AB39" i="40"/>
  <c r="AB38" i="40"/>
  <c r="U38" i="40"/>
  <c r="BL550" i="3"/>
  <c r="AZ400" i="3"/>
  <c r="AZ403" i="3"/>
  <c r="AZ405" i="3"/>
  <c r="C67" i="71"/>
  <c r="T68" i="71"/>
  <c r="O68" i="71"/>
  <c r="D68" i="71"/>
  <c r="T76" i="71"/>
  <c r="D76" i="71"/>
  <c r="C75" i="71"/>
  <c r="Y26" i="71"/>
  <c r="Z26" i="71"/>
  <c r="Y25" i="71"/>
  <c r="Z25" i="71"/>
  <c r="AA3" i="71"/>
  <c r="BL587" i="3"/>
  <c r="AZ587" i="3"/>
  <c r="BL586" i="3"/>
  <c r="AZ586" i="3"/>
  <c r="G574" i="3"/>
  <c r="BL16" i="3"/>
  <c r="AZ16" i="3"/>
  <c r="BL400" i="3"/>
  <c r="BA408" i="3"/>
  <c r="AZ408" i="3"/>
  <c r="BA409" i="3"/>
  <c r="AZ409" i="3"/>
  <c r="BL412" i="3"/>
  <c r="BL417" i="3"/>
  <c r="BA225" i="3"/>
  <c r="BL230" i="3"/>
  <c r="G251" i="3"/>
  <c r="W9" i="34"/>
  <c r="U30" i="37"/>
  <c r="G587" i="3"/>
  <c r="F9" i="33"/>
  <c r="AA9" i="33"/>
  <c r="J12" i="35"/>
  <c r="F25" i="37"/>
  <c r="BA551" i="3"/>
  <c r="AZ551" i="3"/>
  <c r="BA550" i="3"/>
  <c r="AZ550" i="3"/>
  <c r="BL548" i="3"/>
  <c r="AZ548" i="3"/>
  <c r="BL403" i="3"/>
  <c r="BL410" i="3"/>
  <c r="AZ422" i="3"/>
  <c r="BA431" i="3"/>
  <c r="BL289" i="3"/>
  <c r="T32" i="71"/>
  <c r="D32" i="71"/>
  <c r="W22" i="35"/>
  <c r="BL585" i="3"/>
  <c r="AZ585" i="3"/>
  <c r="BL398" i="3"/>
  <c r="AZ398" i="3"/>
  <c r="G408" i="3"/>
  <c r="BL411" i="3"/>
  <c r="AZ411" i="3"/>
  <c r="BL414" i="3"/>
  <c r="BL415" i="3"/>
  <c r="BL440" i="3"/>
  <c r="AZ443" i="3"/>
  <c r="BA452" i="3"/>
  <c r="BA458" i="3"/>
  <c r="AZ458" i="3"/>
  <c r="AZ469" i="3"/>
  <c r="G229" i="3"/>
  <c r="G249" i="3"/>
  <c r="BA148" i="3"/>
  <c r="AZ148" i="3"/>
  <c r="BL418" i="3"/>
  <c r="BL420" i="3"/>
  <c r="G423" i="3"/>
  <c r="BL424" i="3"/>
  <c r="G427" i="3"/>
  <c r="BL428" i="3"/>
  <c r="BL429" i="3"/>
  <c r="BL432" i="3"/>
  <c r="BL435" i="3"/>
  <c r="BL436" i="3"/>
  <c r="BA439" i="3"/>
  <c r="BA440" i="3"/>
  <c r="AZ440" i="3"/>
  <c r="BA442" i="3"/>
  <c r="BA445" i="3"/>
  <c r="BA447" i="3"/>
  <c r="AZ447" i="3"/>
  <c r="BA449" i="3"/>
  <c r="BL453" i="3"/>
  <c r="BL454" i="3"/>
  <c r="G458" i="3"/>
  <c r="BL459" i="3"/>
  <c r="G461" i="3"/>
  <c r="G462" i="3"/>
  <c r="BA465" i="3"/>
  <c r="AZ465" i="3"/>
  <c r="BA467" i="3"/>
  <c r="BA468" i="3"/>
  <c r="BL471" i="3"/>
  <c r="BL475" i="3"/>
  <c r="BA477" i="3"/>
  <c r="BA478" i="3"/>
  <c r="BA481" i="3"/>
  <c r="BA488" i="3"/>
  <c r="AZ488" i="3"/>
  <c r="BA491" i="3"/>
  <c r="BL324" i="3"/>
  <c r="AZ324" i="3"/>
  <c r="BL328" i="3"/>
  <c r="AZ328" i="3"/>
  <c r="BA335" i="3"/>
  <c r="AZ335" i="3"/>
  <c r="BA339" i="3"/>
  <c r="AZ339" i="3"/>
  <c r="BA348" i="3"/>
  <c r="BA350" i="3"/>
  <c r="AZ350" i="3"/>
  <c r="BA354" i="3"/>
  <c r="BA366" i="3"/>
  <c r="AZ366" i="3"/>
  <c r="BL375" i="3"/>
  <c r="BL385" i="3"/>
  <c r="BA397" i="3"/>
  <c r="BL397" i="3"/>
  <c r="BA210" i="3"/>
  <c r="BL210" i="3"/>
  <c r="BL212" i="3"/>
  <c r="BL214" i="3"/>
  <c r="AZ214" i="3"/>
  <c r="BL225" i="3"/>
  <c r="BL226" i="3"/>
  <c r="BA239" i="3"/>
  <c r="BL239" i="3"/>
  <c r="BA241" i="3"/>
  <c r="BL241" i="3"/>
  <c r="BA244" i="3"/>
  <c r="BL244" i="3"/>
  <c r="BA246" i="3"/>
  <c r="BA252" i="3"/>
  <c r="AZ252" i="3"/>
  <c r="BA254" i="3"/>
  <c r="AZ254" i="3"/>
  <c r="BA256" i="3"/>
  <c r="AZ256" i="3"/>
  <c r="BL256" i="3"/>
  <c r="BA258" i="3"/>
  <c r="BL264" i="3"/>
  <c r="BL266" i="3"/>
  <c r="BA268" i="3"/>
  <c r="BL273" i="3"/>
  <c r="G274" i="3"/>
  <c r="BA277" i="3"/>
  <c r="AZ277" i="3"/>
  <c r="BL277" i="3"/>
  <c r="BA282" i="3"/>
  <c r="BL282" i="3"/>
  <c r="BA284" i="3"/>
  <c r="BL290" i="3"/>
  <c r="BL291" i="3"/>
  <c r="AZ291" i="3"/>
  <c r="BL293" i="3"/>
  <c r="BL294" i="3"/>
  <c r="BA297" i="3"/>
  <c r="BL297" i="3"/>
  <c r="BL300" i="3"/>
  <c r="BA302" i="3"/>
  <c r="G115" i="3"/>
  <c r="BA117" i="3"/>
  <c r="BA130" i="3"/>
  <c r="BL130" i="3"/>
  <c r="BA137" i="3"/>
  <c r="BL138" i="3"/>
  <c r="BA140" i="3"/>
  <c r="AZ140" i="3"/>
  <c r="BA142" i="3"/>
  <c r="BA156" i="3"/>
  <c r="AZ156" i="3"/>
  <c r="BA169" i="3"/>
  <c r="AZ169" i="3"/>
  <c r="AB34" i="71"/>
  <c r="AB27" i="71"/>
  <c r="AB32" i="71"/>
  <c r="AA38" i="71"/>
  <c r="AA37" i="71"/>
  <c r="AA28" i="71"/>
  <c r="AA35" i="71"/>
  <c r="C47" i="71"/>
  <c r="D47" i="71"/>
  <c r="D46" i="71"/>
  <c r="D50" i="71"/>
  <c r="C51" i="71"/>
  <c r="BA417" i="3"/>
  <c r="AZ417" i="3"/>
  <c r="BL421" i="3"/>
  <c r="BL422" i="3"/>
  <c r="BL425" i="3"/>
  <c r="BL426" i="3"/>
  <c r="BA428" i="3"/>
  <c r="AZ428" i="3"/>
  <c r="BA429" i="3"/>
  <c r="BA430" i="3"/>
  <c r="AZ430" i="3"/>
  <c r="BA432" i="3"/>
  <c r="AZ432" i="3"/>
  <c r="BA434" i="3"/>
  <c r="BA436" i="3"/>
  <c r="BA438" i="3"/>
  <c r="BA446" i="3"/>
  <c r="BA450" i="3"/>
  <c r="BA453" i="3"/>
  <c r="AZ453" i="3"/>
  <c r="BA455" i="3"/>
  <c r="AZ455" i="3"/>
  <c r="BL457" i="3"/>
  <c r="BL460" i="3"/>
  <c r="BL461" i="3"/>
  <c r="BL463" i="3"/>
  <c r="BA471" i="3"/>
  <c r="AZ471" i="3"/>
  <c r="BL317" i="3"/>
  <c r="BA349" i="3"/>
  <c r="AZ349" i="3"/>
  <c r="BA353" i="3"/>
  <c r="BL353" i="3"/>
  <c r="BA358" i="3"/>
  <c r="AZ358" i="3"/>
  <c r="BL365" i="3"/>
  <c r="AZ365" i="3"/>
  <c r="BA368" i="3"/>
  <c r="BL368" i="3"/>
  <c r="BA374" i="3"/>
  <c r="AZ374" i="3"/>
  <c r="BA388" i="3"/>
  <c r="BA396" i="3"/>
  <c r="BA209" i="3"/>
  <c r="BL217" i="3"/>
  <c r="AZ217" i="3"/>
  <c r="BA219" i="3"/>
  <c r="AZ219" i="3"/>
  <c r="BA221" i="3"/>
  <c r="BA223" i="3"/>
  <c r="AZ223" i="3"/>
  <c r="BL228" i="3"/>
  <c r="AZ228" i="3"/>
  <c r="BA230" i="3"/>
  <c r="BL232" i="3"/>
  <c r="BL234" i="3"/>
  <c r="BA236" i="3"/>
  <c r="BA238" i="3"/>
  <c r="AZ238" i="3"/>
  <c r="BA243" i="3"/>
  <c r="AZ243" i="3"/>
  <c r="BL248" i="3"/>
  <c r="AZ248" i="3"/>
  <c r="G250" i="3"/>
  <c r="BL250" i="3"/>
  <c r="AZ250" i="3"/>
  <c r="BA259" i="3"/>
  <c r="AZ259" i="3"/>
  <c r="BL261" i="3"/>
  <c r="BA263" i="3"/>
  <c r="AZ263" i="3"/>
  <c r="BA267" i="3"/>
  <c r="AZ267" i="3"/>
  <c r="BA269" i="3"/>
  <c r="AZ269" i="3"/>
  <c r="BA271" i="3"/>
  <c r="BL271" i="3"/>
  <c r="BA274" i="3"/>
  <c r="BL274" i="3"/>
  <c r="BA276" i="3"/>
  <c r="BA279" i="3"/>
  <c r="BA281" i="3"/>
  <c r="BL286" i="3"/>
  <c r="AZ286" i="3"/>
  <c r="BA296" i="3"/>
  <c r="BA116" i="3"/>
  <c r="AZ116" i="3"/>
  <c r="BA121" i="3"/>
  <c r="BL121" i="3"/>
  <c r="BA124" i="3"/>
  <c r="AZ124" i="3"/>
  <c r="BA126" i="3"/>
  <c r="AZ126" i="3"/>
  <c r="BA129" i="3"/>
  <c r="BL133" i="3"/>
  <c r="AZ133" i="3"/>
  <c r="BL139" i="3"/>
  <c r="AZ139" i="3"/>
  <c r="BL141" i="3"/>
  <c r="BL143" i="3"/>
  <c r="AZ143" i="3"/>
  <c r="BL155" i="3"/>
  <c r="AZ155" i="3"/>
  <c r="BL157" i="3"/>
  <c r="AZ157" i="3"/>
  <c r="BL159" i="3"/>
  <c r="AZ159" i="3"/>
  <c r="BA164" i="3"/>
  <c r="AZ164" i="3"/>
  <c r="BA166" i="3"/>
  <c r="AZ166" i="3"/>
  <c r="BA189" i="3"/>
  <c r="AZ189" i="3"/>
  <c r="BA207" i="3"/>
  <c r="C44" i="71"/>
  <c r="D43" i="71"/>
  <c r="BL401" i="3"/>
  <c r="AZ401" i="3"/>
  <c r="BL404" i="3"/>
  <c r="AZ404" i="3"/>
  <c r="BL405" i="3"/>
  <c r="BL407" i="3"/>
  <c r="AZ407" i="3"/>
  <c r="BA412" i="3"/>
  <c r="AZ412" i="3"/>
  <c r="BA414" i="3"/>
  <c r="AZ414" i="3"/>
  <c r="BA415" i="3"/>
  <c r="BA416" i="3"/>
  <c r="AZ416" i="3"/>
  <c r="BA418" i="3"/>
  <c r="AZ418" i="3"/>
  <c r="BA421" i="3"/>
  <c r="AZ421" i="3"/>
  <c r="BA423" i="3"/>
  <c r="AZ423" i="3"/>
  <c r="BA425" i="3"/>
  <c r="AZ425" i="3"/>
  <c r="BA426" i="3"/>
  <c r="BA427" i="3"/>
  <c r="AZ427" i="3"/>
  <c r="BA433" i="3"/>
  <c r="AZ433" i="3"/>
  <c r="BA435" i="3"/>
  <c r="AZ435" i="3"/>
  <c r="BL437" i="3"/>
  <c r="AZ437" i="3"/>
  <c r="G439" i="3"/>
  <c r="G440" i="3"/>
  <c r="BL441" i="3"/>
  <c r="AZ441" i="3"/>
  <c r="BL442" i="3"/>
  <c r="BL444" i="3"/>
  <c r="AZ444" i="3"/>
  <c r="G446" i="3"/>
  <c r="G447" i="3"/>
  <c r="BL448" i="3"/>
  <c r="AZ448" i="3"/>
  <c r="G450" i="3"/>
  <c r="G451" i="3"/>
  <c r="BA454" i="3"/>
  <c r="AZ454" i="3"/>
  <c r="BA457" i="3"/>
  <c r="AZ457" i="3"/>
  <c r="BA459" i="3"/>
  <c r="AZ459" i="3"/>
  <c r="BA460" i="3"/>
  <c r="BA461" i="3"/>
  <c r="AZ461" i="3"/>
  <c r="BL464" i="3"/>
  <c r="AZ464" i="3"/>
  <c r="BL466" i="3"/>
  <c r="AZ466" i="3"/>
  <c r="G468" i="3"/>
  <c r="G469" i="3"/>
  <c r="BL476" i="3"/>
  <c r="AZ476" i="3"/>
  <c r="BL477" i="3"/>
  <c r="BL478" i="3"/>
  <c r="G479" i="3"/>
  <c r="G480" i="3"/>
  <c r="BL480" i="3"/>
  <c r="AZ480" i="3"/>
  <c r="G482" i="3"/>
  <c r="BA483" i="3"/>
  <c r="BL483" i="3"/>
  <c r="AZ483" i="3"/>
  <c r="BA486" i="3"/>
  <c r="BL489" i="3"/>
  <c r="BL491" i="3"/>
  <c r="BL492" i="3"/>
  <c r="G307" i="3"/>
  <c r="BA315" i="3"/>
  <c r="AZ315" i="3"/>
  <c r="BA333" i="3"/>
  <c r="BL346" i="3"/>
  <c r="AZ346" i="3"/>
  <c r="G349" i="3"/>
  <c r="G374" i="3"/>
  <c r="BA384" i="3"/>
  <c r="AZ384" i="3"/>
  <c r="BA395" i="3"/>
  <c r="AZ395" i="3"/>
  <c r="BA208" i="3"/>
  <c r="AZ208" i="3"/>
  <c r="BA211" i="3"/>
  <c r="AZ211" i="3"/>
  <c r="BL213" i="3"/>
  <c r="BL215" i="3"/>
  <c r="BA222" i="3"/>
  <c r="AZ222" i="3"/>
  <c r="BA224" i="3"/>
  <c r="AZ224" i="3"/>
  <c r="BA226" i="3"/>
  <c r="BA237" i="3"/>
  <c r="AZ237" i="3"/>
  <c r="BL240" i="3"/>
  <c r="AZ240" i="3"/>
  <c r="BA242" i="3"/>
  <c r="AZ242" i="3"/>
  <c r="BL245" i="3"/>
  <c r="AZ245" i="3"/>
  <c r="G247" i="3"/>
  <c r="BL255" i="3"/>
  <c r="G257" i="3"/>
  <c r="BL257" i="3"/>
  <c r="AZ257" i="3"/>
  <c r="BL258" i="3"/>
  <c r="G259" i="3"/>
  <c r="BA262" i="3"/>
  <c r="AZ262" i="3"/>
  <c r="G265" i="3"/>
  <c r="BL265" i="3"/>
  <c r="AZ265" i="3"/>
  <c r="G267" i="3"/>
  <c r="G269" i="3"/>
  <c r="BA273" i="3"/>
  <c r="AZ273" i="3"/>
  <c r="BA278" i="3"/>
  <c r="AZ278" i="3"/>
  <c r="BA280" i="3"/>
  <c r="AZ280" i="3"/>
  <c r="G283" i="3"/>
  <c r="BL283" i="3"/>
  <c r="AZ283" i="3"/>
  <c r="BL284" i="3"/>
  <c r="G285" i="3"/>
  <c r="G288" i="3"/>
  <c r="BL292" i="3"/>
  <c r="BA294" i="3"/>
  <c r="AZ294" i="3"/>
  <c r="BL295" i="3"/>
  <c r="BA298" i="3"/>
  <c r="AZ298" i="3"/>
  <c r="BL301" i="3"/>
  <c r="AZ301" i="3"/>
  <c r="BL302" i="3"/>
  <c r="BA114" i="3"/>
  <c r="BL123" i="3"/>
  <c r="AZ123" i="3"/>
  <c r="BA128" i="3"/>
  <c r="AZ128" i="3"/>
  <c r="BL134" i="3"/>
  <c r="BL137" i="3"/>
  <c r="BA145" i="3"/>
  <c r="G152" i="3"/>
  <c r="BA153" i="3"/>
  <c r="AZ201" i="3"/>
  <c r="BA160" i="3"/>
  <c r="AZ160" i="3"/>
  <c r="G162" i="3"/>
  <c r="BL162" i="3"/>
  <c r="AZ162" i="3"/>
  <c r="BL165" i="3"/>
  <c r="G166" i="3"/>
  <c r="BL170" i="3"/>
  <c r="G171" i="3"/>
  <c r="BA173" i="3"/>
  <c r="AZ173" i="3"/>
  <c r="BA174" i="3"/>
  <c r="BL179" i="3"/>
  <c r="AZ179" i="3"/>
  <c r="G180" i="3"/>
  <c r="BA181" i="3"/>
  <c r="AZ181" i="3"/>
  <c r="BA182" i="3"/>
  <c r="BL185" i="3"/>
  <c r="G186" i="3"/>
  <c r="G187" i="3"/>
  <c r="BL193" i="3"/>
  <c r="G194" i="3"/>
  <c r="BL194" i="3"/>
  <c r="AZ194" i="3"/>
  <c r="BA198" i="3"/>
  <c r="AZ198" i="3"/>
  <c r="G199" i="3"/>
  <c r="G204" i="3"/>
  <c r="G205" i="3"/>
  <c r="BL206" i="3"/>
  <c r="BA19" i="3"/>
  <c r="AZ19" i="3"/>
  <c r="G22" i="3"/>
  <c r="G24" i="3"/>
  <c r="G25" i="3"/>
  <c r="G27" i="3"/>
  <c r="BA27" i="3"/>
  <c r="AZ27" i="3"/>
  <c r="G30" i="3"/>
  <c r="BL30" i="3"/>
  <c r="BL31" i="3"/>
  <c r="AZ31" i="3"/>
  <c r="G35" i="3"/>
  <c r="G36" i="3"/>
  <c r="G37" i="3"/>
  <c r="G40" i="3"/>
  <c r="BL40" i="3"/>
  <c r="BL41" i="3"/>
  <c r="AZ41" i="3"/>
  <c r="G45" i="3"/>
  <c r="BL45" i="3"/>
  <c r="BA48" i="3"/>
  <c r="BA49" i="3"/>
  <c r="BL64" i="3"/>
  <c r="G65" i="3"/>
  <c r="BL65" i="3"/>
  <c r="AZ65" i="3"/>
  <c r="G72" i="3"/>
  <c r="BL73" i="3"/>
  <c r="BA74" i="3"/>
  <c r="BL79" i="3"/>
  <c r="G80" i="3"/>
  <c r="G85" i="3"/>
  <c r="BL85" i="3"/>
  <c r="BA86" i="3"/>
  <c r="AZ86" i="3"/>
  <c r="G89" i="3"/>
  <c r="BA92" i="3"/>
  <c r="F40" i="69"/>
  <c r="C40" i="69"/>
  <c r="C86" i="71"/>
  <c r="D86" i="71"/>
  <c r="D87" i="71"/>
  <c r="AB25" i="71"/>
  <c r="AB28" i="71"/>
  <c r="AB26" i="71"/>
  <c r="T28" i="71"/>
  <c r="D28" i="71"/>
  <c r="U28" i="71"/>
  <c r="C27" i="71"/>
  <c r="X33" i="71"/>
  <c r="X31" i="71"/>
  <c r="X34" i="71"/>
  <c r="X36" i="71"/>
  <c r="X35" i="71"/>
  <c r="AB37" i="71"/>
  <c r="AB35" i="71"/>
  <c r="F38" i="71"/>
  <c r="F39" i="71"/>
  <c r="F40" i="71"/>
  <c r="V40" i="71"/>
  <c r="C55" i="71"/>
  <c r="D54" i="71"/>
  <c r="E59" i="71"/>
  <c r="E60" i="71"/>
  <c r="U60" i="71"/>
  <c r="C64" i="71"/>
  <c r="D63" i="71"/>
  <c r="C23" i="71"/>
  <c r="B22" i="71"/>
  <c r="B21" i="71"/>
  <c r="B20" i="71"/>
  <c r="BL177" i="3"/>
  <c r="AZ177" i="3"/>
  <c r="BL183" i="3"/>
  <c r="AZ183" i="3"/>
  <c r="BA186" i="3"/>
  <c r="AZ186" i="3"/>
  <c r="BA190" i="3"/>
  <c r="AZ190" i="3"/>
  <c r="BA197" i="3"/>
  <c r="AZ197" i="3"/>
  <c r="BL201" i="3"/>
  <c r="BL203" i="3"/>
  <c r="AZ203" i="3"/>
  <c r="BA204" i="3"/>
  <c r="AZ204" i="3"/>
  <c r="BA18" i="3"/>
  <c r="BL21" i="3"/>
  <c r="BL29" i="3"/>
  <c r="BA37" i="3"/>
  <c r="BL39" i="3"/>
  <c r="BA45" i="3"/>
  <c r="BA46" i="3"/>
  <c r="BA52" i="3"/>
  <c r="AZ52" i="3"/>
  <c r="BA53" i="3"/>
  <c r="BA54" i="3"/>
  <c r="BL57" i="3"/>
  <c r="BL62" i="3"/>
  <c r="AZ62" i="3"/>
  <c r="BL63" i="3"/>
  <c r="G67" i="3"/>
  <c r="BL68" i="3"/>
  <c r="BA69" i="3"/>
  <c r="AZ69" i="3"/>
  <c r="BA73" i="3"/>
  <c r="BL93" i="3"/>
  <c r="AB21" i="37"/>
  <c r="U21" i="37"/>
  <c r="P65" i="71"/>
  <c r="P66" i="71"/>
  <c r="C36" i="71"/>
  <c r="D35" i="71"/>
  <c r="Y35" i="71"/>
  <c r="Z35" i="71"/>
  <c r="S80" i="71"/>
  <c r="B79" i="71"/>
  <c r="B78" i="71"/>
  <c r="G143" i="3"/>
  <c r="BA146" i="3"/>
  <c r="AZ146" i="3"/>
  <c r="BA150" i="3"/>
  <c r="AZ150" i="3"/>
  <c r="G159" i="3"/>
  <c r="BL167" i="3"/>
  <c r="AZ167" i="3"/>
  <c r="G175" i="3"/>
  <c r="G176" i="3"/>
  <c r="BL178" i="3"/>
  <c r="AZ178" i="3"/>
  <c r="BA180" i="3"/>
  <c r="AZ180" i="3"/>
  <c r="BL182" i="3"/>
  <c r="G183" i="3"/>
  <c r="BA185" i="3"/>
  <c r="BL191" i="3"/>
  <c r="AZ191" i="3"/>
  <c r="G192" i="3"/>
  <c r="BA193" i="3"/>
  <c r="BA196" i="3"/>
  <c r="AZ196" i="3"/>
  <c r="G203" i="3"/>
  <c r="BA205" i="3"/>
  <c r="AZ205" i="3"/>
  <c r="G20" i="3"/>
  <c r="BL20" i="3"/>
  <c r="AZ20" i="3"/>
  <c r="BA21" i="3"/>
  <c r="AZ21" i="3"/>
  <c r="BA25" i="3"/>
  <c r="AZ25" i="3"/>
  <c r="BA26" i="3"/>
  <c r="G28" i="3"/>
  <c r="BL28" i="3"/>
  <c r="AZ28" i="3"/>
  <c r="BA29" i="3"/>
  <c r="AZ29" i="3"/>
  <c r="BA36" i="3"/>
  <c r="BL38" i="3"/>
  <c r="AZ38" i="3"/>
  <c r="BA39" i="3"/>
  <c r="BL47" i="3"/>
  <c r="AZ47" i="3"/>
  <c r="G49" i="3"/>
  <c r="BL54" i="3"/>
  <c r="BL55" i="3"/>
  <c r="AZ55" i="3"/>
  <c r="G57" i="3"/>
  <c r="G58" i="3"/>
  <c r="BA59" i="3"/>
  <c r="AZ59" i="3"/>
  <c r="G61" i="3"/>
  <c r="BL61" i="3"/>
  <c r="AZ61" i="3"/>
  <c r="G64" i="3"/>
  <c r="BA64" i="3"/>
  <c r="AZ64" i="3"/>
  <c r="BA68" i="3"/>
  <c r="BL74" i="3"/>
  <c r="G75" i="3"/>
  <c r="BL75" i="3"/>
  <c r="AZ75" i="3"/>
  <c r="BL86" i="3"/>
  <c r="BA88" i="3"/>
  <c r="AZ88" i="3"/>
  <c r="BA89" i="3"/>
  <c r="G93" i="3"/>
  <c r="BA98" i="3"/>
  <c r="W21" i="21"/>
  <c r="U21" i="33"/>
  <c r="AB21" i="33"/>
  <c r="E39" i="71"/>
  <c r="E40" i="71"/>
  <c r="U40" i="71"/>
  <c r="Y37" i="71"/>
  <c r="Z37" i="71"/>
  <c r="F66" i="71"/>
  <c r="Q67" i="71"/>
  <c r="X25" i="71"/>
  <c r="V24" i="71"/>
  <c r="E23" i="71"/>
  <c r="E22" i="71"/>
  <c r="E21" i="71"/>
  <c r="E20" i="71"/>
  <c r="E19" i="71"/>
  <c r="E18" i="71"/>
  <c r="E17" i="71"/>
  <c r="E16" i="71"/>
  <c r="G103" i="3"/>
  <c r="BA103" i="3"/>
  <c r="AZ103" i="3"/>
  <c r="BA104" i="3"/>
  <c r="BA106" i="3"/>
  <c r="BL108" i="3"/>
  <c r="AZ108" i="3"/>
  <c r="BL111" i="3"/>
  <c r="AA27" i="71"/>
  <c r="S28" i="71"/>
  <c r="C83" i="71"/>
  <c r="C79" i="71"/>
  <c r="C71" i="71"/>
  <c r="C39" i="71"/>
  <c r="Y28" i="71"/>
  <c r="Z28" i="71"/>
  <c r="Y30" i="71"/>
  <c r="Z30" i="71"/>
  <c r="X28" i="71"/>
  <c r="X32" i="71"/>
  <c r="AB38" i="71"/>
  <c r="F75" i="71"/>
  <c r="F74" i="71"/>
  <c r="BL49" i="3"/>
  <c r="BL50" i="3"/>
  <c r="AZ50" i="3"/>
  <c r="BL51" i="3"/>
  <c r="AZ51" i="3"/>
  <c r="G53" i="3"/>
  <c r="BL53" i="3"/>
  <c r="BA56" i="3"/>
  <c r="BA57" i="3"/>
  <c r="AZ57" i="3"/>
  <c r="BL58" i="3"/>
  <c r="AZ58" i="3"/>
  <c r="G60" i="3"/>
  <c r="BA60" i="3"/>
  <c r="BA63" i="3"/>
  <c r="AZ63" i="3"/>
  <c r="BA66" i="3"/>
  <c r="AZ66" i="3"/>
  <c r="BA71" i="3"/>
  <c r="AZ71" i="3"/>
  <c r="G76" i="3"/>
  <c r="BL77" i="3"/>
  <c r="AZ77" i="3"/>
  <c r="BA79" i="3"/>
  <c r="G82" i="3"/>
  <c r="G83" i="3"/>
  <c r="BA84" i="3"/>
  <c r="AZ84" i="3"/>
  <c r="BL88" i="3"/>
  <c r="G90" i="3"/>
  <c r="BL90" i="3"/>
  <c r="BL92" i="3"/>
  <c r="G101" i="3"/>
  <c r="BA101" i="3"/>
  <c r="AZ101" i="3"/>
  <c r="G108" i="3"/>
  <c r="G109" i="3"/>
  <c r="BL112" i="3"/>
  <c r="S21" i="34"/>
  <c r="B88" i="43"/>
  <c r="F35" i="71"/>
  <c r="F36" i="71"/>
  <c r="V36" i="71"/>
  <c r="AA34" i="71"/>
  <c r="BL81" i="3"/>
  <c r="BA82" i="3"/>
  <c r="AZ82" i="3"/>
  <c r="BL83" i="3"/>
  <c r="G86" i="3"/>
  <c r="G87" i="3"/>
  <c r="BA90" i="3"/>
  <c r="BL94" i="3"/>
  <c r="AZ94" i="3"/>
  <c r="BA100" i="3"/>
  <c r="AZ100" i="3"/>
  <c r="BA102" i="3"/>
  <c r="AZ102" i="3"/>
  <c r="BL105" i="3"/>
  <c r="AZ105" i="3"/>
  <c r="G107" i="3"/>
  <c r="BL107" i="3"/>
  <c r="BA111" i="3"/>
  <c r="AZ111" i="3"/>
  <c r="K13" i="1"/>
  <c r="M13" i="1" s="1"/>
  <c r="O13" i="1"/>
  <c r="P13" i="1"/>
  <c r="AB33" i="71"/>
  <c r="AA30" i="71"/>
  <c r="E35" i="71"/>
  <c r="E36" i="71"/>
  <c r="U36" i="71"/>
  <c r="F31" i="71"/>
  <c r="F32" i="71"/>
  <c r="V32" i="71"/>
  <c r="AB31" i="71"/>
  <c r="AB36" i="71"/>
  <c r="AA36" i="71"/>
  <c r="Y38" i="71"/>
  <c r="Z38" i="71"/>
  <c r="B47" i="71"/>
  <c r="B48" i="71"/>
  <c r="S48" i="71"/>
  <c r="E47" i="71"/>
  <c r="E48" i="71"/>
  <c r="U48" i="71"/>
  <c r="F9" i="1"/>
  <c r="G9" i="1" s="1"/>
  <c r="F10" i="1"/>
  <c r="G10" i="1" s="1"/>
  <c r="F8" i="1"/>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c r="BL507" i="3"/>
  <c r="AZ507" i="3"/>
  <c r="K14" i="1"/>
  <c r="M14" i="1"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c r="G476" i="3"/>
  <c r="AZ477" i="3"/>
  <c r="AZ478" i="3"/>
  <c r="BA479" i="3"/>
  <c r="AZ479" i="3"/>
  <c r="BA490" i="3"/>
  <c r="AZ490" i="3"/>
  <c r="BL312" i="3"/>
  <c r="AZ312" i="3"/>
  <c r="G313" i="3"/>
  <c r="BA316" i="3"/>
  <c r="AZ316" i="3"/>
  <c r="BA317" i="3"/>
  <c r="AZ317" i="3"/>
  <c r="BA323" i="3"/>
  <c r="AZ323" i="3"/>
  <c r="G327" i="3"/>
  <c r="BL330" i="3"/>
  <c r="AZ330" i="3"/>
  <c r="G331" i="3"/>
  <c r="BL333" i="3"/>
  <c r="AZ333" i="3"/>
  <c r="G334" i="3"/>
  <c r="G345" i="3"/>
  <c r="BL348" i="3"/>
  <c r="AZ348" i="3"/>
  <c r="BA352" i="3"/>
  <c r="AZ352" i="3"/>
  <c r="BL354" i="3"/>
  <c r="AZ354" i="3"/>
  <c r="G378" i="3"/>
  <c r="G395" i="3"/>
  <c r="G208" i="3"/>
  <c r="G211" i="3"/>
  <c r="BA213" i="3"/>
  <c r="AZ213" i="3"/>
  <c r="BA215" i="3"/>
  <c r="AZ215" i="3"/>
  <c r="G219" i="3"/>
  <c r="AZ221" i="3"/>
  <c r="AZ225" i="3"/>
  <c r="G230" i="3"/>
  <c r="BA232" i="3"/>
  <c r="AZ232" i="3"/>
  <c r="BA234" i="3"/>
  <c r="AZ234" i="3"/>
  <c r="AZ236" i="3"/>
  <c r="G248" i="3"/>
  <c r="AZ258" i="3"/>
  <c r="AZ260" i="3"/>
  <c r="BL268" i="3"/>
  <c r="AZ268" i="3"/>
  <c r="G278" i="3"/>
  <c r="BA474" i="3"/>
  <c r="AZ474" i="3"/>
  <c r="BA475" i="3"/>
  <c r="AZ475" i="3"/>
  <c r="BL481" i="3"/>
  <c r="AZ481" i="3"/>
  <c r="BL482" i="3"/>
  <c r="AZ482" i="3"/>
  <c r="G483" i="3"/>
  <c r="BL485" i="3"/>
  <c r="AZ485" i="3"/>
  <c r="BL486" i="3"/>
  <c r="AZ486" i="3"/>
  <c r="G487" i="3"/>
  <c r="BA492" i="3"/>
  <c r="AZ492" i="3"/>
  <c r="BL363" i="3"/>
  <c r="AZ363" i="3"/>
  <c r="G369" i="3"/>
  <c r="BL393" i="3"/>
  <c r="AZ393" i="3"/>
  <c r="BL396" i="3"/>
  <c r="AZ396" i="3"/>
  <c r="BL209" i="3"/>
  <c r="AZ209" i="3"/>
  <c r="AZ226" i="3"/>
  <c r="G240" i="3"/>
  <c r="G242" i="3"/>
  <c r="G245" i="3"/>
  <c r="BL246" i="3"/>
  <c r="AZ246" i="3"/>
  <c r="BL253" i="3"/>
  <c r="AZ253" i="3"/>
  <c r="BA261" i="3"/>
  <c r="AZ261" i="3"/>
  <c r="BA264" i="3"/>
  <c r="AZ264" i="3"/>
  <c r="BA266" i="3"/>
  <c r="AZ266" i="3"/>
  <c r="G272" i="3"/>
  <c r="G275" i="3"/>
  <c r="BL276" i="3"/>
  <c r="AZ276" i="3"/>
  <c r="BL279" i="3"/>
  <c r="AZ279" i="3"/>
  <c r="BL281" i="3"/>
  <c r="AZ281" i="3"/>
  <c r="BA285" i="3"/>
  <c r="AZ285" i="3"/>
  <c r="BA287" i="3"/>
  <c r="AZ287" i="3"/>
  <c r="AZ290" i="3"/>
  <c r="AZ134" i="3"/>
  <c r="AZ207" i="3"/>
  <c r="BA289" i="3"/>
  <c r="AZ289" i="3"/>
  <c r="G293" i="3"/>
  <c r="G296" i="3"/>
  <c r="BL296" i="3"/>
  <c r="AZ296" i="3"/>
  <c r="G301" i="3"/>
  <c r="G114" i="3"/>
  <c r="BL114" i="3"/>
  <c r="AZ114" i="3"/>
  <c r="BL117" i="3"/>
  <c r="AZ117" i="3"/>
  <c r="G118" i="3"/>
  <c r="BL119" i="3"/>
  <c r="AZ119" i="3"/>
  <c r="G120" i="3"/>
  <c r="G124" i="3"/>
  <c r="BL129" i="3"/>
  <c r="AZ129" i="3"/>
  <c r="BL131" i="3"/>
  <c r="AZ131" i="3"/>
  <c r="G132" i="3"/>
  <c r="G139" i="3"/>
  <c r="G142" i="3"/>
  <c r="BL142" i="3"/>
  <c r="AZ142" i="3"/>
  <c r="BL153" i="3"/>
  <c r="AZ153" i="3"/>
  <c r="BA158" i="3"/>
  <c r="AZ158" i="3"/>
  <c r="BA161" i="3"/>
  <c r="AZ161" i="3"/>
  <c r="BA172" i="3"/>
  <c r="AZ172" i="3"/>
  <c r="AZ18" i="3"/>
  <c r="BL288" i="3"/>
  <c r="AZ288" i="3"/>
  <c r="BA292" i="3"/>
  <c r="AZ292" i="3"/>
  <c r="BA295" i="3"/>
  <c r="AZ295" i="3"/>
  <c r="G298" i="3"/>
  <c r="BA299" i="3"/>
  <c r="AZ299" i="3"/>
  <c r="BA300" i="3"/>
  <c r="AZ300" i="3"/>
  <c r="BA113" i="3"/>
  <c r="AZ113" i="3"/>
  <c r="G119" i="3"/>
  <c r="G122" i="3"/>
  <c r="G131" i="3"/>
  <c r="BA136" i="3"/>
  <c r="AZ136" i="3"/>
  <c r="BA138" i="3"/>
  <c r="AZ138" i="3"/>
  <c r="BA141" i="3"/>
  <c r="AZ141" i="3"/>
  <c r="BL145" i="3"/>
  <c r="AZ145" i="3"/>
  <c r="BL147" i="3"/>
  <c r="AZ147" i="3"/>
  <c r="G148" i="3"/>
  <c r="BL151" i="3"/>
  <c r="AZ151" i="3"/>
  <c r="BA165" i="3"/>
  <c r="AZ165" i="3"/>
  <c r="G168" i="3"/>
  <c r="BA170" i="3"/>
  <c r="AZ170" i="3"/>
  <c r="BL174" i="3"/>
  <c r="AZ174" i="3"/>
  <c r="AZ185" i="3"/>
  <c r="AZ193" i="3"/>
  <c r="BL202" i="3"/>
  <c r="AZ202" i="3"/>
  <c r="AZ30" i="3"/>
  <c r="BL36" i="3"/>
  <c r="AZ36" i="3"/>
  <c r="AZ40" i="3"/>
  <c r="AZ48" i="3"/>
  <c r="AZ68" i="3"/>
  <c r="AZ73" i="3"/>
  <c r="AZ106" i="3"/>
  <c r="G200" i="3"/>
  <c r="G207" i="3"/>
  <c r="BA23" i="3"/>
  <c r="AZ23" i="3"/>
  <c r="BA24" i="3"/>
  <c r="AZ24" i="3"/>
  <c r="BL26" i="3"/>
  <c r="AZ26" i="3"/>
  <c r="BL32" i="3"/>
  <c r="AZ32" i="3"/>
  <c r="BA34" i="3"/>
  <c r="AZ34" i="3"/>
  <c r="BA35" i="3"/>
  <c r="AZ35" i="3"/>
  <c r="BL37" i="3"/>
  <c r="AZ37" i="3"/>
  <c r="BL42" i="3"/>
  <c r="AZ42" i="3"/>
  <c r="BA44" i="3"/>
  <c r="AZ44" i="3"/>
  <c r="AZ46" i="3"/>
  <c r="AZ56" i="3"/>
  <c r="AZ60" i="3"/>
  <c r="BA206" i="3"/>
  <c r="AZ206" i="3"/>
  <c r="BL22" i="3"/>
  <c r="AZ22" i="3"/>
  <c r="BL33" i="3"/>
  <c r="AZ33" i="3"/>
  <c r="BL43" i="3"/>
  <c r="AZ43" i="3"/>
  <c r="BL46" i="3"/>
  <c r="AZ54" i="3"/>
  <c r="AZ90" i="3"/>
  <c r="AZ92" i="3"/>
  <c r="BL78" i="3"/>
  <c r="BA83" i="3"/>
  <c r="AZ83" i="3"/>
  <c r="G91" i="3"/>
  <c r="BL95" i="3"/>
  <c r="BL98" i="3"/>
  <c r="AZ98" i="3"/>
  <c r="BL109" i="3"/>
  <c r="AZ109" i="3"/>
  <c r="AB21" i="21"/>
  <c r="D36" i="71"/>
  <c r="T36" i="71"/>
  <c r="AZ78" i="3"/>
  <c r="AZ95" i="3"/>
  <c r="G77" i="3"/>
  <c r="BA81" i="3"/>
  <c r="AZ81" i="3"/>
  <c r="BA85" i="3"/>
  <c r="AZ85" i="3"/>
  <c r="BL89" i="3"/>
  <c r="AZ89" i="3"/>
  <c r="G94" i="3"/>
  <c r="G97" i="3"/>
  <c r="G100" i="3"/>
  <c r="BA107" i="3"/>
  <c r="AZ107" i="3"/>
  <c r="BA112" i="3"/>
  <c r="AZ112" i="3"/>
  <c r="AC21" i="34"/>
  <c r="E27" i="71"/>
  <c r="E26" i="71"/>
  <c r="V28" i="71"/>
  <c r="BA76" i="3"/>
  <c r="AZ76" i="3"/>
  <c r="BL80" i="3"/>
  <c r="AZ80" i="3"/>
  <c r="BL87" i="3"/>
  <c r="AZ87" i="3"/>
  <c r="BA93" i="3"/>
  <c r="AZ93" i="3"/>
  <c r="BA96" i="3"/>
  <c r="AZ96" i="3"/>
  <c r="BA99" i="3"/>
  <c r="AZ99" i="3"/>
  <c r="BL104" i="3"/>
  <c r="AZ104" i="3"/>
  <c r="D64" i="71"/>
  <c r="T64" i="71"/>
  <c r="U18" i="35"/>
  <c r="Y32" i="71"/>
  <c r="Z32" i="71"/>
  <c r="Y33" i="71"/>
  <c r="Z33" i="71"/>
  <c r="Y22" i="71"/>
  <c r="Z22" i="71"/>
  <c r="X24" i="71"/>
  <c r="AA22" i="71"/>
  <c r="X21" i="71"/>
  <c r="X17" i="71"/>
  <c r="AA17" i="71"/>
  <c r="Y11" i="71"/>
  <c r="Z11" i="71"/>
  <c r="S21" i="2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s="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I24" i="43"/>
  <c r="C24" i="43" s="1"/>
  <c r="S22" i="31"/>
  <c r="R22" i="31"/>
  <c r="D74"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G3" i="43"/>
  <c r="J26" i="43" s="1"/>
  <c r="O6" i="1"/>
  <c r="T13" i="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D72" i="43"/>
  <c r="D76" i="43"/>
  <c r="D80" i="43"/>
  <c r="D61" i="43"/>
  <c r="P61" i="15"/>
  <c r="C21" i="69"/>
  <c r="J84" i="43"/>
  <c r="J85" i="43"/>
  <c r="J86" i="43"/>
  <c r="J87" i="43"/>
  <c r="J88" i="43"/>
  <c r="J89" i="43"/>
  <c r="J90" i="43"/>
  <c r="D83" i="43"/>
  <c r="E83" i="43"/>
  <c r="B81" i="43"/>
  <c r="D66" i="43"/>
  <c r="D64" i="43"/>
  <c r="D62" i="43"/>
  <c r="D67" i="43"/>
  <c r="D65" i="43"/>
  <c r="D63" i="43"/>
  <c r="D69" i="43"/>
  <c r="D73" i="43"/>
  <c r="D75" i="43"/>
  <c r="D79" i="43"/>
  <c r="D22" i="67"/>
  <c r="P11" i="1"/>
  <c r="D9" i="11"/>
  <c r="C9" i="11" s="1"/>
  <c r="D19" i="12"/>
  <c r="C19" i="12" s="1"/>
  <c r="O9" i="1"/>
  <c r="P9" i="1"/>
  <c r="O12" i="1"/>
  <c r="P12" i="1"/>
  <c r="O8" i="1"/>
  <c r="P8" i="1"/>
  <c r="H90" i="43"/>
  <c r="I18" i="43"/>
  <c r="E17" i="43"/>
  <c r="C17" i="43"/>
  <c r="H86" i="43"/>
  <c r="H84" i="43"/>
  <c r="T35" i="4"/>
  <c r="A19" i="51"/>
  <c r="B14" i="72"/>
  <c r="H110" i="9"/>
  <c r="D18" i="53" s="1"/>
  <c r="B35" i="72" s="1"/>
  <c r="Y8" i="71"/>
  <c r="Z8" i="71"/>
  <c r="X8" i="71"/>
  <c r="AB8" i="71"/>
  <c r="AA8" i="71"/>
  <c r="D17" i="53"/>
  <c r="B36" i="72"/>
  <c r="D124" i="9"/>
  <c r="H77" i="43"/>
  <c r="E44" i="43"/>
  <c r="C44" i="43"/>
  <c r="AC21" i="39"/>
  <c r="AB23" i="39"/>
  <c r="AB15" i="39"/>
  <c r="AC15" i="39"/>
  <c r="S25" i="39"/>
  <c r="W39" i="39"/>
  <c r="W42" i="39"/>
  <c r="W14" i="39"/>
  <c r="S29" i="39"/>
  <c r="D23" i="67"/>
  <c r="G27" i="12"/>
  <c r="D9" i="53"/>
  <c r="B25" i="72"/>
  <c r="B24" i="72"/>
  <c r="K120" i="9"/>
  <c r="A18" i="62"/>
  <c r="B64" i="72"/>
  <c r="Y16" i="71"/>
  <c r="Z16" i="71"/>
  <c r="Y15" i="71"/>
  <c r="Z15" i="71"/>
  <c r="AA16" i="71"/>
  <c r="AB3" i="71"/>
  <c r="X16" i="71"/>
  <c r="AB16" i="71"/>
  <c r="Y3" i="71"/>
  <c r="Z3" i="71"/>
  <c r="F16" i="71"/>
  <c r="F15" i="71"/>
  <c r="F14" i="71"/>
  <c r="F13" i="71"/>
  <c r="F12" i="71"/>
  <c r="F11" i="71"/>
  <c r="F10" i="71"/>
  <c r="F9" i="71"/>
  <c r="F8" i="71"/>
  <c r="F7" i="71"/>
  <c r="F6" i="71"/>
  <c r="F5" i="71"/>
  <c r="AF3" i="71"/>
  <c r="E26" i="43"/>
  <c r="F48" i="9"/>
  <c r="O52" i="9"/>
  <c r="F30" i="68"/>
  <c r="F52" i="9"/>
  <c r="F32" i="15"/>
  <c r="F60" i="15"/>
  <c r="F54" i="9"/>
  <c r="F30" i="11"/>
  <c r="M18" i="67"/>
  <c r="M18" i="15"/>
  <c r="F28" i="67"/>
  <c r="F32" i="67"/>
  <c r="F60" i="67"/>
  <c r="F28" i="15"/>
  <c r="F31" i="12"/>
  <c r="F30" i="69"/>
  <c r="D68" i="9"/>
  <c r="P6" i="1"/>
  <c r="G30" i="6"/>
  <c r="G31" i="6"/>
  <c r="C70" i="71"/>
  <c r="D70" i="71"/>
  <c r="D71" i="71"/>
  <c r="C22" i="71"/>
  <c r="D23" i="71"/>
  <c r="AZ368" i="3"/>
  <c r="AZ353" i="3"/>
  <c r="C52" i="71"/>
  <c r="D51" i="71"/>
  <c r="AZ282" i="3"/>
  <c r="AC44" i="39"/>
  <c r="W44" i="39"/>
  <c r="AC24" i="36"/>
  <c r="W24" i="36"/>
  <c r="W25" i="35"/>
  <c r="AC25" i="35"/>
  <c r="W13" i="39"/>
  <c r="AC13" i="39"/>
  <c r="AZ79" i="3"/>
  <c r="D79" i="71"/>
  <c r="C78" i="71"/>
  <c r="D78" i="71"/>
  <c r="AZ39" i="3"/>
  <c r="AZ45" i="3"/>
  <c r="C56" i="71"/>
  <c r="D55" i="71"/>
  <c r="AZ49" i="3"/>
  <c r="AZ460" i="3"/>
  <c r="AZ415" i="3"/>
  <c r="D44" i="71"/>
  <c r="T44" i="71"/>
  <c r="AZ121" i="3"/>
  <c r="AZ274" i="3"/>
  <c r="AZ230" i="3"/>
  <c r="AZ429" i="3"/>
  <c r="AZ137" i="3"/>
  <c r="AZ297" i="3"/>
  <c r="AZ241" i="3"/>
  <c r="AZ210" i="3"/>
  <c r="AA25" i="37"/>
  <c r="S25" i="37"/>
  <c r="D75" i="71"/>
  <c r="C74" i="71"/>
  <c r="D74" i="71"/>
  <c r="U44" i="39"/>
  <c r="AB44" i="39"/>
  <c r="AB26" i="33"/>
  <c r="U26" i="33"/>
  <c r="AB12" i="36"/>
  <c r="U12" i="36"/>
  <c r="AB34" i="36"/>
  <c r="U34" i="36"/>
  <c r="AZ570" i="3"/>
  <c r="D83" i="71"/>
  <c r="C82" i="71"/>
  <c r="D82" i="71"/>
  <c r="AZ53" i="3"/>
  <c r="C26" i="71"/>
  <c r="D26" i="71"/>
  <c r="D27" i="71"/>
  <c r="AZ302" i="3"/>
  <c r="AZ284" i="3"/>
  <c r="AZ491" i="3"/>
  <c r="W12" i="35"/>
  <c r="AC12" i="35"/>
  <c r="S24" i="36"/>
  <c r="AA24" i="36"/>
  <c r="S26" i="33"/>
  <c r="AA26" i="33"/>
  <c r="AA12" i="36"/>
  <c r="S12" i="36"/>
  <c r="AB39" i="37"/>
  <c r="U39" i="37"/>
  <c r="F29" i="6"/>
  <c r="E29" i="6"/>
  <c r="K15" i="1"/>
  <c r="AA13" i="39"/>
  <c r="S13" i="39"/>
  <c r="C40" i="71"/>
  <c r="D39" i="71"/>
  <c r="B19" i="71"/>
  <c r="B18" i="71"/>
  <c r="B17" i="71"/>
  <c r="B16" i="71"/>
  <c r="S20" i="71"/>
  <c r="AZ74" i="3"/>
  <c r="AZ182" i="3"/>
  <c r="AZ271" i="3"/>
  <c r="AZ130" i="3"/>
  <c r="AZ244" i="3"/>
  <c r="AZ239" i="3"/>
  <c r="AZ397" i="3"/>
  <c r="D67" i="71"/>
  <c r="C66" i="71"/>
  <c r="O67" i="71"/>
  <c r="AB24" i="36"/>
  <c r="U24" i="36"/>
  <c r="AC26" i="33"/>
  <c r="W26" i="33"/>
  <c r="W12" i="36"/>
  <c r="AC12" i="36"/>
  <c r="AC39" i="37"/>
  <c r="W39" i="37"/>
  <c r="AB36" i="35"/>
  <c r="U36" i="35"/>
  <c r="AB25" i="35"/>
  <c r="U25" i="35"/>
  <c r="AZ576" i="3"/>
  <c r="U13" i="39"/>
  <c r="AB13" i="39"/>
  <c r="AA26" i="37"/>
  <c r="S26" i="37"/>
  <c r="W40" i="40"/>
  <c r="AC40" i="40"/>
  <c r="AC12" i="21"/>
  <c r="W12" i="21"/>
  <c r="AB12" i="21"/>
  <c r="U12" i="21"/>
  <c r="AA27" i="34"/>
  <c r="S27" i="34"/>
  <c r="AC26" i="37"/>
  <c r="W26" i="37"/>
  <c r="BL5" i="3"/>
  <c r="B15" i="71"/>
  <c r="B14" i="71"/>
  <c r="B13" i="71"/>
  <c r="B12" i="71"/>
  <c r="S16" i="71"/>
  <c r="AA9" i="36"/>
  <c r="S9" i="36"/>
  <c r="AA34" i="35"/>
  <c r="S34" i="35"/>
  <c r="E15" i="71"/>
  <c r="E14" i="71"/>
  <c r="E13" i="71"/>
  <c r="E12" i="71"/>
  <c r="V16" i="71"/>
  <c r="S40" i="40"/>
  <c r="AA40" i="40"/>
  <c r="AC34" i="35"/>
  <c r="W34" i="35"/>
  <c r="AA26" i="35"/>
  <c r="S26" i="35"/>
  <c r="AC26" i="35"/>
  <c r="W26" i="35"/>
  <c r="AB26" i="35"/>
  <c r="U26" i="35"/>
  <c r="E72" i="43"/>
  <c r="B70" i="43"/>
  <c r="C7" i="43"/>
  <c r="D10" i="52"/>
  <c r="D125" i="9"/>
  <c r="D11" i="52"/>
  <c r="B7" i="74"/>
  <c r="F59" i="67"/>
  <c r="M17" i="67"/>
  <c r="M17" i="15"/>
  <c r="F59" i="15"/>
  <c r="AE11" i="1"/>
  <c r="AE9" i="1"/>
  <c r="AE8" i="1"/>
  <c r="AE12" i="1"/>
  <c r="AE10" i="1"/>
  <c r="AE7" i="1"/>
  <c r="C48" i="11"/>
  <c r="C30" i="11"/>
  <c r="F48" i="68"/>
  <c r="F48" i="69"/>
  <c r="O65" i="71"/>
  <c r="D66" i="71"/>
  <c r="O66" i="71"/>
  <c r="T40" i="71"/>
  <c r="D40" i="71"/>
  <c r="T52" i="71"/>
  <c r="D52" i="71"/>
  <c r="D22" i="71"/>
  <c r="C21" i="71"/>
  <c r="E30" i="6"/>
  <c r="D56" i="71"/>
  <c r="T56" i="71"/>
  <c r="F30" i="6"/>
  <c r="B11" i="71"/>
  <c r="B10" i="71"/>
  <c r="B9" i="71"/>
  <c r="B8" i="71"/>
  <c r="B7" i="71"/>
  <c r="B6" i="71"/>
  <c r="B5" i="71"/>
  <c r="S12" i="71"/>
  <c r="E11" i="71"/>
  <c r="E10" i="71"/>
  <c r="E9" i="71"/>
  <c r="E8" i="71"/>
  <c r="E7" i="71"/>
  <c r="E6" i="71"/>
  <c r="E5" i="71"/>
  <c r="V12" i="71"/>
  <c r="AG11" i="1"/>
  <c r="AG9" i="1"/>
  <c r="AG10" i="1"/>
  <c r="AG8" i="1"/>
  <c r="AG12" i="1"/>
  <c r="AG7" i="1"/>
  <c r="AG6" i="1"/>
  <c r="S8" i="1"/>
  <c r="AQ8" i="1" s="1"/>
  <c r="E8" i="70"/>
  <c r="O14" i="1"/>
  <c r="L18" i="9"/>
  <c r="M18" i="9"/>
  <c r="B118" i="9" s="1"/>
  <c r="D21" i="71"/>
  <c r="C20" i="71"/>
  <c r="S11" i="1"/>
  <c r="AQ11" i="1" s="1"/>
  <c r="E11" i="70"/>
  <c r="S9" i="1"/>
  <c r="T9" i="1" s="1"/>
  <c r="S7" i="1"/>
  <c r="AR7" i="1" s="1"/>
  <c r="E7" i="70"/>
  <c r="S10" i="1"/>
  <c r="AQ10" i="1" s="1"/>
  <c r="E10" i="70"/>
  <c r="S12" i="1"/>
  <c r="AQ12" i="1" s="1"/>
  <c r="P14" i="1"/>
  <c r="R9" i="1"/>
  <c r="M19" i="9"/>
  <c r="C118" i="9" s="1"/>
  <c r="C14" i="74" s="1"/>
  <c r="D20" i="71"/>
  <c r="U20" i="71"/>
  <c r="T20" i="71"/>
  <c r="C19" i="71"/>
  <c r="R10" i="1"/>
  <c r="E12" i="70"/>
  <c r="E9" i="70"/>
  <c r="AR9" i="1"/>
  <c r="AQ9" i="1"/>
  <c r="T7" i="1"/>
  <c r="R11" i="1"/>
  <c r="R8" i="1"/>
  <c r="R12" i="1"/>
  <c r="R7" i="1"/>
  <c r="L19" i="9"/>
  <c r="C18" i="71"/>
  <c r="D19" i="71"/>
  <c r="C19" i="69"/>
  <c r="C17" i="71"/>
  <c r="D18" i="71"/>
  <c r="I91" i="9"/>
  <c r="C89" i="9"/>
  <c r="C87" i="9"/>
  <c r="C16" i="71"/>
  <c r="D17" i="71"/>
  <c r="T16" i="71"/>
  <c r="D16" i="71"/>
  <c r="U16" i="71"/>
  <c r="C15" i="71"/>
  <c r="C14" i="71"/>
  <c r="D15" i="71"/>
  <c r="D14" i="71"/>
  <c r="C13" i="71"/>
  <c r="B2" i="21"/>
  <c r="C12" i="71"/>
  <c r="D13" i="71"/>
  <c r="B2" i="33"/>
  <c r="D12" i="71"/>
  <c r="U12" i="71"/>
  <c r="C11" i="71"/>
  <c r="T12" i="71"/>
  <c r="B2" i="36"/>
  <c r="B3" i="36" s="1"/>
  <c r="B2" i="35"/>
  <c r="B2" i="37"/>
  <c r="B2" i="34"/>
  <c r="C10" i="71"/>
  <c r="D11" i="71"/>
  <c r="D10" i="71"/>
  <c r="C9" i="71"/>
  <c r="D9" i="71"/>
  <c r="C8" i="71"/>
  <c r="C7" i="71"/>
  <c r="D8" i="71"/>
  <c r="D7" i="71"/>
  <c r="C6" i="71"/>
  <c r="D6" i="71"/>
  <c r="C5" i="71"/>
  <c r="D5" i="71"/>
  <c r="D59" i="9"/>
  <c r="M55" i="9"/>
  <c r="F37" i="67"/>
  <c r="F40" i="15"/>
  <c r="C76" i="67"/>
  <c r="D4" i="73"/>
  <c r="M23" i="67"/>
  <c r="AO7" i="1"/>
  <c r="F16" i="15"/>
  <c r="F35" i="67"/>
  <c r="F9" i="15"/>
  <c r="M21" i="67"/>
  <c r="M8" i="82"/>
  <c r="E8" i="76"/>
  <c r="F6" i="67"/>
  <c r="B11" i="76"/>
  <c r="L48" i="67"/>
  <c r="F13" i="82"/>
  <c r="L48" i="82"/>
  <c r="D6" i="73"/>
  <c r="F43" i="15"/>
  <c r="F4" i="73"/>
  <c r="AO13" i="1"/>
  <c r="L47" i="15"/>
  <c r="C36" i="81"/>
  <c r="M27" i="67"/>
  <c r="M27" i="82"/>
  <c r="M9" i="82"/>
  <c r="AO11" i="1"/>
  <c r="M22" i="15"/>
  <c r="D2" i="37"/>
  <c r="M23" i="15"/>
  <c r="J15" i="15"/>
  <c r="F20" i="31"/>
  <c r="F7" i="67"/>
  <c r="D2" i="35"/>
  <c r="M26" i="82"/>
  <c r="F16" i="67"/>
  <c r="C76" i="82"/>
  <c r="F38" i="67"/>
  <c r="M22" i="67"/>
  <c r="C34" i="69"/>
  <c r="F38" i="15"/>
  <c r="M24" i="82"/>
  <c r="M29" i="15"/>
  <c r="F13" i="15"/>
  <c r="D9" i="81"/>
  <c r="D10" i="69"/>
  <c r="M29" i="67"/>
  <c r="F26" i="15"/>
  <c r="D2" i="36"/>
  <c r="M28" i="15"/>
  <c r="F37" i="15"/>
  <c r="F40" i="67"/>
  <c r="M9" i="15"/>
  <c r="F37" i="82"/>
  <c r="F8" i="82"/>
  <c r="B12" i="76"/>
  <c r="F3" i="73"/>
  <c r="L48" i="15"/>
  <c r="D2" i="21"/>
  <c r="J15" i="82"/>
  <c r="M23" i="82"/>
  <c r="M6" i="15"/>
  <c r="D2" i="33"/>
  <c r="E9" i="76"/>
  <c r="E12" i="76"/>
  <c r="F7" i="73"/>
  <c r="M28" i="67"/>
  <c r="D9" i="69"/>
  <c r="F42" i="67"/>
  <c r="M26" i="15"/>
  <c r="D3" i="73"/>
  <c r="M26" i="67"/>
  <c r="M24" i="15"/>
  <c r="D5" i="73"/>
  <c r="E10" i="76"/>
  <c r="B8" i="76"/>
  <c r="M6" i="67"/>
  <c r="F38" i="82"/>
  <c r="F8" i="15"/>
  <c r="E7" i="76"/>
  <c r="F6" i="15"/>
  <c r="F27" i="69"/>
  <c r="E2" i="69"/>
  <c r="F8" i="67"/>
  <c r="C76" i="15"/>
  <c r="F13" i="67"/>
  <c r="M28" i="82"/>
  <c r="F6" i="73"/>
  <c r="F43" i="67"/>
  <c r="B9" i="76"/>
  <c r="F42" i="15"/>
  <c r="L47" i="82"/>
  <c r="M22" i="82"/>
  <c r="F6" i="82"/>
  <c r="C36" i="69"/>
  <c r="AO10" i="1"/>
  <c r="F26" i="67"/>
  <c r="E2" i="81"/>
  <c r="J15" i="67"/>
  <c r="M27" i="15"/>
  <c r="F41" i="67"/>
  <c r="F9" i="82"/>
  <c r="B13" i="76"/>
  <c r="L47" i="67"/>
  <c r="F5" i="73"/>
  <c r="F27" i="81"/>
  <c r="E13" i="76"/>
  <c r="F26" i="82"/>
  <c r="AO8" i="1"/>
  <c r="AO12" i="1"/>
  <c r="B7" i="76"/>
  <c r="M8" i="67"/>
  <c r="F36" i="15"/>
  <c r="E11" i="76"/>
  <c r="F40" i="82"/>
  <c r="B10" i="76"/>
  <c r="F16" i="82"/>
  <c r="D2" i="34"/>
  <c r="D7" i="73"/>
  <c r="M9" i="67"/>
  <c r="AO9" i="1"/>
  <c r="E2" i="68"/>
  <c r="M24" i="67"/>
  <c r="M6" i="82"/>
  <c r="F9" i="67"/>
  <c r="D9" i="68"/>
  <c r="F36" i="82"/>
  <c r="F42" i="82"/>
  <c r="F36" i="67"/>
  <c r="F7" i="15"/>
  <c r="M8" i="15"/>
  <c r="J56" i="43" l="1"/>
  <c r="D54" i="43"/>
  <c r="E50" i="43" s="1"/>
  <c r="B48" i="43" s="1"/>
  <c r="E61" i="43"/>
  <c r="B59" i="43" s="1"/>
  <c r="C28" i="43" s="1"/>
  <c r="B75" i="80"/>
  <c r="B54" i="43"/>
  <c r="B54" i="80"/>
  <c r="B65" i="43"/>
  <c r="B97" i="80"/>
  <c r="B75" i="43"/>
  <c r="B69" i="80"/>
  <c r="B79" i="80"/>
  <c r="B58" i="80"/>
  <c r="B99" i="43"/>
  <c r="B56" i="80"/>
  <c r="B67" i="80"/>
  <c r="B76" i="80"/>
  <c r="B94" i="80"/>
  <c r="B94" i="43"/>
  <c r="B62" i="80"/>
  <c r="B51" i="80"/>
  <c r="C19" i="39"/>
  <c r="B61" i="80"/>
  <c r="C9" i="68"/>
  <c r="E10" i="43"/>
  <c r="E8" i="43"/>
  <c r="E9" i="43"/>
  <c r="E11" i="43"/>
  <c r="H80" i="43"/>
  <c r="H72" i="43"/>
  <c r="H78" i="43"/>
  <c r="H74" i="43"/>
  <c r="H79" i="43"/>
  <c r="H73" i="43"/>
  <c r="N3" i="43"/>
  <c r="C27" i="80"/>
  <c r="X7" i="80"/>
  <c r="C21" i="80"/>
  <c r="F42" i="80"/>
  <c r="M12" i="80"/>
  <c r="M21" i="80"/>
  <c r="S6" i="80"/>
  <c r="S4" i="80"/>
  <c r="K21" i="80"/>
  <c r="J21" i="80"/>
  <c r="J21" i="43"/>
  <c r="M21" i="43"/>
  <c r="C21" i="43"/>
  <c r="M8" i="43"/>
  <c r="N5" i="43"/>
  <c r="N1" i="43"/>
  <c r="F39" i="43"/>
  <c r="S3" i="43"/>
  <c r="S2" i="43"/>
  <c r="H53" i="80"/>
  <c r="I21" i="80"/>
  <c r="F41" i="80"/>
  <c r="S5" i="80"/>
  <c r="E21" i="80"/>
  <c r="N6" i="80"/>
  <c r="H116" i="80"/>
  <c r="H94" i="80"/>
  <c r="H88" i="43"/>
  <c r="H75" i="43"/>
  <c r="M1" i="43"/>
  <c r="M11" i="80"/>
  <c r="M5" i="80"/>
  <c r="N12" i="80"/>
  <c r="M10" i="80"/>
  <c r="H83" i="80"/>
  <c r="N2" i="80"/>
  <c r="H89" i="43"/>
  <c r="N8" i="80"/>
  <c r="M3" i="80"/>
  <c r="N10" i="80"/>
  <c r="M8" i="80"/>
  <c r="H96" i="80"/>
  <c r="N4" i="80"/>
  <c r="M9" i="80"/>
  <c r="H99" i="43"/>
  <c r="N9" i="43"/>
  <c r="N7" i="43"/>
  <c r="N11" i="43"/>
  <c r="M5" i="43"/>
  <c r="M3" i="43"/>
  <c r="M6" i="80"/>
  <c r="N9" i="80"/>
  <c r="H87" i="43"/>
  <c r="H94" i="43"/>
  <c r="M12" i="43"/>
  <c r="M9" i="43"/>
  <c r="M7" i="43"/>
  <c r="N10" i="43"/>
  <c r="N4" i="43"/>
  <c r="M7" i="80"/>
  <c r="N7" i="80"/>
  <c r="M1" i="80"/>
  <c r="C6" i="80" s="1"/>
  <c r="H101" i="43"/>
  <c r="H95" i="43"/>
  <c r="H55" i="80"/>
  <c r="H54" i="80"/>
  <c r="H56" i="80"/>
  <c r="H88" i="80"/>
  <c r="H86" i="80"/>
  <c r="H97" i="80"/>
  <c r="H99" i="80"/>
  <c r="H80" i="80"/>
  <c r="H74" i="80"/>
  <c r="F40" i="80"/>
  <c r="H93" i="43"/>
  <c r="H97" i="43"/>
  <c r="H52" i="80"/>
  <c r="H57" i="80"/>
  <c r="H76" i="80"/>
  <c r="H89" i="80"/>
  <c r="H100" i="80"/>
  <c r="H98" i="80"/>
  <c r="H78" i="80"/>
  <c r="S3" i="80"/>
  <c r="F61" i="80"/>
  <c r="F37" i="80"/>
  <c r="H96" i="43"/>
  <c r="H98" i="43"/>
  <c r="H58" i="80"/>
  <c r="H90" i="80"/>
  <c r="H77" i="80"/>
  <c r="H21" i="80"/>
  <c r="S2" i="80"/>
  <c r="H93" i="80"/>
  <c r="H101" i="80"/>
  <c r="H75" i="80"/>
  <c r="O21" i="80"/>
  <c r="H85" i="80"/>
  <c r="T11" i="1"/>
  <c r="T8" i="1"/>
  <c r="AR12" i="1"/>
  <c r="AR8" i="1"/>
  <c r="B3" i="35"/>
  <c r="AR11" i="1"/>
  <c r="M20" i="82"/>
  <c r="F34" i="82"/>
  <c r="F62" i="82" s="1"/>
  <c r="C40" i="68"/>
  <c r="C21" i="68"/>
  <c r="G41" i="81"/>
  <c r="B24" i="1"/>
  <c r="G22" i="81"/>
  <c r="G41" i="11"/>
  <c r="G22" i="68"/>
  <c r="G25" i="12"/>
  <c r="G26" i="12"/>
  <c r="G22" i="11"/>
  <c r="G41" i="68"/>
  <c r="E1" i="73"/>
  <c r="Z7" i="43"/>
  <c r="B116" i="43"/>
  <c r="I119" i="43" s="1"/>
  <c r="J119" i="43" s="1"/>
  <c r="K119" i="43" s="1"/>
  <c r="L119" i="43" s="1"/>
  <c r="M119" i="43" s="1"/>
  <c r="F26" i="80"/>
  <c r="AR10" i="1"/>
  <c r="T10" i="1"/>
  <c r="O16" i="1"/>
  <c r="H26" i="80"/>
  <c r="B122" i="43"/>
  <c r="C122" i="43" s="1"/>
  <c r="D121" i="43"/>
  <c r="E121" i="43" s="1"/>
  <c r="F121" i="43" s="1"/>
  <c r="I121" i="43"/>
  <c r="J121" i="43" s="1"/>
  <c r="K121" i="43" s="1"/>
  <c r="L121" i="43" s="1"/>
  <c r="M121" i="43" s="1"/>
  <c r="N94" i="46"/>
  <c r="N370" i="46"/>
  <c r="F26" i="43"/>
  <c r="AQ13" i="1"/>
  <c r="E26" i="80"/>
  <c r="BC5" i="3"/>
  <c r="E12" i="6" s="1"/>
  <c r="AQ7" i="1"/>
  <c r="T12" i="1"/>
  <c r="P16" i="1"/>
  <c r="C11" i="12" s="1"/>
  <c r="C12" i="12" s="1"/>
  <c r="D120" i="43"/>
  <c r="E120" i="43" s="1"/>
  <c r="F120" i="43" s="1"/>
  <c r="G120" i="43" s="1"/>
  <c r="H120" i="43" s="1"/>
  <c r="B119" i="43"/>
  <c r="C119" i="43" s="1"/>
  <c r="C7" i="74"/>
  <c r="G26" i="43"/>
  <c r="H26" i="43"/>
  <c r="B118" i="43"/>
  <c r="C118" i="43" s="1"/>
  <c r="AZ5" i="3"/>
  <c r="E3" i="6" s="1"/>
  <c r="D33" i="80"/>
  <c r="D1" i="80" s="1"/>
  <c r="E19" i="6"/>
  <c r="BA5" i="3"/>
  <c r="E27" i="6" s="1"/>
  <c r="H5" i="3"/>
  <c r="L27" i="6"/>
  <c r="E8" i="6"/>
  <c r="E13" i="6"/>
  <c r="E14" i="6"/>
  <c r="E10" i="6"/>
  <c r="E15" i="6"/>
  <c r="G5" i="3"/>
  <c r="B3" i="3" s="1"/>
  <c r="G26" i="80"/>
  <c r="J26" i="80"/>
  <c r="B116" i="80"/>
  <c r="D118" i="80" s="1"/>
  <c r="E118" i="80" s="1"/>
  <c r="F118" i="80" s="1"/>
  <c r="G118" i="80" s="1"/>
  <c r="H118" i="80" s="1"/>
  <c r="G8" i="1"/>
  <c r="G12" i="1"/>
  <c r="G6" i="1"/>
  <c r="I24" i="80"/>
  <c r="C24" i="80" s="1"/>
  <c r="B2" i="1"/>
  <c r="C5" i="78"/>
  <c r="D5" i="78" s="1"/>
  <c r="C53" i="10"/>
  <c r="B11" i="70"/>
  <c r="B10" i="70"/>
  <c r="B8" i="70"/>
  <c r="B9" i="70"/>
  <c r="B12" i="70"/>
  <c r="C38" i="69"/>
  <c r="C33" i="69"/>
  <c r="C35" i="69"/>
  <c r="C6" i="15"/>
  <c r="C6" i="67"/>
  <c r="F50" i="67"/>
  <c r="M7" i="67"/>
  <c r="J6" i="67" s="1"/>
  <c r="J20" i="67"/>
  <c r="L58" i="67"/>
  <c r="F51" i="67"/>
  <c r="B20" i="31"/>
  <c r="B21" i="31" s="1"/>
  <c r="C47" i="69"/>
  <c r="D45" i="69" s="1"/>
  <c r="F45" i="69"/>
  <c r="C29" i="69"/>
  <c r="D27" i="69" s="1"/>
  <c r="M7" i="15"/>
  <c r="J6" i="15" s="1"/>
  <c r="F50" i="15"/>
  <c r="F68" i="15"/>
  <c r="C27" i="67"/>
  <c r="I1" i="73"/>
  <c r="B39" i="1" s="1"/>
  <c r="K1" i="73"/>
  <c r="B7" i="70"/>
  <c r="F63" i="67"/>
  <c r="C62" i="67" s="1"/>
  <c r="C34" i="67"/>
  <c r="C10" i="69"/>
  <c r="F71" i="67"/>
  <c r="F65" i="15"/>
  <c r="F66" i="82"/>
  <c r="F66" i="15"/>
  <c r="J57" i="15"/>
  <c r="J55" i="15" s="1"/>
  <c r="J58" i="15" s="1"/>
  <c r="Q50" i="15" s="1"/>
  <c r="J53" i="15"/>
  <c r="I54" i="15"/>
  <c r="C9" i="69"/>
  <c r="D19" i="69"/>
  <c r="D37" i="69" s="1"/>
  <c r="C37" i="69" s="1"/>
  <c r="F51" i="15"/>
  <c r="F64" i="15"/>
  <c r="B13" i="70"/>
  <c r="F68" i="82"/>
  <c r="F51" i="82"/>
  <c r="F65" i="82"/>
  <c r="C9" i="81"/>
  <c r="F64" i="82"/>
  <c r="Q71" i="82"/>
  <c r="C27" i="82"/>
  <c r="F69" i="67"/>
  <c r="L59" i="15"/>
  <c r="N59" i="15"/>
  <c r="M59" i="15"/>
  <c r="L58" i="15"/>
  <c r="F64" i="67"/>
  <c r="Q71" i="67"/>
  <c r="F65" i="67"/>
  <c r="Q71" i="15"/>
  <c r="F66" i="67"/>
  <c r="F71" i="15"/>
  <c r="F68" i="67"/>
  <c r="C27" i="15"/>
  <c r="F45" i="81"/>
  <c r="C29" i="81"/>
  <c r="D27" i="81" s="1"/>
  <c r="C47" i="81"/>
  <c r="D45" i="81" s="1"/>
  <c r="L58" i="82"/>
  <c r="B5" i="49"/>
  <c r="D5" i="49" s="1"/>
  <c r="B9" i="49"/>
  <c r="D9" i="49" s="1"/>
  <c r="B13" i="49"/>
  <c r="D13" i="49" s="1"/>
  <c r="B6" i="49"/>
  <c r="D6" i="49" s="1"/>
  <c r="B10" i="49"/>
  <c r="D10" i="49" s="1"/>
  <c r="B14" i="49"/>
  <c r="D14" i="49" s="1"/>
  <c r="F5" i="49"/>
  <c r="H5" i="49" s="1"/>
  <c r="F7" i="49"/>
  <c r="H7" i="49" s="1"/>
  <c r="F9" i="49"/>
  <c r="H9" i="49" s="1"/>
  <c r="F11" i="49"/>
  <c r="H11" i="49" s="1"/>
  <c r="F13" i="49"/>
  <c r="H13" i="49" s="1"/>
  <c r="F15" i="49"/>
  <c r="H15" i="49" s="1"/>
  <c r="B7" i="49"/>
  <c r="D7" i="49" s="1"/>
  <c r="B11" i="49"/>
  <c r="B4" i="49"/>
  <c r="D4" i="49" s="1"/>
  <c r="B8" i="49"/>
  <c r="B12" i="49"/>
  <c r="D12" i="49" s="1"/>
  <c r="F4" i="49"/>
  <c r="H4" i="49" s="1"/>
  <c r="F6" i="49"/>
  <c r="H6" i="49" s="1"/>
  <c r="F8" i="49"/>
  <c r="H8" i="49" s="1"/>
  <c r="F10" i="49"/>
  <c r="H10" i="49" s="1"/>
  <c r="F12" i="49"/>
  <c r="H12" i="49" s="1"/>
  <c r="F14" i="49"/>
  <c r="H14" i="49" s="1"/>
  <c r="C17" i="67"/>
  <c r="C14" i="67"/>
  <c r="C16" i="67"/>
  <c r="C17" i="15"/>
  <c r="G1" i="73"/>
  <c r="F50" i="43" l="1"/>
  <c r="F61" i="43"/>
  <c r="G21" i="43"/>
  <c r="C20" i="43" s="1"/>
  <c r="C5" i="43" s="1"/>
  <c r="D118" i="43"/>
  <c r="E118" i="43" s="1"/>
  <c r="F118" i="43" s="1"/>
  <c r="G118" i="43" s="1"/>
  <c r="H118" i="43" s="1"/>
  <c r="I120" i="43"/>
  <c r="J120" i="43" s="1"/>
  <c r="K120" i="43" s="1"/>
  <c r="L120" i="43" s="1"/>
  <c r="M120" i="43" s="1"/>
  <c r="I118" i="43"/>
  <c r="J118" i="43" s="1"/>
  <c r="K118" i="43" s="1"/>
  <c r="L118" i="43" s="1"/>
  <c r="M118" i="43" s="1"/>
  <c r="G121" i="43"/>
  <c r="H121" i="43" s="1"/>
  <c r="B121" i="43"/>
  <c r="C121" i="43" s="1"/>
  <c r="D122" i="43"/>
  <c r="E122" i="43" s="1"/>
  <c r="F122" i="43" s="1"/>
  <c r="G122" i="43" s="1"/>
  <c r="H122" i="43" s="1"/>
  <c r="B120" i="43"/>
  <c r="C120" i="43" s="1"/>
  <c r="D5" i="43"/>
  <c r="G21" i="80"/>
  <c r="C20" i="80" s="1"/>
  <c r="C5" i="80" s="1"/>
  <c r="H54" i="43"/>
  <c r="H52" i="43"/>
  <c r="H53" i="43"/>
  <c r="H58" i="43"/>
  <c r="H55" i="43"/>
  <c r="H57" i="43"/>
  <c r="H50" i="43"/>
  <c r="H56" i="43"/>
  <c r="H51" i="43"/>
  <c r="H62" i="80"/>
  <c r="H67" i="80"/>
  <c r="H66" i="80"/>
  <c r="H65" i="80"/>
  <c r="H61" i="80"/>
  <c r="H69" i="80"/>
  <c r="H68" i="80"/>
  <c r="H64" i="80"/>
  <c r="H63" i="80"/>
  <c r="F34" i="11"/>
  <c r="F11" i="12"/>
  <c r="C23" i="12" s="1"/>
  <c r="F34" i="68"/>
  <c r="D26" i="43"/>
  <c r="D120" i="80"/>
  <c r="E120" i="80" s="1"/>
  <c r="F120" i="80" s="1"/>
  <c r="G120" i="80" s="1"/>
  <c r="H120" i="80" s="1"/>
  <c r="D26" i="80"/>
  <c r="C25" i="80" s="1"/>
  <c r="I118" i="80"/>
  <c r="J118" i="80" s="1"/>
  <c r="K118" i="80" s="1"/>
  <c r="L118" i="80" s="1"/>
  <c r="M118" i="80" s="1"/>
  <c r="I122" i="43"/>
  <c r="J122" i="43" s="1"/>
  <c r="K122" i="43" s="1"/>
  <c r="L122" i="43" s="1"/>
  <c r="M122" i="43" s="1"/>
  <c r="D119" i="43"/>
  <c r="E119" i="43" s="1"/>
  <c r="F119" i="43" s="1"/>
  <c r="G119" i="43" s="1"/>
  <c r="H119" i="43" s="1"/>
  <c r="I3" i="6"/>
  <c r="C15" i="12"/>
  <c r="B121" i="80"/>
  <c r="C121" i="80" s="1"/>
  <c r="E57" i="40"/>
  <c r="E61" i="39"/>
  <c r="I121" i="80"/>
  <c r="J121" i="80" s="1"/>
  <c r="K121" i="80" s="1"/>
  <c r="L121" i="80" s="1"/>
  <c r="M121" i="80" s="1"/>
  <c r="I122" i="80"/>
  <c r="J122" i="80" s="1"/>
  <c r="K122" i="80" s="1"/>
  <c r="L122" i="80" s="1"/>
  <c r="M122" i="80" s="1"/>
  <c r="B119" i="80"/>
  <c r="C119" i="80" s="1"/>
  <c r="E11" i="6"/>
  <c r="E63" i="39"/>
  <c r="E59" i="40"/>
  <c r="AY6" i="3"/>
  <c r="I4" i="6"/>
  <c r="E442" i="3"/>
  <c r="E56" i="3"/>
  <c r="E76" i="3"/>
  <c r="E160" i="3"/>
  <c r="E84" i="3"/>
  <c r="E264" i="3"/>
  <c r="E391" i="3"/>
  <c r="E235" i="3"/>
  <c r="E113" i="3"/>
  <c r="E140" i="3"/>
  <c r="T6" i="3"/>
  <c r="E451" i="3"/>
  <c r="E452" i="3"/>
  <c r="E41" i="3"/>
  <c r="E412" i="3"/>
  <c r="E342" i="3"/>
  <c r="E80" i="3"/>
  <c r="E188" i="3"/>
  <c r="E493" i="3"/>
  <c r="E507" i="3"/>
  <c r="J6" i="3"/>
  <c r="E40" i="3"/>
  <c r="E22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449" i="3"/>
  <c r="E241" i="3"/>
  <c r="E64" i="3"/>
  <c r="E184" i="3"/>
  <c r="E21" i="3"/>
  <c r="E129" i="3"/>
  <c r="E287" i="3"/>
  <c r="E525" i="3"/>
  <c r="E512" i="3"/>
  <c r="E470" i="3"/>
  <c r="E243" i="3"/>
  <c r="E324" i="3"/>
  <c r="E326" i="3"/>
  <c r="E116" i="3"/>
  <c r="E486" i="3"/>
  <c r="E498" i="3"/>
  <c r="E178" i="3"/>
  <c r="E372" i="3"/>
  <c r="E15" i="3"/>
  <c r="E137" i="3"/>
  <c r="E325" i="3"/>
  <c r="E123" i="3"/>
  <c r="E50" i="3"/>
  <c r="E265" i="3"/>
  <c r="E552" i="3"/>
  <c r="E155" i="3"/>
  <c r="E386" i="3"/>
  <c r="E312" i="3"/>
  <c r="E57" i="3"/>
  <c r="E354" i="3"/>
  <c r="E464" i="3"/>
  <c r="E47" i="3"/>
  <c r="E542" i="3"/>
  <c r="E66" i="3"/>
  <c r="E488" i="3"/>
  <c r="E413" i="3"/>
  <c r="E82" i="3"/>
  <c r="E306" i="3"/>
  <c r="E529" i="3"/>
  <c r="E471" i="3"/>
  <c r="E257" i="3"/>
  <c r="E196" i="3"/>
  <c r="E548" i="3"/>
  <c r="E546" i="3"/>
  <c r="E291" i="3"/>
  <c r="E501" i="3"/>
  <c r="E574" i="3"/>
  <c r="E390" i="3"/>
  <c r="E418" i="3"/>
  <c r="E169"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517" i="3"/>
  <c r="E363" i="3"/>
  <c r="E267" i="3"/>
  <c r="E233" i="3"/>
  <c r="E332" i="3"/>
  <c r="E86" i="3"/>
  <c r="E308" i="3"/>
  <c r="E534" i="3"/>
  <c r="E360" i="3"/>
  <c r="E26" i="3"/>
  <c r="E356" i="3"/>
  <c r="E35" i="3"/>
  <c r="E83" i="3"/>
  <c r="E393" i="3"/>
  <c r="E440" i="3"/>
  <c r="E419" i="3"/>
  <c r="E202" i="3"/>
  <c r="E60" i="3"/>
  <c r="E455" i="3"/>
  <c r="E194" i="3"/>
  <c r="AQ6" i="3"/>
  <c r="E147" i="3"/>
  <c r="E20" i="3"/>
  <c r="E524" i="3"/>
  <c r="E398" i="3"/>
  <c r="E348" i="3"/>
  <c r="E250" i="3"/>
  <c r="E421" i="3"/>
  <c r="E110" i="3"/>
  <c r="E284" i="3"/>
  <c r="E582" i="3"/>
  <c r="E266" i="3"/>
  <c r="E39" i="3"/>
  <c r="Y6" i="3"/>
  <c r="E195" i="3"/>
  <c r="E504" i="3"/>
  <c r="E122" i="3"/>
  <c r="E157" i="3"/>
  <c r="E438" i="3"/>
  <c r="E475" i="3"/>
  <c r="E357" i="3"/>
  <c r="E145" i="3"/>
  <c r="E432" i="3"/>
  <c r="E71" i="3"/>
  <c r="AM6" i="3"/>
  <c r="E153"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59" i="3"/>
  <c r="E68" i="3"/>
  <c r="E206" i="3"/>
  <c r="E456" i="3"/>
  <c r="E104" i="3"/>
  <c r="E232" i="3"/>
  <c r="E564" i="3"/>
  <c r="E463" i="3"/>
  <c r="E43" i="3"/>
  <c r="E299" i="3"/>
  <c r="E289" i="3"/>
  <c r="E101" i="3"/>
  <c r="E521" i="3"/>
  <c r="E416" i="3"/>
  <c r="E19" i="3"/>
  <c r="E341" i="3"/>
  <c r="E179" i="3"/>
  <c r="E98" i="3"/>
  <c r="E313" i="3"/>
  <c r="E54" i="3"/>
  <c r="E379" i="3"/>
  <c r="E126" i="3"/>
  <c r="E426" i="3"/>
  <c r="E523" i="3"/>
  <c r="E304" i="3"/>
  <c r="E303" i="3"/>
  <c r="E434" i="3"/>
  <c r="E481" i="3"/>
  <c r="E203" i="3"/>
  <c r="E252" i="3"/>
  <c r="E581" i="3"/>
  <c r="E334" i="3"/>
  <c r="E239" i="3"/>
  <c r="E551" i="3"/>
  <c r="E415" i="3"/>
  <c r="E382" i="3"/>
  <c r="E85" i="3"/>
  <c r="E458" i="3"/>
  <c r="E111" i="3"/>
  <c r="E31" i="3"/>
  <c r="E107" i="3"/>
  <c r="E505" i="3"/>
  <c r="E162" i="3"/>
  <c r="E44" i="3"/>
  <c r="E508" i="3"/>
  <c r="E143" i="3"/>
  <c r="E538"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94" i="3"/>
  <c r="E369" i="3"/>
  <c r="E378" i="3"/>
  <c r="E522" i="3"/>
  <c r="E144" i="3"/>
  <c r="E95" i="3"/>
  <c r="AH6" i="3"/>
  <c r="E16" i="3"/>
  <c r="E428" i="3"/>
  <c r="E408" i="3"/>
  <c r="E102" i="3"/>
  <c r="E198" i="3"/>
  <c r="E371" i="3"/>
  <c r="E192" i="3"/>
  <c r="E383" i="3"/>
  <c r="E513" i="3"/>
  <c r="E492" i="3"/>
  <c r="E544" i="3"/>
  <c r="E255" i="3"/>
  <c r="E466" i="3"/>
  <c r="E541" i="3"/>
  <c r="E499" i="3"/>
  <c r="E425" i="3"/>
  <c r="E309" i="3"/>
  <c r="E251" i="3"/>
  <c r="E469" i="3"/>
  <c r="E225" i="3"/>
  <c r="E370" i="3"/>
  <c r="E427" i="3"/>
  <c r="E25" i="3"/>
  <c r="E540" i="3"/>
  <c r="E339" i="3"/>
  <c r="E364" i="3"/>
  <c r="E165" i="3"/>
  <c r="E65" i="3"/>
  <c r="E520" i="3"/>
  <c r="E323" i="3"/>
  <c r="E373" i="3"/>
  <c r="E459" i="3"/>
  <c r="E307" i="3"/>
  <c r="E532" i="3"/>
  <c r="E208" i="3"/>
  <c r="U6" i="3"/>
  <c r="E272" i="3"/>
  <c r="O6" i="3"/>
  <c r="E506" i="3"/>
  <c r="E565" i="3"/>
  <c r="E402" i="3"/>
  <c r="E128" i="3"/>
  <c r="E424" i="3"/>
  <c r="E256" i="3"/>
  <c r="E164" i="3"/>
  <c r="E444" i="3"/>
  <c r="E30" i="3"/>
  <c r="E516" i="3"/>
  <c r="V6" i="3"/>
  <c r="E395" i="3"/>
  <c r="E578" i="3"/>
  <c r="E314" i="3"/>
  <c r="E527" i="3"/>
  <c r="E150" i="3"/>
  <c r="E567" i="3"/>
  <c r="E515" i="3"/>
  <c r="AS6" i="3"/>
  <c r="E186" i="3"/>
  <c r="E175" i="3"/>
  <c r="E388" i="3"/>
  <c r="E270" i="3"/>
  <c r="E380"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240" i="3"/>
  <c r="E131" i="3"/>
  <c r="E248" i="3"/>
  <c r="E482" i="3"/>
  <c r="E300" i="3"/>
  <c r="E554" i="3"/>
  <c r="E276" i="3"/>
  <c r="E422" i="3"/>
  <c r="E158" i="3"/>
  <c r="E115" i="3"/>
  <c r="E405" i="3"/>
  <c r="E34" i="3"/>
  <c r="E283" i="3"/>
  <c r="E103" i="3"/>
  <c r="E435" i="3"/>
  <c r="E96" i="3"/>
  <c r="E81" i="3"/>
  <c r="E249" i="3"/>
  <c r="E292" i="3"/>
  <c r="E502" i="3"/>
  <c r="E575" i="3"/>
  <c r="R6" i="3"/>
  <c r="E479" i="3"/>
  <c r="AL6" i="3"/>
  <c r="E556" i="3"/>
  <c r="E329" i="3"/>
  <c r="E346" i="3"/>
  <c r="E52" i="3"/>
  <c r="E566" i="3"/>
  <c r="E138" i="3"/>
  <c r="E259" i="3"/>
  <c r="E461" i="3"/>
  <c r="E93" i="3"/>
  <c r="E29" i="3"/>
  <c r="E321" i="3"/>
  <c r="E280" i="3"/>
  <c r="E429" i="3"/>
  <c r="E448" i="3"/>
  <c r="E366" i="3"/>
  <c r="E294" i="3"/>
  <c r="E336" i="3"/>
  <c r="E571" i="3"/>
  <c r="E269" i="3"/>
  <c r="E476" i="3"/>
  <c r="E530" i="3"/>
  <c r="AR6" i="3"/>
  <c r="E183" i="3"/>
  <c r="E586" i="3"/>
  <c r="E545" i="3"/>
  <c r="E406" i="3"/>
  <c r="E171" i="3"/>
  <c r="E204" i="3"/>
  <c r="E531" i="3"/>
  <c r="E572" i="3"/>
  <c r="E579" i="3"/>
  <c r="AB6" i="3"/>
  <c r="E172" i="3"/>
  <c r="AI6" i="3"/>
  <c r="E132" i="3"/>
  <c r="E219" i="3"/>
  <c r="E139" i="3"/>
  <c r="AF6" i="3"/>
  <c r="E389" i="3"/>
  <c r="E108" i="3"/>
  <c r="E49" i="3"/>
  <c r="E173" i="3"/>
  <c r="E381" i="3"/>
  <c r="E430" i="3"/>
  <c r="E355" i="3"/>
  <c r="E152" i="3"/>
  <c r="E37" i="3"/>
  <c r="E199" i="3"/>
  <c r="E258" i="3"/>
  <c r="E18" i="3"/>
  <c r="E13" i="3"/>
  <c r="E223" i="3"/>
  <c r="E333" i="3"/>
  <c r="E36" i="3"/>
  <c r="E90" i="3"/>
  <c r="E209" i="3"/>
  <c r="E462" i="3"/>
  <c r="E352" i="3"/>
  <c r="E397" i="3"/>
  <c r="E53" i="3"/>
  <c r="E298" i="3"/>
  <c r="AA6" i="3"/>
  <c r="E496" i="3"/>
  <c r="P6" i="3"/>
  <c r="E553" i="3"/>
  <c r="E230" i="3"/>
  <c r="E583" i="3"/>
  <c r="E450" i="3"/>
  <c r="E271" i="3"/>
  <c r="E27" i="3"/>
  <c r="E343" i="3"/>
  <c r="E561" i="3"/>
  <c r="E361" i="3"/>
  <c r="E495" i="3"/>
  <c r="AK6" i="3"/>
  <c r="E465" i="3"/>
  <c r="E214" i="3"/>
  <c r="E327" i="3"/>
  <c r="E489" i="3"/>
  <c r="E109" i="3"/>
  <c r="E431" i="3"/>
  <c r="E387" i="3"/>
  <c r="E445" i="3"/>
  <c r="E385" i="3"/>
  <c r="E296" i="3"/>
  <c r="E142" i="3"/>
  <c r="E494" i="3"/>
  <c r="E286" i="3"/>
  <c r="E401" i="3"/>
  <c r="E220" i="3"/>
  <c r="E22" i="3"/>
  <c r="E67" i="3"/>
  <c r="E212" i="3"/>
  <c r="E33" i="3"/>
  <c r="E417" i="3"/>
  <c r="E491" i="3"/>
  <c r="E510" i="3"/>
  <c r="E310" i="3"/>
  <c r="E205" i="3"/>
  <c r="E78" i="3"/>
  <c r="E490" i="3"/>
  <c r="E79" i="3"/>
  <c r="E176" i="3"/>
  <c r="E51" i="3"/>
  <c r="E436" i="3"/>
  <c r="E154" i="3"/>
  <c r="E288" i="3"/>
  <c r="E23" i="3"/>
  <c r="E197" i="3"/>
  <c r="E190" i="3"/>
  <c r="E376" i="3"/>
  <c r="E170" i="3"/>
  <c r="E218" i="3"/>
  <c r="E222" i="3"/>
  <c r="E375" i="3"/>
  <c r="E167" i="3"/>
  <c r="W6" i="3"/>
  <c r="E403" i="3"/>
  <c r="E97" i="3"/>
  <c r="E221" i="3"/>
  <c r="E330" i="3"/>
  <c r="E32" i="3"/>
  <c r="E166" i="3"/>
  <c r="E151" i="3"/>
  <c r="E290" i="3"/>
  <c r="E193" i="3"/>
  <c r="E318" i="3"/>
  <c r="E414" i="3"/>
  <c r="E384" i="3"/>
  <c r="E337" i="3"/>
  <c r="E216" i="3"/>
  <c r="E134" i="3"/>
  <c r="E77" i="3"/>
  <c r="K6" i="3"/>
  <c r="E454" i="3"/>
  <c r="E227" i="3"/>
  <c r="E400" i="3"/>
  <c r="E211" i="3"/>
  <c r="E322" i="3"/>
  <c r="E514" i="3"/>
  <c r="E69" i="3"/>
  <c r="E191" i="3"/>
  <c r="E200" i="3"/>
  <c r="E487" i="3"/>
  <c r="E467" i="3"/>
  <c r="E105" i="3"/>
  <c r="E497" i="3"/>
  <c r="E75" i="3"/>
  <c r="E349" i="3"/>
  <c r="E281" i="3"/>
  <c r="E484" i="3"/>
  <c r="AP6" i="3"/>
  <c r="E177" i="3"/>
  <c r="E117" i="3"/>
  <c r="E331" i="3"/>
  <c r="E347" i="3"/>
  <c r="E485" i="3"/>
  <c r="E189" i="3"/>
  <c r="E409" i="3"/>
  <c r="E268" i="3"/>
  <c r="E367" i="3"/>
  <c r="E580" i="3"/>
  <c r="E45" i="3"/>
  <c r="E555" i="3"/>
  <c r="E133" i="3"/>
  <c r="E182" i="3"/>
  <c r="E135" i="3"/>
  <c r="E543" i="3"/>
  <c r="E42" i="3"/>
  <c r="E539" i="3"/>
  <c r="E231" i="3"/>
  <c r="E285" i="3"/>
  <c r="E121" i="3"/>
  <c r="E279" i="3"/>
  <c r="E468" i="3"/>
  <c r="E100" i="3"/>
  <c r="E63" i="3"/>
  <c r="E420" i="3"/>
  <c r="E46" i="3"/>
  <c r="E302" i="3"/>
  <c r="E229" i="3"/>
  <c r="E478" i="3"/>
  <c r="E91" i="3"/>
  <c r="E74" i="3"/>
  <c r="E311" i="3"/>
  <c r="E483" i="3"/>
  <c r="E118" i="3"/>
  <c r="E174" i="3"/>
  <c r="E536" i="3"/>
  <c r="D119" i="80"/>
  <c r="E119" i="80" s="1"/>
  <c r="F119" i="80" s="1"/>
  <c r="G119" i="80" s="1"/>
  <c r="H119" i="80" s="1"/>
  <c r="B118" i="80"/>
  <c r="I120" i="80"/>
  <c r="J120" i="80" s="1"/>
  <c r="K120" i="80" s="1"/>
  <c r="L120" i="80" s="1"/>
  <c r="M120" i="80" s="1"/>
  <c r="B122" i="80"/>
  <c r="C122" i="80" s="1"/>
  <c r="D121" i="80"/>
  <c r="E121" i="80" s="1"/>
  <c r="F121" i="80" s="1"/>
  <c r="B120" i="80"/>
  <c r="C120" i="80" s="1"/>
  <c r="E60" i="40"/>
  <c r="E64" i="39"/>
  <c r="E58" i="40"/>
  <c r="E62" i="39"/>
  <c r="K25" i="6"/>
  <c r="M25" i="6" s="1"/>
  <c r="I25" i="6" s="1"/>
  <c r="S25" i="6" s="1"/>
  <c r="K24" i="6"/>
  <c r="M24" i="6" s="1"/>
  <c r="I24" i="6" s="1"/>
  <c r="S24" i="6" s="1"/>
  <c r="K26" i="6"/>
  <c r="M26" i="6" s="1"/>
  <c r="I26" i="6" s="1"/>
  <c r="S26" i="6" s="1"/>
  <c r="K21" i="6"/>
  <c r="M21" i="6" s="1"/>
  <c r="I21" i="6" s="1"/>
  <c r="S21" i="6" s="1"/>
  <c r="K20" i="6"/>
  <c r="M20" i="6" s="1"/>
  <c r="I20" i="6" s="1"/>
  <c r="S20" i="6" s="1"/>
  <c r="E31" i="6"/>
  <c r="K23" i="6"/>
  <c r="M23" i="6" s="1"/>
  <c r="I23" i="6" s="1"/>
  <c r="S23" i="6" s="1"/>
  <c r="K22" i="6"/>
  <c r="M22" i="6" s="1"/>
  <c r="I22" i="6" s="1"/>
  <c r="S22" i="6" s="1"/>
  <c r="D14" i="12"/>
  <c r="D3" i="33"/>
  <c r="B3" i="33" s="1"/>
  <c r="D3" i="21"/>
  <c r="B3" i="21" s="1"/>
  <c r="D3" i="34"/>
  <c r="B3" i="34" s="1"/>
  <c r="C17" i="4"/>
  <c r="B4" i="52" s="1"/>
  <c r="B43" i="72" s="1"/>
  <c r="D3" i="37"/>
  <c r="B3" i="37" s="1"/>
  <c r="D37" i="11"/>
  <c r="E6" i="6"/>
  <c r="D19" i="11"/>
  <c r="C19" i="11" s="1"/>
  <c r="F27" i="6"/>
  <c r="F31" i="6" s="1"/>
  <c r="E51" i="40"/>
  <c r="E16" i="6"/>
  <c r="E56" i="39"/>
  <c r="K19" i="6"/>
  <c r="K6" i="1"/>
  <c r="G16" i="1" s="1"/>
  <c r="B1" i="74"/>
  <c r="D122" i="80"/>
  <c r="E122" i="80" s="1"/>
  <c r="F122" i="80" s="1"/>
  <c r="G122" i="80" s="1"/>
  <c r="H122" i="80" s="1"/>
  <c r="G121" i="80"/>
  <c r="H121" i="80" s="1"/>
  <c r="I119" i="80"/>
  <c r="J119" i="80" s="1"/>
  <c r="K119" i="80" s="1"/>
  <c r="L119" i="80" s="1"/>
  <c r="M119" i="80" s="1"/>
  <c r="E60" i="39"/>
  <c r="E56" i="40"/>
  <c r="C8" i="69"/>
  <c r="C49" i="15"/>
  <c r="C61" i="15" s="1"/>
  <c r="G23" i="80"/>
  <c r="C7" i="37"/>
  <c r="C52" i="37" s="1"/>
  <c r="C7" i="36"/>
  <c r="C46" i="36" s="1"/>
  <c r="C7" i="35"/>
  <c r="C48" i="35" s="1"/>
  <c r="J51" i="67"/>
  <c r="C7" i="33"/>
  <c r="C58" i="33" s="1"/>
  <c r="M47" i="9"/>
  <c r="J51" i="82"/>
  <c r="C42" i="1"/>
  <c r="C7" i="39"/>
  <c r="C67" i="39" s="1"/>
  <c r="G23" i="43"/>
  <c r="C7" i="34"/>
  <c r="C59" i="34" s="1"/>
  <c r="C7" i="21"/>
  <c r="C58" i="21" s="1"/>
  <c r="C7" i="40"/>
  <c r="C63" i="40" s="1"/>
  <c r="B40" i="1"/>
  <c r="C18" i="67"/>
  <c r="C19" i="67"/>
  <c r="C15" i="67"/>
  <c r="Q73" i="82"/>
  <c r="Q60" i="82"/>
  <c r="J19" i="15"/>
  <c r="J18" i="15"/>
  <c r="C39" i="69"/>
  <c r="C46" i="69" s="1"/>
  <c r="C45" i="69" s="1"/>
  <c r="D11" i="49"/>
  <c r="E4" i="4"/>
  <c r="B5" i="62" s="1"/>
  <c r="B73" i="72" s="1"/>
  <c r="J18" i="67"/>
  <c r="J19" i="67"/>
  <c r="C32" i="67"/>
  <c r="C33" i="67"/>
  <c r="Q52" i="15"/>
  <c r="F1" i="15"/>
  <c r="Q60" i="67"/>
  <c r="Q73" i="67"/>
  <c r="Q61" i="15"/>
  <c r="Q74" i="15"/>
  <c r="L56" i="15"/>
  <c r="F11" i="82"/>
  <c r="C53" i="82" s="1"/>
  <c r="M11" i="15"/>
  <c r="J10" i="15" s="1"/>
  <c r="J5" i="15" s="1"/>
  <c r="F11" i="15"/>
  <c r="M11" i="82"/>
  <c r="J10" i="82" s="1"/>
  <c r="M11" i="67"/>
  <c r="J10" i="67" s="1"/>
  <c r="J5" i="67" s="1"/>
  <c r="F11" i="67"/>
  <c r="C53" i="67" s="1"/>
  <c r="C32" i="15"/>
  <c r="C33" i="15"/>
  <c r="D8" i="49"/>
  <c r="C4" i="4"/>
  <c r="Q73" i="15"/>
  <c r="Q60" i="15"/>
  <c r="C49" i="67"/>
  <c r="F7" i="82"/>
  <c r="M29" i="82"/>
  <c r="F43" i="82"/>
  <c r="D5" i="80" l="1"/>
  <c r="C37" i="11"/>
  <c r="H64" i="43"/>
  <c r="H66" i="43"/>
  <c r="H61" i="43"/>
  <c r="H67" i="43"/>
  <c r="H63" i="43"/>
  <c r="H65" i="43"/>
  <c r="H69" i="43"/>
  <c r="H62" i="43"/>
  <c r="H68" i="43"/>
  <c r="D116" i="43"/>
  <c r="H6" i="3"/>
  <c r="AC6" i="3"/>
  <c r="H10" i="39"/>
  <c r="J10" i="39"/>
  <c r="W10" i="39" s="1"/>
  <c r="F10" i="40"/>
  <c r="S10" i="40" s="1"/>
  <c r="H10" i="40"/>
  <c r="F10" i="39"/>
  <c r="J10" i="40"/>
  <c r="W10" i="40" s="1"/>
  <c r="C6" i="82"/>
  <c r="C10" i="82" s="1"/>
  <c r="C5" i="82" s="1"/>
  <c r="M7" i="82"/>
  <c r="J6" i="82" s="1"/>
  <c r="J5" i="82" s="1"/>
  <c r="F50" i="82"/>
  <c r="C49" i="82" s="1"/>
  <c r="C48" i="82" s="1"/>
  <c r="F71" i="82"/>
  <c r="D10" i="11"/>
  <c r="C10" i="11" s="1"/>
  <c r="D20" i="12"/>
  <c r="C20" i="12" s="1"/>
  <c r="C118" i="80"/>
  <c r="D116" i="80" s="1"/>
  <c r="M19" i="6"/>
  <c r="S6" i="1"/>
  <c r="K27" i="6"/>
  <c r="AY188" i="3"/>
  <c r="AY44" i="3"/>
  <c r="AY534" i="3"/>
  <c r="AY31" i="3"/>
  <c r="AY543" i="3"/>
  <c r="AY251" i="3"/>
  <c r="AY407" i="3"/>
  <c r="AY46" i="3"/>
  <c r="AY469" i="3"/>
  <c r="AY277" i="3"/>
  <c r="AY511" i="3"/>
  <c r="AY431" i="3"/>
  <c r="AY13" i="3"/>
  <c r="AY567" i="3"/>
  <c r="AY538" i="3"/>
  <c r="AY107" i="3"/>
  <c r="AY521" i="3"/>
  <c r="AY451" i="3"/>
  <c r="AY445" i="3"/>
  <c r="AY474" i="3"/>
  <c r="AY347" i="3"/>
  <c r="AY304" i="3"/>
  <c r="AY416" i="3"/>
  <c r="AY179" i="3"/>
  <c r="AY376" i="3"/>
  <c r="BA6" i="3"/>
  <c r="AY442" i="3"/>
  <c r="AY169" i="3"/>
  <c r="AY480" i="3"/>
  <c r="AY435" i="3"/>
  <c r="AY348" i="3"/>
  <c r="AY420" i="3"/>
  <c r="AY400" i="3"/>
  <c r="AY248" i="3"/>
  <c r="AY476" i="3"/>
  <c r="AY335" i="3"/>
  <c r="AY283" i="3"/>
  <c r="AY562" i="3"/>
  <c r="AY478" i="3"/>
  <c r="AY582" i="3"/>
  <c r="AY329" i="3"/>
  <c r="AY14" i="3"/>
  <c r="AY156" i="3"/>
  <c r="AY560" i="3"/>
  <c r="AY224" i="3"/>
  <c r="AY32" i="3"/>
  <c r="AY563" i="3"/>
  <c r="AY39" i="3"/>
  <c r="AY153" i="3"/>
  <c r="AY62" i="3"/>
  <c r="AY164" i="3"/>
  <c r="AY307" i="3"/>
  <c r="AY151" i="3"/>
  <c r="AY305" i="3"/>
  <c r="AY208" i="3"/>
  <c r="AY30" i="3"/>
  <c r="AY385" i="3"/>
  <c r="AY306" i="3"/>
  <c r="AY587" i="3"/>
  <c r="AY264" i="3"/>
  <c r="BR6" i="3"/>
  <c r="AY328" i="3"/>
  <c r="AY37" i="3"/>
  <c r="AY507" i="3"/>
  <c r="AY146" i="3"/>
  <c r="AY166" i="3"/>
  <c r="AY26" i="3"/>
  <c r="AY293" i="3"/>
  <c r="AY172" i="3"/>
  <c r="AY337" i="3"/>
  <c r="AY195" i="3"/>
  <c r="AY47" i="3"/>
  <c r="AY218" i="3"/>
  <c r="AY391" i="3"/>
  <c r="BL6" i="3"/>
  <c r="AY249" i="3"/>
  <c r="AY524" i="3"/>
  <c r="AY471" i="3"/>
  <c r="AY287" i="3"/>
  <c r="AY494" i="3"/>
  <c r="AY100" i="3"/>
  <c r="BS6" i="3"/>
  <c r="AY398" i="3"/>
  <c r="AY154" i="3"/>
  <c r="AY289" i="3"/>
  <c r="AY144" i="3"/>
  <c r="AY253" i="3"/>
  <c r="AY74" i="3"/>
  <c r="AY409" i="3"/>
  <c r="AY465" i="3"/>
  <c r="AY108" i="3"/>
  <c r="AY138" i="3"/>
  <c r="AY214" i="3"/>
  <c r="AY24" i="3"/>
  <c r="AY295" i="3"/>
  <c r="AY173" i="3"/>
  <c r="AY312" i="3"/>
  <c r="AY232" i="3"/>
  <c r="AY354" i="3"/>
  <c r="AY203" i="3"/>
  <c r="AY320" i="3"/>
  <c r="AY240" i="3"/>
  <c r="AY200" i="3"/>
  <c r="AY250" i="3"/>
  <c r="AY548" i="3"/>
  <c r="AY256" i="3"/>
  <c r="AY127" i="3"/>
  <c r="AY345" i="3"/>
  <c r="AY212" i="3"/>
  <c r="AY397" i="3"/>
  <c r="AY54" i="3"/>
  <c r="AY21" i="3"/>
  <c r="AY440" i="3"/>
  <c r="AY336" i="3"/>
  <c r="AY241" i="3"/>
  <c r="AY346" i="3"/>
  <c r="AY578" i="3"/>
  <c r="AY344" i="3"/>
  <c r="AY48" i="3"/>
  <c r="AY227" i="3"/>
  <c r="AY36" i="3"/>
  <c r="AY56" i="3"/>
  <c r="AY441" i="3"/>
  <c r="AY95" i="3"/>
  <c r="AY303" i="3"/>
  <c r="AY470" i="3"/>
  <c r="AY433" i="3"/>
  <c r="AY28" i="3"/>
  <c r="AY231" i="3"/>
  <c r="AY177" i="3"/>
  <c r="AY332" i="3"/>
  <c r="BM6" i="3"/>
  <c r="AY163" i="3"/>
  <c r="AY447" i="3"/>
  <c r="AY157" i="3"/>
  <c r="AY186" i="3"/>
  <c r="AY403" i="3"/>
  <c r="AY82" i="3"/>
  <c r="AY379" i="3"/>
  <c r="AY198" i="3"/>
  <c r="BB6" i="3"/>
  <c r="AY449" i="3"/>
  <c r="AY155" i="3"/>
  <c r="AY268" i="3"/>
  <c r="AY183" i="3"/>
  <c r="AY529" i="3"/>
  <c r="AY463" i="3"/>
  <c r="AY92" i="3"/>
  <c r="AY165" i="3"/>
  <c r="AY219" i="3"/>
  <c r="AY202" i="3"/>
  <c r="AY333" i="3"/>
  <c r="AY411" i="3"/>
  <c r="AY18" i="3"/>
  <c r="AY355" i="3"/>
  <c r="AY182" i="3"/>
  <c r="AY93" i="3"/>
  <c r="AY454" i="3"/>
  <c r="AY112" i="3"/>
  <c r="AY116" i="3"/>
  <c r="AY84" i="3"/>
  <c r="AY373" i="3"/>
  <c r="AY324" i="3"/>
  <c r="AY207" i="3"/>
  <c r="AY168" i="3"/>
  <c r="AY139" i="3"/>
  <c r="AY428" i="3"/>
  <c r="AY342" i="3"/>
  <c r="AY553" i="3"/>
  <c r="AY170" i="3"/>
  <c r="AY246" i="3"/>
  <c r="AY41" i="3"/>
  <c r="AY377" i="3"/>
  <c r="AY414" i="3"/>
  <c r="AY16" i="3"/>
  <c r="AY269" i="3"/>
  <c r="AY68" i="3"/>
  <c r="AY365" i="3"/>
  <c r="AY308" i="3"/>
  <c r="AY496" i="3"/>
  <c r="AY412" i="3"/>
  <c r="AY105" i="3"/>
  <c r="AY238" i="3"/>
  <c r="AY370" i="3"/>
  <c r="BT6" i="3"/>
  <c r="AY71" i="3"/>
  <c r="AY19" i="3"/>
  <c r="AY479" i="3"/>
  <c r="AY413" i="3"/>
  <c r="AY528" i="3"/>
  <c r="AY110" i="3"/>
  <c r="AY321" i="3"/>
  <c r="AY550" i="3"/>
  <c r="AY273" i="3"/>
  <c r="AY512" i="3"/>
  <c r="AY221" i="3"/>
  <c r="AY94" i="3"/>
  <c r="AY410" i="3"/>
  <c r="AY369" i="3"/>
  <c r="AY80" i="3"/>
  <c r="AY275" i="3"/>
  <c r="AY508" i="3"/>
  <c r="AY425" i="3"/>
  <c r="AY109" i="3"/>
  <c r="AY372" i="3"/>
  <c r="AY66" i="3"/>
  <c r="AY475" i="3"/>
  <c r="AY419" i="3"/>
  <c r="AY468" i="3"/>
  <c r="AY362" i="3"/>
  <c r="AY429" i="3"/>
  <c r="AY233" i="3"/>
  <c r="AY434" i="3"/>
  <c r="AY566" i="3"/>
  <c r="AY568" i="3"/>
  <c r="AY583" i="3"/>
  <c r="AY564" i="3"/>
  <c r="AY119" i="3"/>
  <c r="AY78" i="3"/>
  <c r="AY223" i="3"/>
  <c r="AY49" i="3"/>
  <c r="AY61" i="3"/>
  <c r="AY547" i="3"/>
  <c r="AY15" i="3"/>
  <c r="AY120" i="3"/>
  <c r="AY586" i="3"/>
  <c r="AY128" i="3"/>
  <c r="AY378" i="3"/>
  <c r="AY506" i="3"/>
  <c r="AY364" i="3"/>
  <c r="AY101" i="3"/>
  <c r="AY497" i="3"/>
  <c r="AY244" i="3"/>
  <c r="AY230" i="3"/>
  <c r="AY297" i="3"/>
  <c r="AY152" i="3"/>
  <c r="AY196" i="3"/>
  <c r="AY180" i="3"/>
  <c r="BK6" i="3"/>
  <c r="AY201" i="3"/>
  <c r="AY381" i="3"/>
  <c r="AY290" i="3"/>
  <c r="AY488" i="3"/>
  <c r="BF6" i="3"/>
  <c r="AY334" i="3"/>
  <c r="AY574" i="3"/>
  <c r="AY271" i="3"/>
  <c r="AY243" i="3"/>
  <c r="AY527" i="3"/>
  <c r="AY292" i="3"/>
  <c r="AY436" i="3"/>
  <c r="AY141" i="3"/>
  <c r="AY181" i="3"/>
  <c r="AY503" i="3"/>
  <c r="AY59" i="3"/>
  <c r="AY371" i="3"/>
  <c r="AY284" i="3"/>
  <c r="AY300" i="3"/>
  <c r="AY401" i="3"/>
  <c r="AY76" i="3"/>
  <c r="AY125" i="3"/>
  <c r="AY374" i="3"/>
  <c r="AY145" i="3"/>
  <c r="AY316" i="3"/>
  <c r="AY585" i="3"/>
  <c r="AY75" i="3"/>
  <c r="AY404" i="3"/>
  <c r="AY126" i="3"/>
  <c r="AY150" i="3"/>
  <c r="AY525" i="3"/>
  <c r="AY191" i="3"/>
  <c r="AY343" i="3"/>
  <c r="AY193" i="3"/>
  <c r="AY88" i="3"/>
  <c r="AY438" i="3"/>
  <c r="AY124" i="3"/>
  <c r="AY236" i="3"/>
  <c r="AY123" i="3"/>
  <c r="AY106" i="3"/>
  <c r="AY452" i="3"/>
  <c r="AY77" i="3"/>
  <c r="AY149" i="3"/>
  <c r="AY392" i="3"/>
  <c r="AY197" i="3"/>
  <c r="AY317" i="3"/>
  <c r="AY581" i="3"/>
  <c r="AY171" i="3"/>
  <c r="AY311" i="3"/>
  <c r="AY178" i="3"/>
  <c r="AY57" i="3"/>
  <c r="AY422" i="3"/>
  <c r="AY81" i="3"/>
  <c r="AY229" i="3"/>
  <c r="AY52" i="3"/>
  <c r="AY368" i="3"/>
  <c r="AY483" i="3"/>
  <c r="AY443" i="3"/>
  <c r="AY500" i="3"/>
  <c r="BP6" i="3"/>
  <c r="AY361" i="3"/>
  <c r="AY339" i="3"/>
  <c r="AY482" i="3"/>
  <c r="AY537" i="3"/>
  <c r="AY235" i="3"/>
  <c r="AY459" i="3"/>
  <c r="AY159" i="3"/>
  <c r="AY405" i="3"/>
  <c r="AY280" i="3"/>
  <c r="AY531" i="3"/>
  <c r="AY453" i="3"/>
  <c r="AY266" i="3"/>
  <c r="AY519" i="3"/>
  <c r="AY286" i="3"/>
  <c r="AY356" i="3"/>
  <c r="AY495" i="3"/>
  <c r="AY247" i="3"/>
  <c r="AY473" i="3"/>
  <c r="AY549" i="3"/>
  <c r="AY279" i="3"/>
  <c r="AY137" i="3"/>
  <c r="AY99" i="3"/>
  <c r="AY38" i="3"/>
  <c r="AY492" i="3"/>
  <c r="AY432" i="3"/>
  <c r="AY359" i="3"/>
  <c r="AY551" i="3"/>
  <c r="AY421" i="3"/>
  <c r="BC6" i="3"/>
  <c r="AY424" i="3"/>
  <c r="AY423" i="3"/>
  <c r="AY552" i="3"/>
  <c r="AY90" i="3"/>
  <c r="AY115" i="3"/>
  <c r="AY415" i="3"/>
  <c r="AY576" i="3"/>
  <c r="AY450" i="3"/>
  <c r="AY448" i="3"/>
  <c r="AY558" i="3"/>
  <c r="AY63" i="3"/>
  <c r="AY458" i="3"/>
  <c r="AY158" i="3"/>
  <c r="AY341" i="3"/>
  <c r="AY467" i="3"/>
  <c r="AY353" i="3"/>
  <c r="AY310" i="3"/>
  <c r="AY34" i="3"/>
  <c r="AY382" i="3"/>
  <c r="AY363" i="3"/>
  <c r="AY358" i="3"/>
  <c r="AY45" i="3"/>
  <c r="AY294" i="3"/>
  <c r="AY104" i="3"/>
  <c r="AY302" i="3"/>
  <c r="AY352" i="3"/>
  <c r="AY517" i="3"/>
  <c r="AY225" i="3"/>
  <c r="BD6" i="3"/>
  <c r="AY234" i="3"/>
  <c r="AY97" i="3"/>
  <c r="AY228" i="3"/>
  <c r="AY210" i="3"/>
  <c r="AY510" i="3"/>
  <c r="AY85" i="3"/>
  <c r="AY325" i="3"/>
  <c r="AY489" i="3"/>
  <c r="AY255" i="3"/>
  <c r="AY83" i="3"/>
  <c r="AY103" i="3"/>
  <c r="AY217" i="3"/>
  <c r="AY33" i="3"/>
  <c r="BH6" i="3"/>
  <c r="AY472" i="3"/>
  <c r="AY486" i="3"/>
  <c r="AY239" i="3"/>
  <c r="AY518" i="3"/>
  <c r="AY417" i="3"/>
  <c r="AY161" i="3"/>
  <c r="AY42" i="3"/>
  <c r="AY252" i="3"/>
  <c r="AY513" i="3"/>
  <c r="AY299" i="3"/>
  <c r="AY114" i="3"/>
  <c r="AY561" i="3"/>
  <c r="AY535" i="3"/>
  <c r="AY130" i="3"/>
  <c r="AY132" i="3"/>
  <c r="AY162" i="3"/>
  <c r="AY406" i="3"/>
  <c r="AY315" i="3"/>
  <c r="AY113" i="3"/>
  <c r="AY216" i="3"/>
  <c r="AY205" i="3"/>
  <c r="AY27" i="3"/>
  <c r="AY167" i="3"/>
  <c r="AY487" i="3"/>
  <c r="AY584" i="3"/>
  <c r="AY222" i="3"/>
  <c r="AY190" i="3"/>
  <c r="AY565" i="3"/>
  <c r="AY102" i="3"/>
  <c r="AY322" i="3"/>
  <c r="AY577" i="3"/>
  <c r="AY111" i="3"/>
  <c r="AY446" i="3"/>
  <c r="AY526" i="3"/>
  <c r="AY540" i="3"/>
  <c r="AY258" i="3"/>
  <c r="AY319" i="3"/>
  <c r="AY544" i="3"/>
  <c r="AY259" i="3"/>
  <c r="AY571" i="3"/>
  <c r="AY226" i="3"/>
  <c r="AY147" i="3"/>
  <c r="AY580" i="3"/>
  <c r="AY366" i="3"/>
  <c r="AY60" i="3"/>
  <c r="AY491" i="3"/>
  <c r="AY237" i="3"/>
  <c r="AY516" i="3"/>
  <c r="AY326" i="3"/>
  <c r="AY522" i="3"/>
  <c r="AY288" i="3"/>
  <c r="AY323" i="3"/>
  <c r="AY509" i="3"/>
  <c r="AY573" i="3"/>
  <c r="AY50" i="3"/>
  <c r="AY194" i="3"/>
  <c r="AY136" i="3"/>
  <c r="AY79" i="3"/>
  <c r="AY499" i="3"/>
  <c r="AY493" i="3"/>
  <c r="AY55" i="3"/>
  <c r="AY520" i="3"/>
  <c r="AY87" i="3"/>
  <c r="AY541" i="3"/>
  <c r="AY349" i="3"/>
  <c r="AY98" i="3"/>
  <c r="AY25" i="3"/>
  <c r="AY464" i="3"/>
  <c r="AY43" i="3"/>
  <c r="AY384" i="3"/>
  <c r="AY23" i="3"/>
  <c r="AY160" i="3"/>
  <c r="AY327" i="3"/>
  <c r="AY185" i="3"/>
  <c r="AY73" i="3"/>
  <c r="AY430" i="3"/>
  <c r="AY199" i="3"/>
  <c r="AY389" i="3"/>
  <c r="AY556" i="3"/>
  <c r="AY539" i="3"/>
  <c r="AY215" i="3"/>
  <c r="AY281" i="3"/>
  <c r="AY318" i="3"/>
  <c r="AY569" i="3"/>
  <c r="AY263" i="3"/>
  <c r="AY274" i="3"/>
  <c r="AY546" i="3"/>
  <c r="AY555" i="3"/>
  <c r="AY393" i="3"/>
  <c r="AY220" i="3"/>
  <c r="AY291" i="3"/>
  <c r="AY572" i="3"/>
  <c r="AY265" i="3"/>
  <c r="AY64" i="3"/>
  <c r="AY140" i="3"/>
  <c r="AY504" i="3"/>
  <c r="AY86" i="3"/>
  <c r="AY35" i="3"/>
  <c r="AY313" i="3"/>
  <c r="AY536" i="3"/>
  <c r="AY89" i="3"/>
  <c r="AY533" i="3"/>
  <c r="AY211" i="3"/>
  <c r="AY245" i="3"/>
  <c r="AY72" i="3"/>
  <c r="AY399" i="3"/>
  <c r="AY129" i="3"/>
  <c r="AY301" i="3"/>
  <c r="AY96" i="3"/>
  <c r="AY192" i="3"/>
  <c r="AY118" i="3"/>
  <c r="AY532" i="3"/>
  <c r="AY131" i="3"/>
  <c r="AY278" i="3"/>
  <c r="BO6" i="3"/>
  <c r="AY134" i="3"/>
  <c r="AY357" i="3"/>
  <c r="AY117" i="3"/>
  <c r="AY386" i="3"/>
  <c r="AY466" i="3"/>
  <c r="AY462" i="3"/>
  <c r="AY209" i="3"/>
  <c r="AY91" i="3"/>
  <c r="AY122" i="3"/>
  <c r="AY481" i="3"/>
  <c r="AY530" i="3"/>
  <c r="AY439" i="3"/>
  <c r="AY501" i="3"/>
  <c r="AY204" i="3"/>
  <c r="AY554" i="3"/>
  <c r="AY427" i="3"/>
  <c r="AY390" i="3"/>
  <c r="BI6" i="3"/>
  <c r="AY523" i="3"/>
  <c r="AY69" i="3"/>
  <c r="AY309" i="3"/>
  <c r="AY58" i="3"/>
  <c r="AY460" i="3"/>
  <c r="BE6" i="3"/>
  <c r="AY262" i="3"/>
  <c r="AY388" i="3"/>
  <c r="BG6" i="3"/>
  <c r="AY53" i="3"/>
  <c r="AY340" i="3"/>
  <c r="AY455" i="3"/>
  <c r="AY270" i="3"/>
  <c r="AY51" i="3"/>
  <c r="AY67" i="3"/>
  <c r="AY395" i="3"/>
  <c r="AY206" i="3"/>
  <c r="BJ6" i="3"/>
  <c r="AY457" i="3"/>
  <c r="AY444" i="3"/>
  <c r="AY254" i="3"/>
  <c r="AY559" i="3"/>
  <c r="AY557" i="3"/>
  <c r="AY121" i="3"/>
  <c r="AY143" i="3"/>
  <c r="AY402" i="3"/>
  <c r="AY22" i="3"/>
  <c r="AY461" i="3"/>
  <c r="AY213" i="3"/>
  <c r="AY331" i="3"/>
  <c r="AY579" i="3"/>
  <c r="AY189" i="3"/>
  <c r="AY350" i="3"/>
  <c r="AY242" i="3"/>
  <c r="AY276" i="3"/>
  <c r="AY360" i="3"/>
  <c r="AY65" i="3"/>
  <c r="AY285" i="3"/>
  <c r="AY298" i="3"/>
  <c r="AY396" i="3"/>
  <c r="AY257" i="3"/>
  <c r="AY175" i="3"/>
  <c r="AY367" i="3"/>
  <c r="AY502" i="3"/>
  <c r="AY20" i="3"/>
  <c r="AY261" i="3"/>
  <c r="AY267" i="3"/>
  <c r="AY142" i="3"/>
  <c r="AY135" i="3"/>
  <c r="AY380" i="3"/>
  <c r="AY70" i="3"/>
  <c r="AY40" i="3"/>
  <c r="AY272" i="3"/>
  <c r="AY338" i="3"/>
  <c r="AY387" i="3"/>
  <c r="AY437" i="3"/>
  <c r="AY575" i="3"/>
  <c r="AY545" i="3"/>
  <c r="AY394" i="3"/>
  <c r="AY296" i="3"/>
  <c r="AY484" i="3"/>
  <c r="AY351" i="3"/>
  <c r="AY542" i="3"/>
  <c r="AY490" i="3"/>
  <c r="AY498" i="3"/>
  <c r="AY133" i="3"/>
  <c r="AY456" i="3"/>
  <c r="AY176" i="3"/>
  <c r="BN6" i="3"/>
  <c r="AY426" i="3"/>
  <c r="AY148" i="3"/>
  <c r="AY330" i="3"/>
  <c r="AY408" i="3"/>
  <c r="AY505" i="3"/>
  <c r="AY418" i="3"/>
  <c r="AY314" i="3"/>
  <c r="AY282" i="3"/>
  <c r="BQ6" i="3"/>
  <c r="AY485" i="3"/>
  <c r="AY383" i="3"/>
  <c r="AY184" i="3"/>
  <c r="D3" i="6"/>
  <c r="AY260" i="3"/>
  <c r="AY29" i="3"/>
  <c r="AY570" i="3"/>
  <c r="AY375" i="3"/>
  <c r="AY477" i="3"/>
  <c r="AY174" i="3"/>
  <c r="AY187" i="3"/>
  <c r="AY515" i="3"/>
  <c r="AY17" i="3"/>
  <c r="AY514" i="3"/>
  <c r="E65" i="39"/>
  <c r="C20" i="11"/>
  <c r="M6" i="1"/>
  <c r="H16" i="1"/>
  <c r="Q16" i="1"/>
  <c r="K16" i="1"/>
  <c r="E6" i="70"/>
  <c r="E2" i="70" s="1"/>
  <c r="D17" i="12"/>
  <c r="C17" i="12" s="1"/>
  <c r="C14" i="12"/>
  <c r="O23" i="43"/>
  <c r="A1" i="79"/>
  <c r="P29" i="43"/>
  <c r="C23" i="43"/>
  <c r="P26" i="43"/>
  <c r="P25" i="43"/>
  <c r="P27" i="43"/>
  <c r="B70" i="39" s="1"/>
  <c r="P28" i="43"/>
  <c r="B66" i="40" s="1"/>
  <c r="M24" i="43"/>
  <c r="F7" i="36"/>
  <c r="D46" i="36"/>
  <c r="E46" i="36" s="1"/>
  <c r="F46" i="36" s="1"/>
  <c r="G46" i="36" s="1"/>
  <c r="H46" i="36" s="1"/>
  <c r="I46" i="36" s="1"/>
  <c r="J46" i="36" s="1"/>
  <c r="K46" i="36" s="1"/>
  <c r="L46" i="36" s="1"/>
  <c r="M46" i="36" s="1"/>
  <c r="N46" i="36" s="1"/>
  <c r="O46" i="36" s="1"/>
  <c r="AC10" i="39"/>
  <c r="D63" i="40"/>
  <c r="C65" i="40"/>
  <c r="D67" i="39"/>
  <c r="C69" i="39"/>
  <c r="D58" i="33"/>
  <c r="E58" i="33" s="1"/>
  <c r="F58" i="33" s="1"/>
  <c r="G58" i="33" s="1"/>
  <c r="H58" i="33" s="1"/>
  <c r="I58" i="33" s="1"/>
  <c r="J58" i="33" s="1"/>
  <c r="K58" i="33" s="1"/>
  <c r="L58" i="33" s="1"/>
  <c r="M58" i="33" s="1"/>
  <c r="N58" i="33" s="1"/>
  <c r="O58" i="33" s="1"/>
  <c r="D52" i="37"/>
  <c r="E52" i="37" s="1"/>
  <c r="F52" i="37" s="1"/>
  <c r="G52" i="37" s="1"/>
  <c r="H52" i="37" s="1"/>
  <c r="I52" i="37" s="1"/>
  <c r="J52" i="37" s="1"/>
  <c r="K52" i="37" s="1"/>
  <c r="L52" i="37" s="1"/>
  <c r="M52" i="37" s="1"/>
  <c r="N52" i="37" s="1"/>
  <c r="O52" i="37" s="1"/>
  <c r="U10" i="39"/>
  <c r="AB10" i="39"/>
  <c r="D58" i="21"/>
  <c r="E58" i="21" s="1"/>
  <c r="F58" i="21" s="1"/>
  <c r="G58" i="21" s="1"/>
  <c r="H58" i="21" s="1"/>
  <c r="I58" i="21" s="1"/>
  <c r="J58" i="21" s="1"/>
  <c r="K58" i="21" s="1"/>
  <c r="L58" i="21" s="1"/>
  <c r="M58" i="21" s="1"/>
  <c r="N58" i="21" s="1"/>
  <c r="O58" i="21" s="1"/>
  <c r="H7" i="21"/>
  <c r="F7" i="21"/>
  <c r="J7" i="21"/>
  <c r="C48" i="69"/>
  <c r="C48" i="81"/>
  <c r="C30" i="81"/>
  <c r="C28" i="82"/>
  <c r="C28" i="67"/>
  <c r="C28" i="15"/>
  <c r="C24" i="12"/>
  <c r="C77" i="9"/>
  <c r="C74" i="9" s="1"/>
  <c r="C30" i="69"/>
  <c r="C31" i="12"/>
  <c r="C13" i="12"/>
  <c r="C48" i="68"/>
  <c r="C30" i="68"/>
  <c r="C36" i="11"/>
  <c r="L46" i="67"/>
  <c r="J57" i="67"/>
  <c r="J55" i="67" s="1"/>
  <c r="J58" i="67" s="1"/>
  <c r="Q50" i="67" s="1"/>
  <c r="M59" i="67"/>
  <c r="J60" i="67"/>
  <c r="Q48" i="67" s="1"/>
  <c r="J53" i="67"/>
  <c r="I54" i="67"/>
  <c r="L57" i="67"/>
  <c r="L59" i="67"/>
  <c r="L56" i="67"/>
  <c r="J59" i="67"/>
  <c r="N59" i="67"/>
  <c r="L60" i="67"/>
  <c r="O23" i="80"/>
  <c r="M24" i="80"/>
  <c r="C23" i="80"/>
  <c r="P27" i="80"/>
  <c r="P29" i="80"/>
  <c r="P28" i="80"/>
  <c r="P25" i="80"/>
  <c r="P26" i="80"/>
  <c r="AA10" i="40"/>
  <c r="AA10" i="39"/>
  <c r="S10" i="39"/>
  <c r="D59" i="34"/>
  <c r="E59" i="34" s="1"/>
  <c r="F59" i="34" s="1"/>
  <c r="G59" i="34" s="1"/>
  <c r="H59" i="34" s="1"/>
  <c r="I59" i="34" s="1"/>
  <c r="J59" i="34" s="1"/>
  <c r="K59" i="34" s="1"/>
  <c r="L59" i="34" s="1"/>
  <c r="M59" i="34" s="1"/>
  <c r="N59" i="34" s="1"/>
  <c r="O59" i="34" s="1"/>
  <c r="H7" i="34"/>
  <c r="F7" i="34"/>
  <c r="J57" i="82"/>
  <c r="J55" i="82" s="1"/>
  <c r="J58" i="82" s="1"/>
  <c r="Q50" i="82" s="1"/>
  <c r="I54" i="82"/>
  <c r="L59" i="82"/>
  <c r="J53" i="82"/>
  <c r="L60" i="82"/>
  <c r="L56" i="82"/>
  <c r="M59" i="82"/>
  <c r="N59" i="82"/>
  <c r="L57" i="82"/>
  <c r="D48" i="35"/>
  <c r="E48" i="35" s="1"/>
  <c r="F48" i="35" s="1"/>
  <c r="G48" i="35" s="1"/>
  <c r="H48" i="35" s="1"/>
  <c r="I48" i="35" s="1"/>
  <c r="J48" i="35" s="1"/>
  <c r="K48" i="35" s="1"/>
  <c r="L48" i="35" s="1"/>
  <c r="M48" i="35" s="1"/>
  <c r="N48" i="35" s="1"/>
  <c r="O48" i="35" s="1"/>
  <c r="U10" i="40"/>
  <c r="AB10" i="40"/>
  <c r="AC10" i="40"/>
  <c r="J24" i="15"/>
  <c r="J26" i="15"/>
  <c r="J26" i="67"/>
  <c r="J29" i="67" s="1"/>
  <c r="J24" i="67"/>
  <c r="C48" i="67"/>
  <c r="C61" i="67"/>
  <c r="C10" i="67"/>
  <c r="C5" i="67" s="1"/>
  <c r="C20" i="67"/>
  <c r="C26" i="67" s="1"/>
  <c r="C31" i="67"/>
  <c r="K4" i="4"/>
  <c r="B46" i="48" s="1"/>
  <c r="B4" i="72" s="1"/>
  <c r="B4" i="62"/>
  <c r="B71" i="72" s="1"/>
  <c r="C53" i="15"/>
  <c r="C48" i="15" s="1"/>
  <c r="C10" i="15"/>
  <c r="C5" i="15" s="1"/>
  <c r="J17" i="67"/>
  <c r="L36" i="80"/>
  <c r="F25" i="12"/>
  <c r="C26" i="12" s="1"/>
  <c r="D25" i="12" s="1"/>
  <c r="F24" i="67"/>
  <c r="C24" i="67" s="1"/>
  <c r="F22" i="69"/>
  <c r="C43" i="69" s="1"/>
  <c r="F24" i="82"/>
  <c r="C24" i="82" s="1"/>
  <c r="F24" i="15"/>
  <c r="C24" i="15" s="1"/>
  <c r="F22" i="81"/>
  <c r="F22" i="11"/>
  <c r="L36" i="43"/>
  <c r="F22" i="68"/>
  <c r="C14" i="15"/>
  <c r="C16" i="15"/>
  <c r="C36" i="68"/>
  <c r="C17" i="82"/>
  <c r="C16" i="82"/>
  <c r="C34" i="81"/>
  <c r="D10" i="68"/>
  <c r="D10" i="81"/>
  <c r="C14" i="82"/>
  <c r="C16" i="12" l="1"/>
  <c r="C15" i="15"/>
  <c r="C18" i="15"/>
  <c r="M16" i="1"/>
  <c r="C34" i="11" s="1"/>
  <c r="C38" i="11" s="1"/>
  <c r="J26" i="82"/>
  <c r="J24" i="82"/>
  <c r="C61" i="82"/>
  <c r="E6" i="3"/>
  <c r="C35" i="81"/>
  <c r="C38" i="81"/>
  <c r="C10" i="81"/>
  <c r="C8" i="81" s="1"/>
  <c r="D19" i="81"/>
  <c r="D37" i="81" s="1"/>
  <c r="C37" i="81" s="1"/>
  <c r="C18" i="82"/>
  <c r="C15" i="82"/>
  <c r="AR6" i="1"/>
  <c r="S16" i="1"/>
  <c r="AQ6" i="1"/>
  <c r="T6" i="1"/>
  <c r="T16" i="1" s="1"/>
  <c r="C18" i="12"/>
  <c r="D6" i="6"/>
  <c r="H23" i="6"/>
  <c r="D21" i="6"/>
  <c r="D14" i="6"/>
  <c r="H26" i="6"/>
  <c r="D26" i="6"/>
  <c r="D20" i="6"/>
  <c r="D22" i="6"/>
  <c r="H24" i="6"/>
  <c r="D5" i="6"/>
  <c r="D10" i="6"/>
  <c r="D29" i="6"/>
  <c r="D28" i="6"/>
  <c r="D30" i="6" s="1"/>
  <c r="D8" i="6"/>
  <c r="D25" i="6"/>
  <c r="C18" i="4"/>
  <c r="H21" i="6"/>
  <c r="H22" i="6"/>
  <c r="D12" i="6"/>
  <c r="H25" i="6"/>
  <c r="D23" i="6"/>
  <c r="R23" i="6" s="1"/>
  <c r="D9" i="6"/>
  <c r="E61" i="40"/>
  <c r="D19" i="6"/>
  <c r="D11" i="6"/>
  <c r="D13" i="6"/>
  <c r="D24" i="6"/>
  <c r="D15" i="6"/>
  <c r="H20" i="6"/>
  <c r="I19" i="6"/>
  <c r="M27" i="6"/>
  <c r="C10" i="68"/>
  <c r="C8" i="68" s="1"/>
  <c r="D19" i="68"/>
  <c r="J19" i="82"/>
  <c r="J18" i="82"/>
  <c r="F28" i="12"/>
  <c r="C29" i="12" s="1"/>
  <c r="D28" i="12" s="1"/>
  <c r="F27" i="11"/>
  <c r="C32" i="82"/>
  <c r="C33" i="82"/>
  <c r="C37" i="80"/>
  <c r="C33" i="80"/>
  <c r="C42" i="80"/>
  <c r="C41" i="80"/>
  <c r="T10" i="80"/>
  <c r="V10" i="80" s="1"/>
  <c r="T2" i="80"/>
  <c r="V2" i="80" s="1"/>
  <c r="T14" i="80"/>
  <c r="V14" i="80" s="1"/>
  <c r="T5" i="80"/>
  <c r="V5" i="80" s="1"/>
  <c r="T15" i="80"/>
  <c r="V15" i="80" s="1"/>
  <c r="T8" i="80"/>
  <c r="V8" i="80" s="1"/>
  <c r="T6" i="80"/>
  <c r="V6" i="80" s="1"/>
  <c r="T11" i="80"/>
  <c r="V11" i="80" s="1"/>
  <c r="C40" i="80"/>
  <c r="C39" i="80"/>
  <c r="T3" i="80"/>
  <c r="V3" i="80" s="1"/>
  <c r="T4" i="80"/>
  <c r="V4" i="80" s="1"/>
  <c r="T12" i="80"/>
  <c r="V12" i="80" s="1"/>
  <c r="T16" i="80"/>
  <c r="V16" i="80" s="1"/>
  <c r="T7" i="80"/>
  <c r="V7" i="80" s="1"/>
  <c r="C38" i="80"/>
  <c r="T9" i="80"/>
  <c r="V9" i="80" s="1"/>
  <c r="T13" i="80"/>
  <c r="V13" i="80" s="1"/>
  <c r="AC7" i="21"/>
  <c r="V48" i="21" s="1"/>
  <c r="I48" i="21" s="1"/>
  <c r="W7" i="21"/>
  <c r="E67" i="39"/>
  <c r="D69" i="39"/>
  <c r="S7" i="36"/>
  <c r="AA7" i="36"/>
  <c r="R36" i="36" s="1"/>
  <c r="F7" i="35"/>
  <c r="AA7" i="21"/>
  <c r="R48" i="21" s="1"/>
  <c r="S7" i="21"/>
  <c r="H7" i="37"/>
  <c r="J7" i="33"/>
  <c r="J7" i="36"/>
  <c r="Q74" i="82"/>
  <c r="Q61" i="82"/>
  <c r="AB7" i="34"/>
  <c r="T49" i="34" s="1"/>
  <c r="G49" i="34" s="1"/>
  <c r="U7" i="34"/>
  <c r="J7" i="35"/>
  <c r="Q57" i="82"/>
  <c r="Q66" i="82"/>
  <c r="J7" i="34"/>
  <c r="Q52" i="67"/>
  <c r="F1" i="67"/>
  <c r="U7" i="21"/>
  <c r="AB7" i="21"/>
  <c r="T48" i="21" s="1"/>
  <c r="G48" i="21" s="1"/>
  <c r="J7" i="37"/>
  <c r="H7" i="33"/>
  <c r="D65" i="40"/>
  <c r="E63" i="40"/>
  <c r="H7" i="35"/>
  <c r="Q52" i="82"/>
  <c r="F1" i="82"/>
  <c r="AA7" i="34"/>
  <c r="R49" i="34" s="1"/>
  <c r="S7" i="34"/>
  <c r="Q66" i="67"/>
  <c r="Q57" i="67"/>
  <c r="Q74" i="67"/>
  <c r="Q61" i="67"/>
  <c r="F7" i="37"/>
  <c r="F7" i="33"/>
  <c r="H7" i="36"/>
  <c r="T13" i="43"/>
  <c r="V13" i="43" s="1"/>
  <c r="T9" i="43"/>
  <c r="V9" i="43" s="1"/>
  <c r="T16" i="43"/>
  <c r="V16" i="43" s="1"/>
  <c r="T12" i="43"/>
  <c r="V12" i="43" s="1"/>
  <c r="T8" i="43"/>
  <c r="V8" i="43" s="1"/>
  <c r="T3" i="43"/>
  <c r="V3" i="43" s="1"/>
  <c r="T6" i="43"/>
  <c r="V6" i="43" s="1"/>
  <c r="C33" i="43"/>
  <c r="E33" i="43" s="1"/>
  <c r="C6" i="68" s="1"/>
  <c r="C7" i="68" s="1"/>
  <c r="T14" i="43"/>
  <c r="V14" i="43" s="1"/>
  <c r="T5" i="43"/>
  <c r="V5" i="43" s="1"/>
  <c r="C38" i="43"/>
  <c r="T7" i="43"/>
  <c r="V7" i="43" s="1"/>
  <c r="T2" i="43"/>
  <c r="V2" i="43" s="1"/>
  <c r="C41" i="43"/>
  <c r="T11" i="43"/>
  <c r="V11" i="43" s="1"/>
  <c r="T4" i="43"/>
  <c r="V4" i="43" s="1"/>
  <c r="C40" i="43"/>
  <c r="C39" i="43"/>
  <c r="T15" i="43"/>
  <c r="V15" i="43" s="1"/>
  <c r="T10" i="43"/>
  <c r="V10" i="43" s="1"/>
  <c r="C42" i="43"/>
  <c r="C37" i="43"/>
  <c r="F41" i="81"/>
  <c r="C26" i="81"/>
  <c r="D22" i="81" s="1"/>
  <c r="C24" i="81"/>
  <c r="C44" i="81"/>
  <c r="D41" i="81" s="1"/>
  <c r="C66" i="67"/>
  <c r="C60" i="67"/>
  <c r="C59" i="67" s="1"/>
  <c r="C38" i="67"/>
  <c r="C38" i="82"/>
  <c r="C44" i="68"/>
  <c r="D41" i="68" s="1"/>
  <c r="C26" i="68"/>
  <c r="D22" i="68" s="1"/>
  <c r="F41" i="68"/>
  <c r="C23" i="67"/>
  <c r="C29" i="67" s="1"/>
  <c r="L37" i="43"/>
  <c r="P36" i="43"/>
  <c r="M36" i="43"/>
  <c r="N36" i="43"/>
  <c r="O36" i="43"/>
  <c r="Q36" i="43"/>
  <c r="P36" i="80"/>
  <c r="L37" i="80"/>
  <c r="N36" i="80"/>
  <c r="O36" i="80"/>
  <c r="M36" i="80"/>
  <c r="Q36" i="80"/>
  <c r="C38" i="15"/>
  <c r="C44" i="11"/>
  <c r="D41" i="11" s="1"/>
  <c r="C25" i="11"/>
  <c r="C26" i="11"/>
  <c r="D22" i="11" s="1"/>
  <c r="C24" i="11"/>
  <c r="C23" i="11"/>
  <c r="C26" i="69"/>
  <c r="D22" i="69" s="1"/>
  <c r="C24" i="69"/>
  <c r="F41" i="69"/>
  <c r="C44" i="69"/>
  <c r="D41" i="69" s="1"/>
  <c r="C42" i="69"/>
  <c r="C41" i="69" s="1"/>
  <c r="C66" i="15"/>
  <c r="C60" i="15"/>
  <c r="C60" i="82"/>
  <c r="C66" i="82"/>
  <c r="F27" i="68"/>
  <c r="C34" i="68"/>
  <c r="AE6" i="1"/>
  <c r="F41" i="82"/>
  <c r="C5" i="68" l="1"/>
  <c r="C23" i="68" s="1"/>
  <c r="C21" i="12"/>
  <c r="C19" i="15"/>
  <c r="C20" i="15" s="1"/>
  <c r="C26" i="15" s="1"/>
  <c r="C35" i="11"/>
  <c r="C33" i="11" s="1"/>
  <c r="L16" i="1"/>
  <c r="N16" i="1"/>
  <c r="F50" i="81" s="1"/>
  <c r="C33" i="81"/>
  <c r="C39" i="81" s="1"/>
  <c r="C46" i="81" s="1"/>
  <c r="C45" i="81" s="1"/>
  <c r="C19" i="82"/>
  <c r="C20" i="82" s="1"/>
  <c r="C26" i="82" s="1"/>
  <c r="R24" i="6"/>
  <c r="R25" i="6"/>
  <c r="D16" i="6"/>
  <c r="R20" i="6"/>
  <c r="R21" i="6"/>
  <c r="R26" i="6"/>
  <c r="C22" i="12"/>
  <c r="C30" i="12" s="1"/>
  <c r="C28" i="12" s="1"/>
  <c r="C19" i="68"/>
  <c r="D37" i="68"/>
  <c r="C37" i="68" s="1"/>
  <c r="I27" i="6"/>
  <c r="S19" i="6"/>
  <c r="S27" i="6" s="1"/>
  <c r="D27" i="6"/>
  <c r="D31" i="6" s="1"/>
  <c r="B2" i="74"/>
  <c r="D7" i="74" s="1"/>
  <c r="H19" i="6"/>
  <c r="H27" i="6" s="1"/>
  <c r="C38" i="68"/>
  <c r="C35" i="68"/>
  <c r="C29" i="11"/>
  <c r="D27" i="11" s="1"/>
  <c r="C47" i="11"/>
  <c r="D45" i="11" s="1"/>
  <c r="C28" i="11"/>
  <c r="C27" i="11" s="1"/>
  <c r="C29" i="68"/>
  <c r="D27" i="68" s="1"/>
  <c r="C47" i="68"/>
  <c r="D45" i="68" s="1"/>
  <c r="F45" i="68"/>
  <c r="C4" i="52"/>
  <c r="B45" i="72" s="1"/>
  <c r="A7" i="51"/>
  <c r="B7" i="72" s="1"/>
  <c r="A10" i="51"/>
  <c r="B9" i="72" s="1"/>
  <c r="R22" i="6"/>
  <c r="C22" i="11"/>
  <c r="F69" i="82"/>
  <c r="J29" i="82"/>
  <c r="E38" i="43"/>
  <c r="G38" i="43"/>
  <c r="I38" i="43" s="1"/>
  <c r="W7" i="35"/>
  <c r="AC7" i="35"/>
  <c r="V38" i="35" s="1"/>
  <c r="I38" i="35" s="1"/>
  <c r="R49" i="21"/>
  <c r="E48" i="21"/>
  <c r="S7" i="35"/>
  <c r="AA7" i="35"/>
  <c r="R38" i="35" s="1"/>
  <c r="E69" i="39"/>
  <c r="F67" i="39"/>
  <c r="E40" i="80"/>
  <c r="G40" i="80"/>
  <c r="I40" i="80" s="1"/>
  <c r="E37" i="80"/>
  <c r="G37" i="80"/>
  <c r="I37" i="80" s="1"/>
  <c r="R50" i="34"/>
  <c r="E49" i="34"/>
  <c r="C6" i="69"/>
  <c r="G37" i="43"/>
  <c r="I37" i="43" s="1"/>
  <c r="E37" i="43"/>
  <c r="E39" i="43"/>
  <c r="G39" i="43"/>
  <c r="I39" i="43" s="1"/>
  <c r="E41" i="43"/>
  <c r="G41" i="43"/>
  <c r="I41" i="43" s="1"/>
  <c r="F63" i="40"/>
  <c r="E65" i="40"/>
  <c r="G52" i="21"/>
  <c r="H52" i="21" s="1"/>
  <c r="G53" i="21"/>
  <c r="H53" i="21" s="1"/>
  <c r="W7" i="34"/>
  <c r="AC7" i="34"/>
  <c r="V49" i="34" s="1"/>
  <c r="I49" i="34" s="1"/>
  <c r="W7" i="36"/>
  <c r="AC7" i="36"/>
  <c r="V36" i="36" s="1"/>
  <c r="I36" i="36" s="1"/>
  <c r="AC7" i="33"/>
  <c r="V48" i="33" s="1"/>
  <c r="I48" i="33" s="1"/>
  <c r="W7" i="33"/>
  <c r="E36" i="36"/>
  <c r="R37" i="36"/>
  <c r="E38" i="80"/>
  <c r="G38" i="80"/>
  <c r="I38" i="80" s="1"/>
  <c r="E41" i="80"/>
  <c r="G41" i="80"/>
  <c r="I41" i="80" s="1"/>
  <c r="S7" i="37"/>
  <c r="AA7" i="37"/>
  <c r="R42" i="37" s="1"/>
  <c r="C34" i="43"/>
  <c r="E34" i="43" s="1"/>
  <c r="G54" i="34"/>
  <c r="H54" i="34" s="1"/>
  <c r="G53" i="34"/>
  <c r="H53" i="34" s="1"/>
  <c r="AB7" i="37"/>
  <c r="T42" i="37" s="1"/>
  <c r="G42" i="37" s="1"/>
  <c r="U7" i="37"/>
  <c r="I53" i="21"/>
  <c r="J53" i="21" s="1"/>
  <c r="I52" i="21"/>
  <c r="J52" i="21" s="1"/>
  <c r="E42" i="80"/>
  <c r="G42" i="80"/>
  <c r="I42" i="80" s="1"/>
  <c r="AC7" i="37"/>
  <c r="V42" i="37" s="1"/>
  <c r="I42" i="37" s="1"/>
  <c r="W7" i="37"/>
  <c r="E42" i="43"/>
  <c r="G42" i="43"/>
  <c r="I42" i="43" s="1"/>
  <c r="E40" i="43"/>
  <c r="G40" i="43"/>
  <c r="I40" i="43" s="1"/>
  <c r="AB7" i="36"/>
  <c r="T36" i="36" s="1"/>
  <c r="G36" i="36" s="1"/>
  <c r="U7" i="36"/>
  <c r="S7" i="33"/>
  <c r="AA7" i="33"/>
  <c r="R48" i="33" s="1"/>
  <c r="AB7" i="35"/>
  <c r="T38" i="35" s="1"/>
  <c r="G38" i="35" s="1"/>
  <c r="U7" i="35"/>
  <c r="U7" i="33"/>
  <c r="AB7" i="33"/>
  <c r="T48" i="33" s="1"/>
  <c r="G48" i="33" s="1"/>
  <c r="E39" i="80"/>
  <c r="G39" i="80"/>
  <c r="I39" i="80" s="1"/>
  <c r="C34" i="80"/>
  <c r="E34" i="80" s="1"/>
  <c r="E33" i="80"/>
  <c r="C6" i="81"/>
  <c r="Q49" i="67"/>
  <c r="C13" i="67"/>
  <c r="C36" i="67"/>
  <c r="C57" i="67"/>
  <c r="C64" i="67" s="1"/>
  <c r="J14" i="67"/>
  <c r="M37" i="43"/>
  <c r="O37" i="43"/>
  <c r="Q37" i="43"/>
  <c r="N37" i="43"/>
  <c r="P37" i="43"/>
  <c r="C49" i="69"/>
  <c r="M37" i="80"/>
  <c r="O37" i="80"/>
  <c r="N37" i="80"/>
  <c r="Q37" i="80"/>
  <c r="P37" i="80"/>
  <c r="F41" i="15"/>
  <c r="C23" i="15" l="1"/>
  <c r="C29" i="15" s="1"/>
  <c r="F69" i="15"/>
  <c r="J29" i="15"/>
  <c r="C42" i="11"/>
  <c r="C39" i="11"/>
  <c r="C43" i="11" s="1"/>
  <c r="F50" i="68"/>
  <c r="F50" i="11"/>
  <c r="F50" i="69"/>
  <c r="C51" i="69" s="1"/>
  <c r="C42" i="81"/>
  <c r="C43" i="81"/>
  <c r="C23" i="82"/>
  <c r="C29" i="82" s="1"/>
  <c r="J59" i="82" s="1"/>
  <c r="J60" i="82" s="1"/>
  <c r="C31" i="11"/>
  <c r="C33" i="68"/>
  <c r="R19" i="6"/>
  <c r="R27" i="6" s="1"/>
  <c r="C20" i="68"/>
  <c r="C24" i="68"/>
  <c r="I6" i="6"/>
  <c r="I5" i="6"/>
  <c r="C27" i="12"/>
  <c r="C25" i="12" s="1"/>
  <c r="C32" i="12" s="1"/>
  <c r="B2" i="12" s="1"/>
  <c r="B3" i="12" s="1"/>
  <c r="C30" i="80"/>
  <c r="B2" i="80" s="1"/>
  <c r="B3" i="80" s="1"/>
  <c r="C30" i="43"/>
  <c r="B2" i="43" s="1"/>
  <c r="C7" i="81"/>
  <c r="C5" i="81" s="1"/>
  <c r="G42" i="35"/>
  <c r="H42" i="35" s="1"/>
  <c r="G43" i="35"/>
  <c r="H43" i="35" s="1"/>
  <c r="G41" i="36"/>
  <c r="H41" i="36" s="1"/>
  <c r="G40" i="36"/>
  <c r="H40" i="36" s="1"/>
  <c r="I46" i="37"/>
  <c r="J46" i="37" s="1"/>
  <c r="C37" i="36"/>
  <c r="C36" i="36"/>
  <c r="I53" i="34"/>
  <c r="J53" i="34" s="1"/>
  <c r="I54" i="34"/>
  <c r="J54" i="34" s="1"/>
  <c r="C7" i="69"/>
  <c r="C5" i="69" s="1"/>
  <c r="C48" i="21"/>
  <c r="C49" i="21"/>
  <c r="G53" i="33"/>
  <c r="H53" i="33" s="1"/>
  <c r="G52" i="33"/>
  <c r="H52" i="33" s="1"/>
  <c r="R43" i="37"/>
  <c r="E42" i="37"/>
  <c r="I47" i="37" s="1"/>
  <c r="J47" i="37" s="1"/>
  <c r="E40" i="36"/>
  <c r="F40" i="36" s="1"/>
  <c r="E41" i="36"/>
  <c r="F41" i="36" s="1"/>
  <c r="C31" i="80"/>
  <c r="G47" i="37"/>
  <c r="H47" i="37" s="1"/>
  <c r="G46" i="37"/>
  <c r="H46" i="37" s="1"/>
  <c r="I40" i="36"/>
  <c r="J40" i="36" s="1"/>
  <c r="I41" i="36"/>
  <c r="J41" i="36" s="1"/>
  <c r="C49" i="34"/>
  <c r="C50" i="34"/>
  <c r="E48" i="33"/>
  <c r="R49" i="33"/>
  <c r="I53" i="33"/>
  <c r="J53" i="33" s="1"/>
  <c r="I52" i="33"/>
  <c r="J52" i="33" s="1"/>
  <c r="G63" i="40"/>
  <c r="F65" i="40"/>
  <c r="E53" i="34"/>
  <c r="F53" i="34" s="1"/>
  <c r="E54" i="34"/>
  <c r="F54" i="34" s="1"/>
  <c r="R39" i="35"/>
  <c r="E38" i="35"/>
  <c r="I43" i="35"/>
  <c r="J43" i="35" s="1"/>
  <c r="I42" i="35"/>
  <c r="J42" i="35" s="1"/>
  <c r="C31" i="43"/>
  <c r="C46" i="11"/>
  <c r="C45" i="11" s="1"/>
  <c r="G67" i="39"/>
  <c r="F69" i="39"/>
  <c r="E53" i="21"/>
  <c r="F53" i="21" s="1"/>
  <c r="E52" i="21"/>
  <c r="F52" i="21" s="1"/>
  <c r="C75" i="67"/>
  <c r="C56" i="67"/>
  <c r="C65" i="67" s="1"/>
  <c r="C58" i="67" s="1"/>
  <c r="C67" i="67" s="1"/>
  <c r="C68" i="67" s="1"/>
  <c r="Q70" i="67"/>
  <c r="C37" i="67"/>
  <c r="C30" i="67" s="1"/>
  <c r="C39" i="67" s="1"/>
  <c r="J22" i="67"/>
  <c r="J13" i="67"/>
  <c r="J23" i="67" s="1"/>
  <c r="B6" i="76"/>
  <c r="E6" i="76"/>
  <c r="C39" i="68" l="1"/>
  <c r="C91" i="9"/>
  <c r="J59" i="15"/>
  <c r="J60" i="15" s="1"/>
  <c r="Q48" i="15" s="1"/>
  <c r="C57" i="15"/>
  <c r="C64" i="15" s="1"/>
  <c r="C13" i="15"/>
  <c r="Q70" i="15" s="1"/>
  <c r="J14" i="15"/>
  <c r="J22" i="15" s="1"/>
  <c r="Q49" i="15"/>
  <c r="C36" i="15"/>
  <c r="C41" i="11"/>
  <c r="C49" i="11" s="1"/>
  <c r="C51" i="11" s="1"/>
  <c r="C52" i="11" s="1"/>
  <c r="B2" i="11" s="1"/>
  <c r="B3" i="11" s="1"/>
  <c r="C41" i="81"/>
  <c r="C49" i="81" s="1"/>
  <c r="C51" i="81" s="1"/>
  <c r="C42" i="68"/>
  <c r="R6" i="1"/>
  <c r="C56" i="15"/>
  <c r="C65" i="15" s="1"/>
  <c r="C13" i="82"/>
  <c r="L46" i="82"/>
  <c r="Q48" i="82"/>
  <c r="Q49" i="82"/>
  <c r="C36" i="82"/>
  <c r="C57" i="82"/>
  <c r="C64" i="82" s="1"/>
  <c r="J14" i="82"/>
  <c r="C46" i="68"/>
  <c r="C45" i="68" s="1"/>
  <c r="C43" i="68"/>
  <c r="C28" i="68"/>
  <c r="C27" i="68" s="1"/>
  <c r="C25" i="68"/>
  <c r="C22" i="68" s="1"/>
  <c r="E2" i="76"/>
  <c r="B2" i="76"/>
  <c r="C20" i="81"/>
  <c r="C25" i="81" s="1"/>
  <c r="C23" i="81"/>
  <c r="G65" i="40"/>
  <c r="H63" i="40"/>
  <c r="E53" i="33"/>
  <c r="F53" i="33" s="1"/>
  <c r="E52" i="33"/>
  <c r="F52" i="33" s="1"/>
  <c r="C43" i="37"/>
  <c r="C42" i="37"/>
  <c r="C20" i="69"/>
  <c r="C25" i="69" s="1"/>
  <c r="C23" i="69"/>
  <c r="C22" i="69" s="1"/>
  <c r="H67" i="39"/>
  <c r="G69" i="39"/>
  <c r="E42" i="35"/>
  <c r="F42" i="35" s="1"/>
  <c r="E43" i="35"/>
  <c r="F43" i="35" s="1"/>
  <c r="C49" i="33"/>
  <c r="C48" i="33"/>
  <c r="C38" i="35"/>
  <c r="C39" i="35"/>
  <c r="M3" i="35" s="1"/>
  <c r="E46" i="37"/>
  <c r="F46" i="37" s="1"/>
  <c r="E47" i="37"/>
  <c r="F47" i="37" s="1"/>
  <c r="B3" i="43"/>
  <c r="C40" i="67"/>
  <c r="C45" i="67" s="1"/>
  <c r="C46" i="67" s="1"/>
  <c r="Q69" i="67"/>
  <c r="Q68" i="67" s="1"/>
  <c r="C71" i="67"/>
  <c r="C80" i="67"/>
  <c r="C79" i="67" s="1"/>
  <c r="J16" i="67"/>
  <c r="J25" i="67" s="1"/>
  <c r="M21" i="82"/>
  <c r="F35" i="82"/>
  <c r="F35" i="15"/>
  <c r="M21" i="15"/>
  <c r="L51" i="67"/>
  <c r="C92" i="9" l="1"/>
  <c r="C94" i="9"/>
  <c r="C37" i="15"/>
  <c r="C75" i="15"/>
  <c r="J13" i="15"/>
  <c r="J23" i="15" s="1"/>
  <c r="C41" i="68"/>
  <c r="C49" i="68" s="1"/>
  <c r="C51" i="68" s="1"/>
  <c r="C34" i="15"/>
  <c r="C31" i="15" s="1"/>
  <c r="C30" i="15" s="1"/>
  <c r="C39" i="15" s="1"/>
  <c r="F63" i="15"/>
  <c r="C62" i="15" s="1"/>
  <c r="C59" i="15" s="1"/>
  <c r="C58" i="15" s="1"/>
  <c r="C67" i="15" s="1"/>
  <c r="C68" i="15" s="1"/>
  <c r="J20" i="15"/>
  <c r="J17" i="15" s="1"/>
  <c r="J16" i="15" s="1"/>
  <c r="J25" i="15" s="1"/>
  <c r="R16" i="1"/>
  <c r="F63" i="82"/>
  <c r="C62" i="82" s="1"/>
  <c r="C59" i="82" s="1"/>
  <c r="C34" i="82"/>
  <c r="C31" i="82" s="1"/>
  <c r="J20" i="82"/>
  <c r="J17" i="82" s="1"/>
  <c r="C31" i="68"/>
  <c r="C56" i="82"/>
  <c r="C65" i="82" s="1"/>
  <c r="Q70" i="82"/>
  <c r="C37" i="82"/>
  <c r="C75" i="82"/>
  <c r="J22" i="82"/>
  <c r="J13" i="82"/>
  <c r="J23" i="82" s="1"/>
  <c r="C22" i="81"/>
  <c r="C28" i="81"/>
  <c r="C27" i="81" s="1"/>
  <c r="C56" i="11"/>
  <c r="C57" i="11" s="1"/>
  <c r="B3" i="76"/>
  <c r="C28" i="69"/>
  <c r="C27" i="69" s="1"/>
  <c r="C31" i="69" s="1"/>
  <c r="C52" i="69" s="1"/>
  <c r="H69" i="39"/>
  <c r="I67" i="39"/>
  <c r="I63" i="40"/>
  <c r="H65" i="40"/>
  <c r="Q67" i="67"/>
  <c r="Q65" i="67"/>
  <c r="Q75" i="67" s="1"/>
  <c r="Q56" i="67"/>
  <c r="Q62" i="67" s="1"/>
  <c r="C43" i="67"/>
  <c r="D2" i="67"/>
  <c r="Q47" i="67"/>
  <c r="Q53" i="67" s="1"/>
  <c r="C83" i="67"/>
  <c r="C82" i="67" s="1"/>
  <c r="L51" i="15"/>
  <c r="C80" i="15" l="1"/>
  <c r="C79" i="15" s="1"/>
  <c r="Q69" i="15"/>
  <c r="Q68" i="15" s="1"/>
  <c r="C52" i="68"/>
  <c r="B2" i="68" s="1"/>
  <c r="Q67" i="15"/>
  <c r="L57" i="15"/>
  <c r="L60" i="15" s="1"/>
  <c r="Q66" i="15" s="1"/>
  <c r="C71" i="15"/>
  <c r="C58" i="82"/>
  <c r="C67" i="82" s="1"/>
  <c r="C68" i="82" s="1"/>
  <c r="C71" i="82" s="1"/>
  <c r="C40" i="15"/>
  <c r="C46" i="15" s="1"/>
  <c r="C30" i="82"/>
  <c r="C39" i="82" s="1"/>
  <c r="Q69" i="82" s="1"/>
  <c r="Q68" i="82" s="1"/>
  <c r="C31" i="81"/>
  <c r="C52" i="81" s="1"/>
  <c r="B2" i="81" s="1"/>
  <c r="C57" i="68"/>
  <c r="J16" i="82"/>
  <c r="J25" i="82" s="1"/>
  <c r="J63" i="40"/>
  <c r="I65" i="40"/>
  <c r="I69" i="39"/>
  <c r="J67" i="39"/>
  <c r="B2" i="69"/>
  <c r="C57" i="69"/>
  <c r="C56" i="69" s="1"/>
  <c r="L46" i="15"/>
  <c r="B2" i="67"/>
  <c r="B3" i="67"/>
  <c r="B3" i="68"/>
  <c r="C19" i="9"/>
  <c r="D35" i="9"/>
  <c r="L51" i="82"/>
  <c r="B3" i="69"/>
  <c r="B3" i="81"/>
  <c r="B2" i="15" l="1"/>
  <c r="C56" i="68"/>
  <c r="Q57" i="15"/>
  <c r="C80" i="82"/>
  <c r="C79" i="82" s="1"/>
  <c r="C43" i="15"/>
  <c r="C83" i="15"/>
  <c r="C82" i="15" s="1"/>
  <c r="Q47" i="15"/>
  <c r="Q53" i="15" s="1"/>
  <c r="Q65" i="15"/>
  <c r="Q75" i="15" s="1"/>
  <c r="Q56" i="15"/>
  <c r="C57" i="81"/>
  <c r="C56" i="81" s="1"/>
  <c r="Q67" i="82"/>
  <c r="C40" i="82"/>
  <c r="C83" i="82" s="1"/>
  <c r="C82" i="82" s="1"/>
  <c r="C21" i="9"/>
  <c r="C102" i="9"/>
  <c r="J69" i="39"/>
  <c r="K67" i="39"/>
  <c r="K63" i="40"/>
  <c r="J65" i="40"/>
  <c r="D19" i="9"/>
  <c r="D34" i="9"/>
  <c r="C20" i="9"/>
  <c r="D102" i="9" l="1"/>
  <c r="D22" i="9"/>
  <c r="G19" i="9"/>
  <c r="D21" i="9"/>
  <c r="Q62" i="15"/>
  <c r="B3" i="15"/>
  <c r="C103" i="9"/>
  <c r="C43" i="82"/>
  <c r="C45" i="82"/>
  <c r="C46" i="82" s="1"/>
  <c r="Q65" i="82"/>
  <c r="Q75" i="82" s="1"/>
  <c r="Q47" i="82"/>
  <c r="Q53" i="82" s="1"/>
  <c r="Q56" i="82"/>
  <c r="Q62" i="82" s="1"/>
  <c r="D2" i="82"/>
  <c r="B2" i="82" s="1"/>
  <c r="K65" i="40"/>
  <c r="L63" i="40"/>
  <c r="K69" i="39"/>
  <c r="L67" i="39"/>
  <c r="D20" i="9"/>
  <c r="AO6" i="1"/>
  <c r="D14" i="74" l="1"/>
  <c r="G14" i="74" s="1"/>
  <c r="J14" i="74" s="1"/>
  <c r="D103" i="9"/>
  <c r="G20" i="9"/>
  <c r="G21" i="9"/>
  <c r="C32" i="9"/>
  <c r="C35" i="9" s="1"/>
  <c r="F118" i="9" s="1"/>
  <c r="G118" i="9" s="1"/>
  <c r="G4" i="52" s="1"/>
  <c r="B52" i="72" s="1"/>
  <c r="B3" i="82"/>
  <c r="B6" i="70"/>
  <c r="B2" i="70" s="1"/>
  <c r="B3" i="70" s="1"/>
  <c r="L69" i="39"/>
  <c r="M67" i="39"/>
  <c r="L65" i="40"/>
  <c r="M63" i="40"/>
  <c r="E14" i="74" l="1"/>
  <c r="F14" i="74"/>
  <c r="C34" i="9"/>
  <c r="D118" i="9" s="1"/>
  <c r="H118" i="9"/>
  <c r="I118" i="9" s="1"/>
  <c r="H102" i="9" s="1"/>
  <c r="D7" i="53" s="1"/>
  <c r="B21" i="72" s="1"/>
  <c r="M65" i="40"/>
  <c r="N63" i="40"/>
  <c r="N67" i="39"/>
  <c r="M69" i="39"/>
  <c r="F4" i="52"/>
  <c r="B51" i="72" s="1"/>
  <c r="F119" i="9"/>
  <c r="F5" i="52" s="1"/>
  <c r="B53" i="72" s="1"/>
  <c r="H101" i="9" l="1"/>
  <c r="I4" i="52"/>
  <c r="E118" i="9"/>
  <c r="E4" i="52" s="1"/>
  <c r="B48" i="72" s="1"/>
  <c r="H4" i="52"/>
  <c r="C104" i="9"/>
  <c r="C105" i="9"/>
  <c r="H119" i="9"/>
  <c r="H5" i="52" s="1"/>
  <c r="O67" i="39"/>
  <c r="O69" i="39" s="1"/>
  <c r="N69" i="39"/>
  <c r="O63" i="40"/>
  <c r="O65" i="40" s="1"/>
  <c r="N65" i="40"/>
  <c r="D45" i="9"/>
  <c r="H107" i="9"/>
  <c r="M48" i="9"/>
  <c r="D5" i="53"/>
  <c r="D119" i="9"/>
  <c r="D5" i="52" s="1"/>
  <c r="B49" i="72" s="1"/>
  <c r="D4" i="52"/>
  <c r="B47" i="72" s="1"/>
  <c r="F7" i="40" l="1"/>
  <c r="J7" i="40"/>
  <c r="H7" i="40"/>
  <c r="J7" i="39"/>
  <c r="H7" i="39"/>
  <c r="F7" i="39"/>
  <c r="D6" i="53"/>
  <c r="B22" i="72" s="1"/>
  <c r="B20" i="72"/>
  <c r="M49" i="9"/>
  <c r="H108" i="9"/>
  <c r="D15" i="53" s="1"/>
  <c r="B31" i="72" s="1"/>
  <c r="D122" i="9"/>
  <c r="D13" i="53"/>
  <c r="D55" i="9"/>
  <c r="M53" i="9" s="1"/>
  <c r="C72" i="9"/>
  <c r="C64" i="9"/>
  <c r="C63" i="9" s="1"/>
  <c r="C67" i="9" s="1"/>
  <c r="C68" i="9" s="1"/>
  <c r="D54" i="9" s="1"/>
  <c r="C78" i="9"/>
  <c r="C73" i="9" s="1"/>
  <c r="D53" i="9"/>
  <c r="D48" i="9" s="1"/>
  <c r="M52" i="9" s="1"/>
  <c r="C85" i="9"/>
  <c r="D52" i="9"/>
  <c r="C93" i="9"/>
  <c r="C86" i="9" s="1"/>
  <c r="E15" i="74" l="1"/>
  <c r="F15" i="74"/>
  <c r="B5" i="74"/>
  <c r="AC7" i="39"/>
  <c r="V47" i="39" s="1"/>
  <c r="I47" i="39" s="1"/>
  <c r="W7" i="39"/>
  <c r="AB7" i="40"/>
  <c r="T42" i="40" s="1"/>
  <c r="G42" i="40" s="1"/>
  <c r="U7" i="40"/>
  <c r="S7" i="39"/>
  <c r="AA7" i="39"/>
  <c r="R47" i="39" s="1"/>
  <c r="W7" i="40"/>
  <c r="AC7" i="40"/>
  <c r="V42" i="40" s="1"/>
  <c r="I42" i="40" s="1"/>
  <c r="U7" i="39"/>
  <c r="AB7" i="39"/>
  <c r="T47" i="39" s="1"/>
  <c r="G47" i="39" s="1"/>
  <c r="S7" i="40"/>
  <c r="AA7" i="40"/>
  <c r="R42" i="40" s="1"/>
  <c r="L64" i="9"/>
  <c r="M64" i="9" s="1"/>
  <c r="L66" i="9"/>
  <c r="M66" i="9" s="1"/>
  <c r="L68" i="9"/>
  <c r="M68" i="9" s="1"/>
  <c r="L67" i="9"/>
  <c r="M67" i="9" s="1"/>
  <c r="L65" i="9"/>
  <c r="M65" i="9" s="1"/>
  <c r="L63" i="9"/>
  <c r="M63" i="9" s="1"/>
  <c r="C95" i="9"/>
  <c r="C79" i="9"/>
  <c r="B30" i="72"/>
  <c r="D14" i="53"/>
  <c r="B32" i="72" s="1"/>
  <c r="D8" i="52"/>
  <c r="D123" i="9"/>
  <c r="D9" i="52" s="1"/>
  <c r="M69" i="9" l="1"/>
  <c r="N69" i="9" s="1"/>
  <c r="C5" i="74"/>
  <c r="D5" i="74"/>
  <c r="B6" i="74"/>
  <c r="J15" i="74"/>
  <c r="G47" i="40"/>
  <c r="H47" i="40" s="1"/>
  <c r="G46" i="40"/>
  <c r="H46" i="40" s="1"/>
  <c r="G51" i="39"/>
  <c r="H51" i="39" s="1"/>
  <c r="G52" i="39"/>
  <c r="H52" i="39" s="1"/>
  <c r="R48" i="39"/>
  <c r="E47" i="39"/>
  <c r="E42" i="40"/>
  <c r="R43" i="40"/>
  <c r="I46" i="40"/>
  <c r="J46" i="40" s="1"/>
  <c r="I51" i="39"/>
  <c r="J51" i="39" s="1"/>
  <c r="I52" i="39"/>
  <c r="J52" i="39" s="1"/>
  <c r="C80" i="9"/>
  <c r="E80" i="9" s="1"/>
  <c r="E81" i="9" s="1"/>
  <c r="C96" i="9"/>
  <c r="E96" i="9" s="1"/>
  <c r="E97" i="9" s="1"/>
  <c r="C81" i="9" l="1"/>
  <c r="C97" i="9"/>
  <c r="D58" i="9" s="1"/>
  <c r="D56" i="9" s="1"/>
  <c r="M54" i="9" s="1"/>
  <c r="N57" i="9" s="1"/>
  <c r="P57" i="9" s="1"/>
  <c r="E6" i="74"/>
  <c r="C6" i="74"/>
  <c r="D6" i="74"/>
  <c r="C43" i="40"/>
  <c r="C42" i="40"/>
  <c r="E47" i="40"/>
  <c r="F47" i="40" s="1"/>
  <c r="E46" i="40"/>
  <c r="F46" i="40" s="1"/>
  <c r="I47" i="40"/>
  <c r="J47" i="40" s="1"/>
  <c r="E51" i="39"/>
  <c r="F51" i="39" s="1"/>
  <c r="E52" i="39"/>
  <c r="F52" i="39" s="1"/>
  <c r="C48" i="39"/>
  <c r="C47" i="39"/>
  <c r="N58" i="9" l="1"/>
  <c r="N59" i="9"/>
  <c r="H111" i="9" s="1"/>
  <c r="B56" i="39"/>
  <c r="F56" i="39" s="1"/>
  <c r="F65" i="39" s="1"/>
  <c r="B2" i="39" s="1"/>
  <c r="B3" i="39" s="1"/>
  <c r="B63" i="39"/>
  <c r="F63" i="39" s="1"/>
  <c r="B60" i="39"/>
  <c r="F60" i="39" s="1"/>
  <c r="B57" i="39"/>
  <c r="F57" i="39" s="1"/>
  <c r="B62" i="39"/>
  <c r="F62" i="39" s="1"/>
  <c r="B58" i="39"/>
  <c r="F58" i="39" s="1"/>
  <c r="B59" i="39"/>
  <c r="F59" i="39" s="1"/>
  <c r="B64" i="39"/>
  <c r="F64" i="39" s="1"/>
  <c r="B61" i="39"/>
  <c r="F61" i="39" s="1"/>
  <c r="B58" i="40"/>
  <c r="F58" i="40" s="1"/>
  <c r="B52" i="40"/>
  <c r="F52" i="40" s="1"/>
  <c r="B60" i="40"/>
  <c r="F60" i="40" s="1"/>
  <c r="B51" i="40"/>
  <c r="F51" i="40" s="1"/>
  <c r="B54" i="40"/>
  <c r="F54" i="40" s="1"/>
  <c r="B56" i="40"/>
  <c r="F56" i="40" s="1"/>
  <c r="B53" i="40"/>
  <c r="F53" i="40" s="1"/>
  <c r="B59" i="40"/>
  <c r="F59" i="40" s="1"/>
  <c r="B57" i="40"/>
  <c r="F57" i="40" s="1"/>
  <c r="F61" i="40"/>
  <c r="B2" i="40" s="1"/>
  <c r="B3" i="40" s="1"/>
  <c r="N60" i="9"/>
  <c r="N61" i="9"/>
  <c r="H112" i="9" s="1"/>
  <c r="D21" i="53" s="1"/>
  <c r="B39" i="72" s="1"/>
  <c r="J111" i="9" l="1"/>
  <c r="D126" i="9"/>
  <c r="I14" i="74" s="1"/>
  <c r="D19" i="53"/>
  <c r="B8" i="74" l="1"/>
  <c r="D20" i="53"/>
  <c r="B40" i="72" s="1"/>
  <c r="B38" i="72"/>
  <c r="D12" i="52"/>
  <c r="D127" i="9"/>
  <c r="D13" i="52" s="1"/>
  <c r="E8" i="74" l="1"/>
  <c r="D8" i="74"/>
  <c r="C8"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1A45D6E7-6D65-4775-9A88-B7D079380380}">
      <text>
        <r>
          <rPr>
            <b/>
            <sz val="9"/>
            <color indexed="81"/>
            <rFont val="宋体"/>
            <family val="3"/>
            <charset val="134"/>
          </rPr>
          <t>对应区片地价表</t>
        </r>
        <r>
          <rPr>
            <sz val="9"/>
            <color indexed="81"/>
            <rFont val="宋体"/>
            <family val="3"/>
            <charset val="134"/>
          </rPr>
          <t xml:space="preserve">
</t>
        </r>
      </text>
    </comment>
    <comment ref="Y9" authorId="1" shapeId="0" xr:uid="{4124F023-8A38-4F48-842A-687DC049510E}">
      <text>
        <r>
          <rPr>
            <sz val="11"/>
            <color indexed="81"/>
            <rFont val="宋体"/>
            <family val="3"/>
            <charset val="134"/>
          </rPr>
          <t xml:space="preserve">录入层数，将对应的结果录入至左侧相应层的楼层修正系数单元格中
</t>
        </r>
      </text>
    </comment>
    <comment ref="C16" authorId="1" shapeId="0" xr:uid="{BD0BB05F-C3F9-461F-98DB-7F689AB08745}">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259338B-083A-44F2-B1A9-260B0A499A10}">
      <text>
        <r>
          <rPr>
            <sz val="12"/>
            <color indexed="81"/>
            <rFont val="宋体"/>
            <family val="3"/>
            <charset val="134"/>
          </rPr>
          <t>1.05~1.1</t>
        </r>
        <r>
          <rPr>
            <sz val="9"/>
            <color indexed="81"/>
            <rFont val="宋体"/>
            <family val="3"/>
            <charset val="134"/>
          </rPr>
          <t xml:space="preserve">
</t>
        </r>
      </text>
    </comment>
    <comment ref="E16" authorId="1" shapeId="0" xr:uid="{55A46050-EC3A-4335-960A-7FBB82BC05C6}">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F30FB93-EED6-42F9-B847-A5D64B0A535B}">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750E91F9-C55B-43EC-8FEA-86A237C597E3}">
      <text>
        <r>
          <rPr>
            <b/>
            <sz val="14"/>
            <color indexed="81"/>
            <rFont val="宋体"/>
            <family val="3"/>
            <charset val="134"/>
          </rPr>
          <t>工业选“中心城区”</t>
        </r>
        <r>
          <rPr>
            <sz val="9"/>
            <color indexed="81"/>
            <rFont val="宋体"/>
            <family val="3"/>
            <charset val="134"/>
          </rPr>
          <t xml:space="preserve">
</t>
        </r>
      </text>
    </comment>
    <comment ref="B35" authorId="4" shapeId="0" xr:uid="{FB14877F-15C4-45AD-A402-84E34F197CD8}">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A3D26C5C-E9B8-4914-9870-DA8373305FBA}">
      <text>
        <r>
          <rPr>
            <sz val="9"/>
            <color indexed="81"/>
            <rFont val="宋体"/>
            <family val="3"/>
            <charset val="134"/>
          </rPr>
          <t xml:space="preserve">需在此处填写剩余土地年限
</t>
        </r>
      </text>
    </comment>
    <comment ref="C111" authorId="0" shapeId="0" xr:uid="{897925C9-B3DC-444D-B5FB-1ECF70CCFA85}">
      <text>
        <r>
          <rPr>
            <b/>
            <sz val="9"/>
            <color indexed="81"/>
            <rFont val="宋体"/>
            <family val="3"/>
            <charset val="134"/>
          </rPr>
          <t xml:space="preserve">所在楼层
</t>
        </r>
        <r>
          <rPr>
            <sz val="9"/>
            <color indexed="81"/>
            <rFont val="宋体"/>
            <family val="3"/>
            <charset val="134"/>
          </rPr>
          <t xml:space="preserve">
</t>
        </r>
      </text>
    </comment>
    <comment ref="D111" authorId="0" shapeId="0" xr:uid="{485F1B99-0B11-455F-8A3B-D22EF27260E3}">
      <text>
        <r>
          <rPr>
            <b/>
            <sz val="9"/>
            <color indexed="81"/>
            <rFont val="宋体"/>
            <family val="3"/>
            <charset val="134"/>
          </rPr>
          <t xml:space="preserve">所在楼层
</t>
        </r>
        <r>
          <rPr>
            <sz val="9"/>
            <color indexed="81"/>
            <rFont val="宋体"/>
            <family val="3"/>
            <charset val="134"/>
          </rPr>
          <t xml:space="preserve">
</t>
        </r>
      </text>
    </comment>
    <comment ref="E111" authorId="0" shapeId="0" xr:uid="{BEFCF5CB-64ED-4BF5-909B-E7F3552B24E1}">
      <text>
        <r>
          <rPr>
            <b/>
            <sz val="9"/>
            <color indexed="81"/>
            <rFont val="宋体"/>
            <family val="3"/>
            <charset val="134"/>
          </rPr>
          <t xml:space="preserve">所在楼层
</t>
        </r>
        <r>
          <rPr>
            <sz val="9"/>
            <color indexed="81"/>
            <rFont val="宋体"/>
            <family val="3"/>
            <charset val="134"/>
          </rPr>
          <t xml:space="preserve">
</t>
        </r>
      </text>
    </comment>
    <comment ref="F111" authorId="0" shapeId="0" xr:uid="{23AEA145-58E2-4B0C-A91B-3199B07D257A}">
      <text>
        <r>
          <rPr>
            <b/>
            <sz val="9"/>
            <color indexed="81"/>
            <rFont val="宋体"/>
            <family val="3"/>
            <charset val="134"/>
          </rPr>
          <t xml:space="preserve">所在楼层
</t>
        </r>
        <r>
          <rPr>
            <sz val="9"/>
            <color indexed="81"/>
            <rFont val="宋体"/>
            <family val="3"/>
            <charset val="134"/>
          </rPr>
          <t xml:space="preserve">
</t>
        </r>
      </text>
    </comment>
    <comment ref="G111" authorId="0" shapeId="0" xr:uid="{9011A986-A78B-486C-938C-683E2140EBE6}">
      <text>
        <r>
          <rPr>
            <b/>
            <sz val="9"/>
            <color indexed="81"/>
            <rFont val="宋体"/>
            <family val="3"/>
            <charset val="134"/>
          </rPr>
          <t xml:space="preserve">所在楼层
</t>
        </r>
        <r>
          <rPr>
            <sz val="9"/>
            <color indexed="81"/>
            <rFont val="宋体"/>
            <family val="3"/>
            <charset val="134"/>
          </rPr>
          <t xml:space="preserve">
</t>
        </r>
      </text>
    </comment>
    <comment ref="H111" authorId="0" shapeId="0" xr:uid="{B10D9287-B9A7-4CF9-8D7F-95A453385890}">
      <text>
        <r>
          <rPr>
            <b/>
            <sz val="9"/>
            <color indexed="81"/>
            <rFont val="宋体"/>
            <family val="3"/>
            <charset val="134"/>
          </rPr>
          <t xml:space="preserve">所在楼层
</t>
        </r>
        <r>
          <rPr>
            <sz val="9"/>
            <color indexed="81"/>
            <rFont val="宋体"/>
            <family val="3"/>
            <charset val="134"/>
          </rPr>
          <t xml:space="preserve">
</t>
        </r>
      </text>
    </comment>
    <comment ref="I111" authorId="0" shapeId="0" xr:uid="{4DCDFBE4-F92B-4DCE-B8EA-3A320EF09B7E}">
      <text>
        <r>
          <rPr>
            <b/>
            <sz val="9"/>
            <color indexed="81"/>
            <rFont val="宋体"/>
            <family val="3"/>
            <charset val="134"/>
          </rPr>
          <t xml:space="preserve">所在楼层
</t>
        </r>
        <r>
          <rPr>
            <sz val="9"/>
            <color indexed="81"/>
            <rFont val="宋体"/>
            <family val="3"/>
            <charset val="134"/>
          </rPr>
          <t xml:space="preserve">
</t>
        </r>
      </text>
    </comment>
    <comment ref="J111" authorId="0" shapeId="0" xr:uid="{681110C3-6C40-4000-9324-ABA95B583D48}">
      <text>
        <r>
          <rPr>
            <b/>
            <sz val="9"/>
            <color indexed="81"/>
            <rFont val="宋体"/>
            <family val="3"/>
            <charset val="134"/>
          </rPr>
          <t xml:space="preserve">所在楼层
</t>
        </r>
        <r>
          <rPr>
            <sz val="9"/>
            <color indexed="81"/>
            <rFont val="宋体"/>
            <family val="3"/>
            <charset val="134"/>
          </rPr>
          <t xml:space="preserve">
</t>
        </r>
      </text>
    </comment>
    <comment ref="K111" authorId="0" shapeId="0" xr:uid="{B475385A-53C4-495C-BA64-4F7A34B99E29}">
      <text>
        <r>
          <rPr>
            <b/>
            <sz val="9"/>
            <color indexed="81"/>
            <rFont val="宋体"/>
            <family val="3"/>
            <charset val="134"/>
          </rPr>
          <t xml:space="preserve">所在楼层
</t>
        </r>
        <r>
          <rPr>
            <sz val="9"/>
            <color indexed="81"/>
            <rFont val="宋体"/>
            <family val="3"/>
            <charset val="134"/>
          </rPr>
          <t xml:space="preserve">
</t>
        </r>
      </text>
    </comment>
    <comment ref="L111" authorId="0" shapeId="0" xr:uid="{5B6F5CF1-70E8-47F6-BF92-B810B67AC999}">
      <text>
        <r>
          <rPr>
            <b/>
            <sz val="9"/>
            <color indexed="81"/>
            <rFont val="宋体"/>
            <family val="3"/>
            <charset val="134"/>
          </rPr>
          <t xml:space="preserve">所在楼层
</t>
        </r>
        <r>
          <rPr>
            <sz val="9"/>
            <color indexed="81"/>
            <rFont val="宋体"/>
            <family val="3"/>
            <charset val="134"/>
          </rPr>
          <t xml:space="preserve">
</t>
        </r>
      </text>
    </comment>
    <comment ref="M111" authorId="0" shapeId="0" xr:uid="{6BF5E962-33FE-4FB8-96C8-FD9EA6C7745B}">
      <text>
        <r>
          <rPr>
            <b/>
            <sz val="9"/>
            <color indexed="81"/>
            <rFont val="宋体"/>
            <family val="3"/>
            <charset val="134"/>
          </rPr>
          <t xml:space="preserve">所在楼层
</t>
        </r>
        <r>
          <rPr>
            <sz val="9"/>
            <color indexed="81"/>
            <rFont val="宋体"/>
            <family val="3"/>
            <charset val="134"/>
          </rPr>
          <t xml:space="preserve">
</t>
        </r>
      </text>
    </comment>
    <comment ref="N111" authorId="0" shapeId="0" xr:uid="{E1F6E51B-2BAB-46C5-853F-5A937AB2DC22}">
      <text>
        <r>
          <rPr>
            <b/>
            <sz val="9"/>
            <color indexed="81"/>
            <rFont val="宋体"/>
            <family val="3"/>
            <charset val="134"/>
          </rPr>
          <t xml:space="preserve">所在楼层
</t>
        </r>
        <r>
          <rPr>
            <sz val="9"/>
            <color indexed="81"/>
            <rFont val="宋体"/>
            <family val="3"/>
            <charset val="134"/>
          </rPr>
          <t xml:space="preserve">
</t>
        </r>
      </text>
    </comment>
    <comment ref="D116" authorId="0" shapeId="0" xr:uid="{78CF7826-5164-48A0-87CF-FFE04FC1EFE1}">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C9022B0B-B55D-4052-A5FB-89BB08589CC2}">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39A89125-0321-43F3-94F9-29B5B403C3EA}">
      <text>
        <r>
          <rPr>
            <sz val="10"/>
            <color indexed="81"/>
            <rFont val="宋体"/>
            <family val="3"/>
            <charset val="134"/>
          </rPr>
          <t xml:space="preserve">需注意，采用基准地价系数修正法中土地结果计算时，土地报酬率应采用该方法中报酬率（还原率）。
</t>
        </r>
      </text>
    </comment>
    <comment ref="L55" authorId="0" shapeId="0" xr:uid="{C1FA8E3C-1BF0-4C75-AA32-7B673A9D76B9}">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E21FA7FE-0670-4FD4-AB77-8D75312CE265}">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2656CB72-2196-40FA-9439-091C603494A7}">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<sst xmlns="http://schemas.openxmlformats.org/spreadsheetml/2006/main" count="8881" uniqueCount="3498">
  <si>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</si>
  <si>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</si>
  <si>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</si>
  <si>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</si>
  <si>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</si>
  <si>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</si>
  <si>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</si>
  <si>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</si>
  <si>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</si>
  <si>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</si>
  <si>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</si>
  <si>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</si>
  <si>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</si>
  <si>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</si>
  <si>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</si>
  <si>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</si>
  <si>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</si>
  <si>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</si>
  <si>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</si>
  <si>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</si>
  <si>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</si>
  <si>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</si>
  <si>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</si>
  <si>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</si>
  <si>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</si>
  <si>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</si>
  <si>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</si>
  <si>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</si>
  <si>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</si>
  <si>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</si>
  <si>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</si>
  <si>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</si>
  <si>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</si>
  <si>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</si>
  <si>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</si>
  <si>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</si>
  <si>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</si>
  <si>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</si>
  <si>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</si>
  <si>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</si>
  <si>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</si>
  <si>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</si>
  <si>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</si>
  <si>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</si>
  <si>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</si>
  <si>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</si>
  <si>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</si>
  <si>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</si>
  <si>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</si>
  <si>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</si>
  <si>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</si>
  <si>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</si>
  <si>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</si>
  <si>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</si>
  <si>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</si>
  <si>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</si>
  <si>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</si>
  <si>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</si>
  <si>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</si>
  <si>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</si>
  <si>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</si>
  <si>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</si>
  <si>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</si>
  <si>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</si>
  <si>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</si>
  <si>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</si>
  <si>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</si>
  <si>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</si>
  <si>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</si>
  <si>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</si>
  <si>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</si>
  <si>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</si>
  <si>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</si>
  <si>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</si>
  <si>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</si>
  <si>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</si>
  <si>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</si>
  <si>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</si>
  <si>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</si>
  <si>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</si>
  <si>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</si>
  <si>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</si>
  <si>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</si>
  <si>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</si>
  <si>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</si>
  <si>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</si>
  <si>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</si>
  <si>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</si>
  <si>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</si>
  <si>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</si>
  <si>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</si>
  <si>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</si>
  <si>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</si>
  <si>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</si>
  <si>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</si>
  <si>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</si>
  <si>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</si>
  <si>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</si>
  <si>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</si>
  <si>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</si>
  <si>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</si>
  <si>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</si>
  <si>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</si>
  <si>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</si>
  <si>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</si>
  <si>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</si>
  <si>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</si>
  <si>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</si>
  <si>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</si>
  <si>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</si>
  <si>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</si>
  <si>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</si>
  <si>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</si>
  <si>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</si>
  <si>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</si>
  <si>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</si>
  <si>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</si>
  <si>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</si>
  <si>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</si>
  <si>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</si>
  <si>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</si>
  <si>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</si>
  <si>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</si>
  <si>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</si>
  <si>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</si>
  <si>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</si>
  <si>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</si>
  <si>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</si>
  <si>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</si>
  <si>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</si>
  <si>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</si>
  <si>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</si>
  <si>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</si>
  <si>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</si>
  <si>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</si>
  <si>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</si>
  <si>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</si>
  <si>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</si>
  <si>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</si>
  <si>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</si>
  <si>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</si>
  <si>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</si>
  <si>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</si>
  <si>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</si>
  <si>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</si>
  <si>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</si>
  <si>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</si>
  <si>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</si>
  <si>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</si>
  <si>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</si>
  <si>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</si>
  <si>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</si>
  <si>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</si>
  <si>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</si>
  <si>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</si>
  <si>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</si>
  <si>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</si>
  <si>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</si>
  <si>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</si>
  <si>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</si>
  <si>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</si>
  <si>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</si>
  <si>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</si>
  <si>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</si>
  <si>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</si>
  <si>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</si>
  <si>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</si>
  <si>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</si>
  <si>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</si>
  <si>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</si>
  <si>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</si>
  <si>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</si>
  <si>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</si>
  <si>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</si>
  <si>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</si>
  <si>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</si>
  <si>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</si>
  <si>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</si>
  <si>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</si>
  <si>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</si>
  <si>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</si>
  <si>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</si>
  <si>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</si>
  <si>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</si>
  <si>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</si>
  <si>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</si>
  <si>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</si>
  <si>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</si>
  <si>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</si>
  <si>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</si>
  <si>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</si>
  <si>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</si>
  <si>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</si>
  <si>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</si>
  <si>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</si>
  <si>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</si>
  <si>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</si>
  <si>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</si>
  <si>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</si>
  <si>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</si>
  <si>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</si>
  <si>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</si>
  <si>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</si>
  <si>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</si>
  <si>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</si>
  <si>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</si>
  <si>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</si>
  <si>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</si>
  <si>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</si>
  <si>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</si>
  <si>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</si>
  <si>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</si>
  <si>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</si>
  <si>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</si>
  <si>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</si>
  <si>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</si>
  <si>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</si>
  <si>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</si>
  <si>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</si>
  <si>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</si>
  <si>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</si>
  <si>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</si>
  <si>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</si>
  <si>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</si>
  <si>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</si>
  <si>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</si>
  <si>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</si>
  <si>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</si>
  <si>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</si>
  <si>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</si>
  <si>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</si>
  <si>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</si>
  <si>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</si>
  <si>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</si>
  <si>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</si>
  <si>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</si>
  <si>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</si>
  <si>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</si>
  <si>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</si>
  <si>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</si>
  <si>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</si>
  <si>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</si>
  <si>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</si>
  <si>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</si>
  <si>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</si>
  <si>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</si>
  <si>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</si>
  <si>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</si>
  <si>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</si>
  <si>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</si>
  <si>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</si>
  <si>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</si>
  <si>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</si>
  <si>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</si>
  <si>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</si>
  <si>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</si>
  <si>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</si>
  <si>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</si>
  <si>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</si>
  <si>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</si>
  <si>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</si>
  <si>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</si>
  <si>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</si>
  <si>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</si>
  <si>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</si>
  <si>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</si>
  <si>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</si>
  <si>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</si>
  <si>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</si>
  <si>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</si>
  <si>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</si>
  <si>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</si>
  <si>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</si>
  <si>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</si>
  <si>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</si>
  <si>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</si>
  <si>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</si>
  <si>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</si>
  <si>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</si>
  <si>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</si>
  <si>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</si>
  <si>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</si>
  <si>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</si>
  <si>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</si>
  <si>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</si>
  <si>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</si>
  <si>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</si>
  <si>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</si>
  <si>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</si>
  <si>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</si>
  <si>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</si>
  <si>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</si>
  <si>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</si>
  <si>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</si>
  <si>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</si>
  <si>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</si>
  <si>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</si>
  <si>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</si>
  <si>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</si>
  <si>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</si>
  <si>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</si>
  <si>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</si>
  <si>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</si>
  <si>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</si>
  <si>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</si>
  <si>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</si>
  <si>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</si>
  <si>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</si>
  <si>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</si>
  <si>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</si>
  <si>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</si>
  <si>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</si>
  <si>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</si>
  <si>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</si>
  <si>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</si>
  <si>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</si>
  <si>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</si>
  <si>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</si>
  <si>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</si>
  <si>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</si>
  <si>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</si>
  <si>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</si>
  <si>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</si>
  <si>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</si>
  <si>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</si>
  <si>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</si>
  <si>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</si>
  <si>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</si>
  <si>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</si>
  <si>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</si>
  <si>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</si>
  <si>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</si>
  <si>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</si>
  <si>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</si>
  <si>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</si>
  <si>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</si>
  <si>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</si>
  <si>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</si>
  <si>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</si>
  <si>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</si>
  <si>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</si>
  <si>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</si>
  <si>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</si>
  <si>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</si>
  <si>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</si>
  <si>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</si>
  <si>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</si>
  <si>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</si>
  <si>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</si>
  <si>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</si>
  <si>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</si>
  <si>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</si>
  <si>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</si>
  <si>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</si>
  <si>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</si>
  <si>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</si>
  <si>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</si>
  <si>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</si>
  <si>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</si>
  <si>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</si>
  <si>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</si>
  <si>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</si>
  <si>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</si>
  <si>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</si>
  <si>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</si>
  <si>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</si>
  <si>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</si>
  <si>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</si>
  <si>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</si>
  <si>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</si>
  <si>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</si>
  <si>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</si>
  <si>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</si>
  <si>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</si>
  <si>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</si>
  <si>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</si>
  <si>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</si>
  <si>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</si>
  <si>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</si>
  <si>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</si>
  <si>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</si>
  <si>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</si>
  <si>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</si>
  <si>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</si>
  <si>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</si>
  <si>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</si>
  <si>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</si>
  <si>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</si>
  <si>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</si>
  <si>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</si>
  <si>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</si>
  <si>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</si>
  <si>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</si>
  <si>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</si>
  <si>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</si>
  <si>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</si>
  <si>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</si>
  <si>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</si>
  <si>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</si>
  <si>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</si>
  <si>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</si>
  <si>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</si>
  <si>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</si>
  <si>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</si>
  <si>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</si>
  <si>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</si>
  <si>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</si>
  <si>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</si>
  <si>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</si>
  <si>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</si>
  <si>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</si>
  <si>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</si>
  <si>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</si>
  <si>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</si>
  <si>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</si>
  <si>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</si>
  <si>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</si>
  <si>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</si>
  <si>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</si>
  <si>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</si>
  <si>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</si>
  <si>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</si>
  <si>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</si>
  <si>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</si>
  <si>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</si>
  <si>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</si>
  <si>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</si>
  <si>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</si>
  <si>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</si>
  <si>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</si>
  <si>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</si>
  <si>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</si>
  <si>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</si>
  <si>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</si>
  <si>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</si>
  <si>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</si>
  <si>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</si>
  <si>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</si>
  <si>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</si>
  <si>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</si>
  <si>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</si>
  <si>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</si>
  <si>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</si>
  <si>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</si>
  <si>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</si>
  <si>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</si>
  <si>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</si>
  <si>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</si>
  <si>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</si>
  <si>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</si>
  <si>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</si>
  <si>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</si>
  <si>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</si>
  <si>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</si>
  <si>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</si>
  <si>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</si>
  <si>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</si>
  <si>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</si>
  <si>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</si>
  <si>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</si>
  <si>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</si>
  <si>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</si>
  <si>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</si>
  <si>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</si>
  <si>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</si>
  <si>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</si>
  <si>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</si>
  <si>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</si>
  <si>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</si>
  <si>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</si>
  <si>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</si>
  <si>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</si>
  <si>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</si>
  <si>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</si>
  <si>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</si>
  <si>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</si>
  <si>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</si>
  <si>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</si>
  <si>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</si>
  <si>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</si>
  <si>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</si>
  <si>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</si>
  <si>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</si>
  <si>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</si>
  <si>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</si>
  <si>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</si>
  <si>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</si>
  <si>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</si>
  <si>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</si>
  <si>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</si>
  <si>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</si>
  <si>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</si>
  <si>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</si>
  <si>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</si>
  <si>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</si>
  <si>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</si>
  <si>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</si>
  <si>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</si>
  <si>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</si>
  <si>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</si>
  <si>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</si>
  <si>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</si>
  <si>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</si>
  <si>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</si>
  <si>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</si>
  <si>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</si>
  <si>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</si>
  <si>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</si>
  <si>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</si>
  <si>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</si>
  <si>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</si>
  <si>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</si>
  <si>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</si>
  <si>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</si>
  <si>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</si>
  <si>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</si>
  <si>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</si>
  <si>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</si>
  <si>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</si>
  <si>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</si>
  <si>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</si>
  <si>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</si>
  <si>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</si>
  <si>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</si>
  <si>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</si>
  <si>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</si>
  <si>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</si>
  <si>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</si>
  <si>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</si>
  <si>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</si>
  <si>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</si>
  <si>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</si>
  <si>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</si>
  <si>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</si>
  <si>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</si>
  <si>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</si>
  <si>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</si>
  <si>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</si>
  <si>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</si>
  <si>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</si>
  <si>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</si>
  <si>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</si>
  <si>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</si>
  <si>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</si>
  <si>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</si>
  <si>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</si>
  <si>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</si>
  <si>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</si>
  <si>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</si>
  <si>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</si>
  <si>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</si>
  <si>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</si>
  <si>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</si>
  <si>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</si>
  <si>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</si>
  <si>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</si>
  <si>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</si>
  <si>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</si>
  <si>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</si>
  <si>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</si>
  <si>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</si>
  <si>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</si>
  <si>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</si>
  <si>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</si>
  <si>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</si>
  <si>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</si>
  <si>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</si>
  <si>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</si>
  <si>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</si>
  <si>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</si>
  <si>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</si>
  <si>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</si>
  <si>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</si>
  <si>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</si>
  <si>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</si>
  <si>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</si>
  <si>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</si>
  <si>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</si>
  <si>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</si>
  <si>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</si>
  <si>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</si>
  <si>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</si>
  <si>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</si>
  <si>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</si>
  <si>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</si>
  <si>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</si>
  <si>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</si>
  <si>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</si>
  <si>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</si>
  <si>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</si>
  <si>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</si>
  <si>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</si>
  <si>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</si>
  <si>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</si>
  <si>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</si>
  <si>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</si>
  <si>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</si>
  <si>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</si>
  <si>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</si>
  <si>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</si>
  <si>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</si>
  <si>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</si>
  <si>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</si>
  <si>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</si>
  <si>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</si>
  <si>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</si>
  <si>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</si>
  <si>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</si>
  <si>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</si>
  <si>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</si>
  <si>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</si>
  <si>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</si>
  <si>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</si>
  <si>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</si>
  <si>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</si>
  <si>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</si>
  <si>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</si>
  <si>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</si>
  <si>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</si>
  <si>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</si>
  <si>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</si>
  <si>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</si>
  <si>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</si>
  <si>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</si>
  <si>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</si>
  <si>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</si>
  <si>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</si>
  <si>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</si>
  <si>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</si>
  <si>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</si>
  <si>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</si>
  <si>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</si>
  <si>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</si>
  <si>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</si>
  <si>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</si>
  <si>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</si>
  <si>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</si>
  <si>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</si>
  <si>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</si>
  <si>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</si>
  <si>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</si>
  <si>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</si>
  <si>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</si>
  <si>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</si>
  <si>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</si>
  <si>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</si>
  <si>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</si>
  <si>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</si>
  <si>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</si>
  <si>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</si>
  <si>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</si>
  <si>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</si>
  <si>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</si>
  <si>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</si>
  <si>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</si>
  <si>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</si>
  <si>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</si>
  <si>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</si>
  <si>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</si>
  <si>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</si>
  <si>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</si>
  <si>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</si>
  <si>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</si>
  <si>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</si>
  <si>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</si>
  <si>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</si>
  <si>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</si>
  <si>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</si>
  <si>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</si>
  <si>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</si>
  <si>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</si>
  <si>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</si>
  <si>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</si>
  <si>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</si>
  <si>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</si>
  <si>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</si>
  <si>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</si>
  <si>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</si>
  <si>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</si>
  <si>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</si>
  <si>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</si>
  <si>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</si>
  <si>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</si>
  <si>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</si>
  <si>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</si>
  <si>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</si>
  <si>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</si>
  <si>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</si>
  <si>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</si>
  <si>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</si>
  <si>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</si>
  <si>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</si>
  <si>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</si>
  <si>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</si>
  <si>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</si>
  <si>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</si>
  <si>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</si>
  <si>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</si>
  <si>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</si>
  <si>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</si>
  <si>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</si>
  <si>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</si>
  <si>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</si>
  <si>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</si>
  <si>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</si>
  <si>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</si>
  <si>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</si>
  <si>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</si>
  <si>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</si>
  <si>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</si>
  <si>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</si>
  <si>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</si>
  <si>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</si>
  <si>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</si>
  <si>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</si>
  <si>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</si>
  <si>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</si>
  <si>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</si>
  <si>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</si>
  <si>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</si>
  <si>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</si>
  <si>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</si>
  <si>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</si>
  <si>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</si>
  <si>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</si>
  <si>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</si>
  <si>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</si>
  <si>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</si>
  <si>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</si>
  <si>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</si>
  <si>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</si>
  <si>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</si>
  <si>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</si>
  <si>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</si>
  <si>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</si>
  <si>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</si>
  <si>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</si>
  <si>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</si>
  <si>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</si>
  <si>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</si>
  <si>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</si>
  <si>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</si>
  <si>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</si>
  <si>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</si>
  <si>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</si>
  <si>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</si>
  <si>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</si>
  <si>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</si>
  <si>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</si>
  <si>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</si>
  <si>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</si>
  <si>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</si>
  <si>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</si>
  <si>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</si>
  <si>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</si>
  <si>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</si>
  <si>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</si>
  <si>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</si>
  <si>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</si>
  <si>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</si>
  <si>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</si>
  <si>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</si>
  <si>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</si>
  <si>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</si>
  <si>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</si>
  <si>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</si>
  <si>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</si>
  <si>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</si>
  <si>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</si>
  <si>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</si>
  <si>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</si>
  <si>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</si>
  <si>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</si>
  <si>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</si>
  <si>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</si>
  <si>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</si>
  <si>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</si>
  <si>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</si>
  <si>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</si>
  <si>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</si>
  <si>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</si>
  <si>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</si>
  <si>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</si>
  <si>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</si>
  <si>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</si>
  <si>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</si>
  <si>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</si>
  <si>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</si>
  <si>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</si>
  <si>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</si>
  <si>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</si>
  <si>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</si>
  <si>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</si>
  <si>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</si>
  <si>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</si>
  <si>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</si>
  <si>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</si>
  <si>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</si>
  <si>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</si>
  <si>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</si>
  <si>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</si>
  <si>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</si>
  <si>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</si>
  <si>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</si>
  <si>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</si>
  <si>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</si>
  <si>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</si>
  <si>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</si>
  <si>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</si>
  <si>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</si>
  <si>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</si>
  <si>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</si>
  <si>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</si>
  <si>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</si>
  <si>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</si>
  <si>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</si>
  <si>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</si>
  <si>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</si>
  <si>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</si>
  <si>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</si>
  <si>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</si>
  <si>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</si>
  <si>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</si>
  <si>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</si>
  <si>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</si>
  <si>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</si>
  <si>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</si>
  <si>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</si>
  <si>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</si>
  <si>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</si>
  <si>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</si>
  <si>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</si>
  <si>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</si>
  <si>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</si>
  <si>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</si>
  <si>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</si>
  <si>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</si>
  <si>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</si>
  <si>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</si>
  <si>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</si>
  <si>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</si>
  <si>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</si>
  <si>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</si>
  <si>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</si>
  <si>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</si>
  <si>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</si>
  <si>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</si>
  <si>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</si>
  <si>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</si>
  <si>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</si>
  <si>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</si>
  <si>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</si>
  <si>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</si>
  <si>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</si>
  <si>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</si>
  <si>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</si>
  <si>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</si>
  <si>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</si>
  <si>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</si>
  <si>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</si>
  <si>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</si>
  <si>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</si>
  <si>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</si>
  <si>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</si>
  <si>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</si>
  <si>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</si>
  <si>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</si>
  <si>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</si>
  <si>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</si>
  <si>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</si>
  <si>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</si>
  <si>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</si>
  <si>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</si>
  <si>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</si>
  <si>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</si>
  <si>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</si>
  <si>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</si>
  <si>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</si>
  <si>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</si>
  <si>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</si>
  <si>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</si>
  <si>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</si>
  <si>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</si>
  <si>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</si>
  <si>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</si>
  <si>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</si>
  <si>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</si>
  <si>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</si>
  <si>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</si>
  <si>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</si>
  <si>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</si>
  <si>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</si>
  <si>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</si>
  <si>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</si>
  <si>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</si>
  <si>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</si>
  <si>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</si>
  <si>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</si>
  <si>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</si>
  <si>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</si>
  <si>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</si>
  <si>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</si>
  <si>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</si>
  <si>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</si>
  <si>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</si>
  <si>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</si>
  <si>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</si>
  <si>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</si>
  <si>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</si>
  <si>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</si>
  <si>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</si>
  <si>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</si>
  <si>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</si>
  <si>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</si>
  <si>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</si>
  <si>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</si>
  <si>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</si>
  <si>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</si>
  <si>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</si>
  <si>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</si>
  <si>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</si>
  <si>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</si>
  <si>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</si>
  <si>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</si>
  <si>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</si>
  <si>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</si>
  <si>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</si>
  <si>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</si>
  <si>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</si>
  <si>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</si>
  <si>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</si>
  <si>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</si>
  <si>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</si>
  <si>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</si>
  <si>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</si>
  <si>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</si>
  <si>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</si>
  <si>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</si>
  <si>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</si>
  <si>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</si>
  <si>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</si>
  <si>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</si>
  <si>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</si>
  <si>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</si>
  <si>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</si>
  <si>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</si>
  <si>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</si>
  <si>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</si>
  <si>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</si>
  <si>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</si>
  <si>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</si>
  <si>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</si>
  <si>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</si>
  <si>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</si>
  <si>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</si>
  <si>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</si>
  <si>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</si>
  <si>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</si>
  <si>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</si>
  <si>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</si>
  <si>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</si>
  <si>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</si>
  <si>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</si>
  <si>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</si>
  <si>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</si>
  <si>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</si>
  <si>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</si>
  <si>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</si>
  <si>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</si>
  <si>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</si>
  <si>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</si>
  <si>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</si>
  <si>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</si>
  <si>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</si>
  <si>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</si>
  <si>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</si>
  <si>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</si>
  <si>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</si>
  <si>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</si>
  <si>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</si>
  <si>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</si>
  <si>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</si>
  <si>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</si>
  <si>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</si>
  <si>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</si>
  <si>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</si>
  <si>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</si>
  <si>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</si>
  <si>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</si>
  <si>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</si>
  <si>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</si>
  <si>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</si>
  <si>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</si>
  <si>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</si>
  <si>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</si>
  <si>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</si>
  <si>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</si>
  <si>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</si>
  <si>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</si>
  <si>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</si>
  <si>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</si>
  <si>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</si>
  <si>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</si>
  <si>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</si>
  <si>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</si>
  <si>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</si>
  <si>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</si>
  <si>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</si>
  <si>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</si>
  <si>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</si>
  <si>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</si>
  <si>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</si>
  <si>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</si>
  <si>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</si>
  <si>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</si>
  <si>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</si>
  <si>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</si>
  <si>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</si>
  <si>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</si>
  <si>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</si>
  <si>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</si>
  <si>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</si>
  <si>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</si>
  <si>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</si>
  <si>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</si>
  <si>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</si>
  <si>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</si>
  <si>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</si>
  <si>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</si>
  <si>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</si>
  <si>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</si>
  <si>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</si>
  <si>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</si>
  <si>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</si>
  <si>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</si>
  <si>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</si>
  <si>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</si>
  <si>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</si>
  <si>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</si>
  <si>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</si>
  <si>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</si>
  <si>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</si>
  <si>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</si>
  <si>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</si>
  <si>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</si>
  <si>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</si>
  <si>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</si>
  <si>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</si>
  <si>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</si>
  <si>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</si>
  <si>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</si>
  <si>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</si>
  <si>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</si>
  <si>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</si>
  <si>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</si>
  <si>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</si>
  <si>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</si>
  <si>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</si>
  <si>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</si>
  <si>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</si>
  <si>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</si>
  <si>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</si>
  <si>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</si>
  <si>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</si>
  <si>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</si>
  <si>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</si>
  <si>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</si>
  <si>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</si>
  <si>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</si>
  <si>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</si>
  <si>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</si>
  <si>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</si>
  <si>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</si>
  <si>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</si>
  <si>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</si>
  <si>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</si>
  <si>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</si>
  <si>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</si>
  <si>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</si>
  <si>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</si>
  <si>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</si>
  <si>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</si>
  <si>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</si>
  <si>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</si>
  <si>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</si>
  <si>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</si>
  <si>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</si>
  <si>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</si>
  <si>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</si>
  <si>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</si>
  <si>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</si>
  <si>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</si>
  <si>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</si>
  <si>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</si>
  <si>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</si>
  <si>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</si>
  <si>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</si>
  <si>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</si>
  <si>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</si>
  <si>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</si>
  <si>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</si>
  <si>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</si>
  <si>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</si>
  <si>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</si>
  <si>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</si>
  <si>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</si>
  <si>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</si>
  <si>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</si>
  <si>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</si>
  <si>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</si>
  <si>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</si>
  <si>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</si>
  <si>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</si>
  <si>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</si>
  <si>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</si>
  <si>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</si>
  <si>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</si>
  <si>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</si>
  <si>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</si>
  <si>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</si>
  <si>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</si>
  <si>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</si>
  <si>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</si>
  <si>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</si>
  <si>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</si>
  <si>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</si>
  <si>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</si>
  <si>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</si>
  <si>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</si>
  <si>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</si>
  <si>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</si>
  <si>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</si>
  <si>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</si>
  <si>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</si>
  <si>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</si>
  <si>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</si>
  <si>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</si>
  <si>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</si>
  <si>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</si>
  <si>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</si>
  <si>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</si>
  <si>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</si>
  <si>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</si>
  <si>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</si>
  <si>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</si>
  <si>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</si>
  <si>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</si>
  <si>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</si>
  <si>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</si>
  <si>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</si>
  <si>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</si>
  <si>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</si>
  <si>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</si>
  <si>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</si>
  <si>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</si>
  <si>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</si>
  <si>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</si>
  <si>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</si>
  <si>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</si>
  <si>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</si>
  <si>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</si>
  <si>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</si>
  <si>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</si>
  <si>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</si>
  <si>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</si>
  <si>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</si>
  <si>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</si>
  <si>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</si>
  <si>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</si>
  <si>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</si>
  <si>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</si>
  <si>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</si>
  <si>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</si>
  <si>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</si>
  <si>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</si>
  <si>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</si>
  <si>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</si>
  <si>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</si>
  <si>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</si>
  <si>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</si>
  <si>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</si>
  <si>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</si>
  <si>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</si>
  <si>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</si>
  <si>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</si>
  <si>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</si>
  <si>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</si>
  <si>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</si>
  <si>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</si>
  <si>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</si>
  <si>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</si>
  <si>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</si>
  <si>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</si>
  <si>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</si>
  <si>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</si>
  <si>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</si>
  <si>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</si>
  <si>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</si>
  <si>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</si>
  <si>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</si>
  <si>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</si>
  <si>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</si>
  <si>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</si>
  <si>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</si>
  <si>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</si>
  <si>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</si>
  <si>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</si>
  <si>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</si>
  <si>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</si>
  <si>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</si>
  <si>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</si>
  <si>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</si>
  <si>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</si>
  <si>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</si>
  <si>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</si>
  <si>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</si>
  <si>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</si>
  <si>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</si>
  <si>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</si>
  <si>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</si>
  <si>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</si>
  <si>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</si>
  <si>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</si>
  <si>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</si>
  <si>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</si>
  <si>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</si>
  <si>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</si>
  <si>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</si>
  <si>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</si>
  <si>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</si>
  <si>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</si>
  <si>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</si>
  <si>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</si>
  <si>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</si>
  <si>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</si>
  <si>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</si>
  <si>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</si>
  <si>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</si>
  <si>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</si>
  <si>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</si>
  <si>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</si>
  <si>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</si>
  <si>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</si>
  <si>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</si>
  <si>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</si>
  <si>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</si>
  <si>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</si>
  <si>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</si>
  <si>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</si>
  <si>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</si>
  <si>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</si>
  <si>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</si>
  <si>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</si>
  <si>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</si>
  <si>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</si>
  <si>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</si>
  <si>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</si>
  <si>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</si>
  <si>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</si>
  <si>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</si>
  <si>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</si>
  <si>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</si>
  <si>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</si>
  <si>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</si>
  <si>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</si>
  <si>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</si>
  <si>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</si>
  <si>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</si>
  <si>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</si>
  <si>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</si>
  <si>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</si>
  <si>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</si>
  <si>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</si>
  <si>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</si>
  <si>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</si>
  <si>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</si>
  <si>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</si>
  <si>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</si>
  <si>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</si>
  <si>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</si>
  <si>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</si>
  <si>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</si>
  <si>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</si>
  <si>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</si>
  <si>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</si>
  <si>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</si>
  <si>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</si>
  <si>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</si>
  <si>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</si>
  <si>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</si>
  <si>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</si>
  <si>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</si>
  <si>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</si>
  <si>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</si>
  <si>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</si>
  <si>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</si>
  <si>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</si>
  <si>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</si>
  <si>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</si>
  <si>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</si>
  <si>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</si>
  <si>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</si>
  <si>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</si>
  <si>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</si>
  <si>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</si>
  <si>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</si>
  <si>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</si>
  <si>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</si>
  <si>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</si>
  <si>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</si>
  <si>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</si>
  <si>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</si>
  <si>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</si>
  <si>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</si>
  <si>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</si>
  <si>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</si>
  <si>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</si>
  <si>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</si>
  <si>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</si>
  <si>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</si>
  <si>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</si>
  <si>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</si>
  <si>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</si>
  <si>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</si>
  <si>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</si>
  <si>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</si>
  <si>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</si>
  <si>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</si>
  <si>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</si>
  <si>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</si>
  <si>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</si>
  <si>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</si>
  <si>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</si>
  <si>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</si>
  <si>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</si>
  <si>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</si>
  <si>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</si>
  <si>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</si>
  <si>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</si>
  <si>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</si>
  <si>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</si>
  <si>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</si>
  <si>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</si>
  <si>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</si>
  <si>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</si>
  <si>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</si>
  <si>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</si>
  <si>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</si>
  <si>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</si>
  <si>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</si>
  <si>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</si>
  <si>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</si>
  <si>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</si>
  <si>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</si>
  <si>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</si>
  <si>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</si>
  <si>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</si>
  <si>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</si>
  <si>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</si>
  <si>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</si>
  <si>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</si>
  <si>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</si>
  <si>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</si>
  <si>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</si>
  <si>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</si>
  <si>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</si>
  <si>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</si>
  <si>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</si>
  <si>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</si>
  <si>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</si>
  <si>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</si>
  <si>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</si>
  <si>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</si>
  <si>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</si>
  <si>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</si>
  <si>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</si>
  <si>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</si>
  <si>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</si>
  <si>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</si>
  <si>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</si>
  <si>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</si>
  <si>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</si>
  <si>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</si>
  <si>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</si>
  <si>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</si>
  <si>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</si>
  <si>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</si>
  <si>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</si>
  <si>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</si>
  <si>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</si>
  <si>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</si>
  <si>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</si>
  <si>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</si>
  <si>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</si>
  <si>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</si>
  <si>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</si>
  <si>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</si>
  <si>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</si>
  <si>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</si>
  <si>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</si>
  <si>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</si>
  <si>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</si>
  <si>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</si>
  <si>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</si>
  <si>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</si>
  <si>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</si>
  <si>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</si>
  <si>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</si>
  <si>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</si>
  <si>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</si>
  <si>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</si>
  <si>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</si>
  <si>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</si>
  <si>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</si>
  <si>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</si>
  <si>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</si>
  <si>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</si>
  <si>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</si>
  <si>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</si>
  <si>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</si>
  <si>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</si>
  <si>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</si>
  <si>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</si>
  <si>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</si>
  <si>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</si>
  <si>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</si>
  <si>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</si>
  <si>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</si>
  <si>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</si>
  <si>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</si>
  <si>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</si>
  <si>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</si>
  <si>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</si>
  <si>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</si>
  <si>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</si>
  <si>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</si>
  <si>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</si>
  <si>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</si>
  <si>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</si>
  <si>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</si>
  <si>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</si>
  <si>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</si>
  <si>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</si>
  <si>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</si>
  <si>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</si>
  <si>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</si>
  <si>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</si>
  <si>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</si>
  <si>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</si>
  <si>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</si>
  <si>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</si>
  <si>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</si>
  <si>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</si>
  <si>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</si>
  <si>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</si>
  <si>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</si>
  <si>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</si>
  <si>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</si>
  <si>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</si>
  <si>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</si>
  <si>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</si>
  <si>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</si>
  <si>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</si>
  <si>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</si>
  <si>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</si>
  <si>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</si>
  <si>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</si>
  <si>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</si>
  <si>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</si>
  <si>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</si>
  <si>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</si>
  <si>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</si>
  <si>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</si>
  <si>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</si>
  <si>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</si>
  <si>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</si>
  <si>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</si>
  <si>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</si>
  <si>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</si>
  <si>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</si>
  <si>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</si>
  <si>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</si>
  <si>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</si>
  <si>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</si>
  <si>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</si>
  <si>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</si>
  <si>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</si>
  <si>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</si>
  <si>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</si>
  <si>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</si>
  <si>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</si>
  <si>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</si>
  <si>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</si>
  <si>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</si>
  <si>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</si>
  <si>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</si>
  <si>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</si>
  <si>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</si>
  <si>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</si>
  <si>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</si>
  <si>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</si>
  <si>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</si>
  <si>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</si>
  <si>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</si>
  <si>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</si>
  <si>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</si>
  <si>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</si>
  <si>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</si>
  <si>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</si>
  <si>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</si>
  <si>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</si>
  <si>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</si>
  <si>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</si>
  <si>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</si>
  <si>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</si>
  <si>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</si>
  <si>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</si>
  <si>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</si>
  <si>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</si>
  <si>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</si>
  <si>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</si>
  <si>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</si>
  <si>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</si>
  <si>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</si>
  <si>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</si>
  <si>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</si>
  <si>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</si>
  <si>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</si>
  <si>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</si>
  <si>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</si>
  <si>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</si>
  <si>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</si>
  <si>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</si>
  <si>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</si>
  <si>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</si>
  <si>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</si>
  <si>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</si>
  <si>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</si>
  <si>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</si>
  <si>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</si>
  <si>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</si>
  <si>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</si>
  <si>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</si>
  <si>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</si>
  <si>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</si>
  <si>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</si>
  <si>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</si>
  <si>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</si>
  <si>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</si>
  <si>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</si>
  <si>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</si>
  <si>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</si>
  <si>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</si>
  <si>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</si>
  <si>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</si>
  <si>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</si>
  <si>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</si>
  <si>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</si>
  <si>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</si>
  <si>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</si>
  <si>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</si>
  <si>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</si>
  <si>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</si>
  <si>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</si>
  <si>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</si>
  <si>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</si>
  <si>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</si>
  <si>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</si>
  <si>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</si>
  <si>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</si>
  <si>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</si>
  <si>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</si>
  <si>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</si>
  <si>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</si>
  <si>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</si>
  <si>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</si>
  <si>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</si>
  <si>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</si>
  <si>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</si>
  <si>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</si>
  <si>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</si>
  <si>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</si>
  <si>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</si>
  <si>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</si>
  <si>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</si>
  <si>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</si>
  <si>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</si>
  <si>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</si>
  <si>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</si>
  <si>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</si>
  <si>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</si>
  <si>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</si>
  <si>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</si>
  <si>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</si>
  <si>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</si>
  <si>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</si>
  <si>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</si>
  <si>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</si>
  <si>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</si>
  <si>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</si>
  <si>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</si>
  <si>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</si>
  <si>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</si>
  <si>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</si>
  <si>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</si>
  <si>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</si>
  <si>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</si>
  <si>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</si>
  <si>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</si>
  <si>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</si>
  <si>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</si>
  <si>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</si>
  <si>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</si>
  <si>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</si>
  <si>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</si>
  <si>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</si>
  <si>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</si>
  <si>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</si>
  <si>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</si>
  <si>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</si>
  <si>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</si>
  <si>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</si>
  <si>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</si>
  <si>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</si>
  <si>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</si>
  <si>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</si>
  <si>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</si>
  <si>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</si>
  <si>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</si>
  <si>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</si>
  <si>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</si>
  <si>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</si>
  <si>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</si>
  <si>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</si>
  <si>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</si>
  <si>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</si>
  <si>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</si>
  <si>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</si>
  <si>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</si>
  <si>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</si>
  <si>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</si>
  <si>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</si>
  <si>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</si>
  <si>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</si>
  <si>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</si>
  <si>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</si>
  <si>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</si>
  <si>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</si>
  <si>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</si>
  <si>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</si>
  <si>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</si>
  <si>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</si>
  <si>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</si>
  <si>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</si>
  <si>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</si>
  <si>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</si>
  <si>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</si>
  <si>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</si>
  <si>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</si>
  <si>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</si>
  <si>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</si>
  <si>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</si>
  <si>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</si>
  <si>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</si>
  <si>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</si>
  <si>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</si>
  <si>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</si>
  <si>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</si>
  <si>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</si>
  <si>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</si>
  <si>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</si>
  <si>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</si>
  <si>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</si>
  <si>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</si>
  <si>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</si>
  <si>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</si>
  <si>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</si>
  <si>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</si>
  <si>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</si>
  <si>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</si>
  <si>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</si>
  <si>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</si>
  <si>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</si>
  <si>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</si>
  <si>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</si>
  <si>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</si>
  <si>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</si>
  <si>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</si>
  <si>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</si>
  <si>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</si>
  <si>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</si>
  <si>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</si>
  <si>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</si>
  <si>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</si>
  <si>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</si>
  <si>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</si>
  <si>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</si>
  <si>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</si>
  <si>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</si>
  <si>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</si>
  <si>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</si>
  <si>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</si>
  <si>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</si>
  <si>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</si>
  <si>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</si>
  <si>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</si>
  <si>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</si>
  <si>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</si>
  <si>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</si>
  <si>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</si>
  <si>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</si>
  <si>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</si>
  <si>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</si>
  <si>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</si>
  <si>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</si>
  <si>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</si>
  <si>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</si>
  <si>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</si>
  <si>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</si>
  <si>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</si>
  <si>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</si>
  <si>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</si>
  <si>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</si>
  <si>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</si>
  <si>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</si>
  <si>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</si>
  <si>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</si>
  <si>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</si>
  <si>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</si>
  <si>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</si>
  <si>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</si>
  <si>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</si>
  <si>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</si>
  <si>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</si>
  <si>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</si>
  <si>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</si>
  <si>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</si>
  <si>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</si>
  <si>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</si>
  <si>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</si>
  <si>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</si>
  <si>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</si>
  <si>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</si>
  <si>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</si>
  <si>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</si>
  <si>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</si>
  <si>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</si>
  <si>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</si>
  <si>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</si>
  <si>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</si>
  <si>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</si>
  <si>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</si>
  <si>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</si>
  <si>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</si>
  <si>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</si>
  <si>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</si>
  <si>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</si>
  <si>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</si>
  <si>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</si>
  <si>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</si>
  <si>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</si>
  <si>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</si>
  <si>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</si>
  <si>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</si>
  <si>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</si>
  <si>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</si>
  <si>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</si>
  <si>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</si>
  <si>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</si>
  <si>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</si>
  <si>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</si>
  <si>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</si>
  <si>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</si>
  <si>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</si>
  <si>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</si>
  <si>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</si>
  <si>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</si>
  <si>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</si>
  <si>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</si>
  <si>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</si>
  <si>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</si>
  <si>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</si>
  <si>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</si>
  <si>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</si>
  <si>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</si>
  <si>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</si>
  <si>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</si>
  <si>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</si>
  <si>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</si>
  <si>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</si>
  <si>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</si>
  <si>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</si>
  <si>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</si>
  <si>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</si>
  <si>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</si>
  <si>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</si>
  <si>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</si>
  <si>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</si>
  <si>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</si>
  <si>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</si>
  <si>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</si>
  <si>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</si>
  <si>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</si>
  <si>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</si>
  <si>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</si>
  <si>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</si>
  <si>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</si>
  <si>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</si>
  <si>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</si>
  <si>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</si>
  <si>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</si>
  <si>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</si>
  <si>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</si>
  <si>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</si>
  <si>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</si>
  <si>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</si>
  <si>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</si>
  <si>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</si>
  <si>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</si>
  <si>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</si>
  <si>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</si>
  <si>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</si>
  <si>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</si>
  <si>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</si>
  <si>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</si>
  <si>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</si>
  <si>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</si>
  <si>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</si>
  <si>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</si>
  <si>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</si>
  <si>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</si>
  <si>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</si>
  <si>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</si>
  <si>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</si>
  <si>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</si>
  <si>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</si>
  <si>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</si>
  <si>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</si>
  <si>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</si>
  <si>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</si>
  <si>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</si>
  <si>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</si>
  <si>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</si>
  <si>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</si>
  <si>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</si>
  <si>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</si>
  <si>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</si>
  <si>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</si>
  <si>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</si>
  <si>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</si>
  <si>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</si>
  <si>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</si>
  <si>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</si>
  <si>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</si>
  <si>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</si>
  <si>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</si>
  <si>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</si>
  <si>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</si>
  <si>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</si>
  <si>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</si>
  <si>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</si>
  <si>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</si>
  <si>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</si>
  <si>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</si>
  <si>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</si>
  <si>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</si>
  <si>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</si>
  <si>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</si>
  <si>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</si>
  <si>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</si>
  <si>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</si>
  <si>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</si>
  <si>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</si>
  <si>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</si>
  <si>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</si>
  <si>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</si>
  <si>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</si>
  <si>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</si>
  <si>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</si>
  <si>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</si>
  <si>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</si>
  <si>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</si>
  <si>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</si>
  <si>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</si>
  <si>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</si>
  <si>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</si>
  <si>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</si>
  <si>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</si>
  <si>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</si>
  <si>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</si>
  <si>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</si>
  <si>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</si>
  <si>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</si>
  <si>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</si>
  <si>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</si>
  <si>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</si>
  <si>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</si>
  <si>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</si>
  <si>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</si>
  <si>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</si>
  <si>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</si>
  <si>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</si>
  <si>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</si>
  <si>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</si>
  <si>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</si>
  <si>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</si>
  <si>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</si>
  <si>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</si>
  <si>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</si>
  <si>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</si>
  <si>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</si>
  <si>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</si>
  <si>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</si>
  <si>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</si>
  <si>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</si>
  <si>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</si>
  <si>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</si>
  <si>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</si>
  <si>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</si>
  <si>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</si>
  <si>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</si>
  <si>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</si>
  <si>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</si>
  <si>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</si>
  <si>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</si>
  <si>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</si>
  <si>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</si>
  <si>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</si>
  <si>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</si>
  <si>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</si>
  <si>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</si>
  <si>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</si>
  <si>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</si>
  <si>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</si>
  <si>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</si>
  <si>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</si>
  <si>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</si>
  <si>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</si>
  <si>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</si>
  <si>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</si>
  <si>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</si>
  <si>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</si>
  <si>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</si>
  <si>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</si>
  <si>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</si>
  <si>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</si>
  <si>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</si>
  <si>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</si>
  <si>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</si>
  <si>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</si>
  <si>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</si>
  <si>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</si>
  <si>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</si>
  <si>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</si>
  <si>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</si>
  <si>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</si>
  <si>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</si>
  <si>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</si>
  <si>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</si>
  <si>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</si>
  <si>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</si>
  <si>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</si>
  <si>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</si>
  <si>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</si>
  <si>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</si>
  <si>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</si>
  <si>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</si>
  <si>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</si>
  <si>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</si>
  <si>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</si>
  <si>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</si>
  <si>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</si>
  <si>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</si>
  <si>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</si>
  <si>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</si>
  <si>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</si>
  <si>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</si>
  <si>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</si>
  <si>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</si>
  <si>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</si>
  <si>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</si>
  <si>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</si>
  <si>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</si>
  <si>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</si>
  <si>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</si>
  <si>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</si>
  <si>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</si>
  <si>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</si>
  <si>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</si>
  <si>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</si>
  <si>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</si>
  <si>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</si>
  <si>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</si>
  <si>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</si>
  <si>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</si>
  <si>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</si>
  <si>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</si>
  <si>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</si>
  <si>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</si>
  <si>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</si>
  <si>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</si>
  <si>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</si>
  <si>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</si>
  <si>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</si>
  <si>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</si>
  <si>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</si>
  <si>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</si>
  <si>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</si>
  <si>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</si>
  <si>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</si>
  <si>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</si>
  <si>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</si>
  <si>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</si>
  <si>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</si>
  <si>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</si>
  <si>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</si>
  <si>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</si>
  <si>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</si>
  <si>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</si>
  <si>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</si>
  <si>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</si>
  <si>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</si>
  <si>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</si>
  <si>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</si>
  <si>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</si>
  <si>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</si>
  <si>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</si>
  <si>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</si>
  <si>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</si>
  <si>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</si>
  <si>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</si>
  <si>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</si>
  <si>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</si>
  <si>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</si>
  <si>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</si>
  <si>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</si>
  <si>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</si>
  <si>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</si>
  <si>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</si>
  <si>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</si>
  <si>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</si>
  <si>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</si>
  <si>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</si>
  <si>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</si>
  <si>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</si>
  <si>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</si>
  <si>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</si>
  <si>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</si>
  <si>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</si>
  <si>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</si>
  <si>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</si>
  <si>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</si>
  <si>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</si>
  <si>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</si>
  <si>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</si>
  <si>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</si>
  <si>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</si>
  <si>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</si>
  <si>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</si>
  <si>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</si>
  <si>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</si>
  <si>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</si>
  <si>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</si>
  <si>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</si>
  <si>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</si>
  <si>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</si>
  <si>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</si>
  <si>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</si>
  <si>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</si>
  <si>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</si>
  <si>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</si>
  <si>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</si>
  <si>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</si>
  <si>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</si>
  <si>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</si>
  <si>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</si>
  <si>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</si>
  <si>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</si>
  <si>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</si>
  <si>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</si>
  <si>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</si>
  <si>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</si>
  <si>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</si>
  <si>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</si>
  <si>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</si>
  <si>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</si>
  <si>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</si>
  <si>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</si>
  <si>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</si>
  <si>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</si>
  <si>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</si>
  <si>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</si>
  <si>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</si>
  <si>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</si>
  <si>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</si>
  <si>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</si>
  <si>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</si>
  <si>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</si>
  <si>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</si>
  <si>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</si>
  <si>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</si>
  <si>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</si>
  <si>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</si>
  <si>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</si>
  <si>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</si>
  <si>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</si>
  <si>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</si>
  <si>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</si>
  <si>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</si>
  <si>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</si>
  <si>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</si>
  <si>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</si>
  <si>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</si>
  <si>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</si>
  <si>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</si>
  <si>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</si>
  <si>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</si>
  <si>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</si>
  <si>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</si>
  <si>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</si>
  <si>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</si>
  <si>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</si>
  <si>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</si>
  <si>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</si>
  <si>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</si>
  <si>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</si>
  <si>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</si>
  <si>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</si>
  <si>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</si>
  <si>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</si>
  <si>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</si>
  <si>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</si>
  <si>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</si>
  <si>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</si>
  <si>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</si>
  <si>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</si>
  <si>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</si>
  <si>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</si>
  <si>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</si>
  <si>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</si>
  <si>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</si>
  <si>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</si>
  <si>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</si>
  <si>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</si>
  <si>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</si>
  <si>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</si>
  <si>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</si>
  <si>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</si>
  <si>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</si>
  <si>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</si>
  <si>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</si>
  <si>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</si>
  <si>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</si>
  <si>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</si>
  <si>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</si>
  <si>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</si>
  <si>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</si>
  <si>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</si>
  <si>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</si>
  <si>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</si>
  <si>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</si>
  <si>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</si>
  <si>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</si>
  <si>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</si>
  <si>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</si>
  <si>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</si>
  <si>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</si>
  <si>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</si>
  <si>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</si>
  <si>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</si>
  <si>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</si>
  <si>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</si>
  <si>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</si>
  <si>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</si>
  <si>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</si>
  <si>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</si>
  <si>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</si>
  <si>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</si>
  <si>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</si>
  <si>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</si>
  <si>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</si>
  <si>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</si>
  <si>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</si>
  <si>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</si>
  <si>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</si>
  <si>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</si>
  <si>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</si>
  <si>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</si>
  <si>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</si>
  <si>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</si>
  <si>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</si>
  <si>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</si>
  <si>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</si>
  <si>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</si>
  <si>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</si>
  <si>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</si>
  <si>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</si>
  <si>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</si>
  <si>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</si>
  <si>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</si>
  <si>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</si>
  <si>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</si>
  <si>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</si>
  <si>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</si>
  <si>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</si>
  <si>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</si>
  <si>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</si>
  <si>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</si>
  <si>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</si>
  <si>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</si>
  <si>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</si>
  <si>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</si>
  <si>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</si>
  <si>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</si>
  <si>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</si>
  <si>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</si>
  <si>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</si>
  <si>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</si>
  <si>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</si>
  <si>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</si>
  <si>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</si>
  <si>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</si>
  <si>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</si>
  <si>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</si>
  <si>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</si>
  <si>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</si>
  <si>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</si>
  <si>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</si>
  <si>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</si>
  <si>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</si>
  <si>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</si>
  <si>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</si>
  <si>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</si>
  <si>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</si>
  <si>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</si>
  <si>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</si>
  <si>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</si>
  <si>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</si>
  <si>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</si>
  <si>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</si>
  <si>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</si>
  <si>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</si>
  <si>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</si>
  <si>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</si>
  <si>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</si>
  <si>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</si>
  <si>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</si>
  <si>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</si>
  <si>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</si>
  <si>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</si>
  <si>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</si>
  <si>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</si>
  <si>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</si>
  <si>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</si>
  <si>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</si>
  <si>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</si>
  <si>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</si>
  <si>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</si>
  <si>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</si>
  <si>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</si>
  <si>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</si>
  <si>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</si>
  <si>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</si>
  <si>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</si>
  <si>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</si>
  <si>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</si>
  <si>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</si>
  <si>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</si>
  <si>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</si>
  <si>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</si>
  <si>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</si>
  <si>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</si>
  <si>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</si>
  <si>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</si>
  <si>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</si>
  <si>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</si>
  <si>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</si>
  <si>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</si>
  <si>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</si>
  <si>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</si>
  <si>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</si>
  <si>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</si>
  <si>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</si>
  <si>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</si>
  <si>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</si>
  <si>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</si>
  <si>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</si>
  <si>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</si>
  <si>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</si>
  <si>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</si>
  <si>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</si>
  <si>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</si>
  <si>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</si>
  <si>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</si>
  <si>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</si>
  <si>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</si>
  <si>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</si>
  <si>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</si>
  <si>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</si>
  <si>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</si>
  <si>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</si>
  <si>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</si>
  <si>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</si>
  <si>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</si>
  <si>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</si>
  <si>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</si>
  <si>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</si>
  <si>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</si>
  <si>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</si>
  <si>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</si>
  <si>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</si>
  <si>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</si>
  <si>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</si>
  <si>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</si>
  <si>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</si>
  <si>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</si>
  <si>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</si>
  <si>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</si>
  <si>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</si>
  <si>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</si>
  <si>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</si>
  <si>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</si>
  <si>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</si>
  <si>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</si>
  <si>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</si>
  <si>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</si>
  <si>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</si>
  <si>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</si>
  <si>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</si>
  <si>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</si>
  <si>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</si>
  <si>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</si>
  <si>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</si>
  <si>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</si>
  <si>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</si>
  <si>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</si>
  <si>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</si>
  <si>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</si>
  <si>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</si>
  <si>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</si>
  <si>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</si>
  <si>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</si>
  <si>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</si>
  <si>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</si>
  <si>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</si>
  <si>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</si>
  <si>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</si>
  <si>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</si>
  <si>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</si>
  <si>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</si>
  <si>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</si>
  <si>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</si>
  <si>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</si>
  <si>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</si>
  <si>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</si>
  <si>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</si>
  <si>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</si>
  <si>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</si>
  <si>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</si>
  <si>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</si>
  <si>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</si>
  <si>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</si>
  <si>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</si>
  <si>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</si>
  <si>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</si>
  <si>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</si>
  <si>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</si>
  <si>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</si>
  <si>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</si>
  <si>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</si>
  <si>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</si>
  <si>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</si>
  <si>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</si>
  <si>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</si>
  <si>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</si>
  <si>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</si>
  <si>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</si>
  <si>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</si>
  <si>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</si>
  <si>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</si>
  <si>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</si>
  <si>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</si>
  <si>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</si>
  <si>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</si>
  <si>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</si>
  <si>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</si>
  <si>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</si>
  <si>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</si>
  <si>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</si>
  <si>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</si>
  <si>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</si>
  <si>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</si>
  <si>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</si>
  <si>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</si>
  <si>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</si>
  <si>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</si>
  <si>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</si>
  <si>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</si>
  <si>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</si>
  <si>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</si>
  <si>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</si>
  <si>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</si>
  <si>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</si>
  <si>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</si>
  <si>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</si>
  <si>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</si>
  <si>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</si>
  <si>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</si>
  <si>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</si>
  <si>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</si>
  <si>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</si>
  <si>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</si>
  <si>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</si>
  <si>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</si>
  <si>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</si>
  <si>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</si>
  <si>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</si>
  <si>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</si>
  <si>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</si>
  <si>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</si>
  <si>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</si>
  <si>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</si>
  <si>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</si>
  <si>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</si>
  <si>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</si>
  <si>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</si>
  <si>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</si>
  <si>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</si>
  <si>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</si>
  <si>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</si>
  <si>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</si>
  <si>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</si>
  <si>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</si>
  <si>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</si>
  <si>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</si>
  <si>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</si>
  <si>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</si>
  <si>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</si>
  <si>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</si>
  <si>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</si>
  <si>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</si>
  <si>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</si>
  <si>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</si>
  <si>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</si>
  <si>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</si>
  <si>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</si>
  <si>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</si>
  <si>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</si>
  <si>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</si>
  <si>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</si>
  <si>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</si>
  <si>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</si>
  <si>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</si>
  <si>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</si>
  <si>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</si>
  <si>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</si>
  <si>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</si>
  <si>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</si>
  <si>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</si>
  <si>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</si>
  <si>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</si>
  <si>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</si>
  <si>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</si>
  <si>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</si>
  <si>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</si>
  <si>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</si>
  <si>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</si>
  <si>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</si>
  <si>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</si>
  <si>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</si>
  <si>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</si>
  <si>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</si>
  <si>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</si>
  <si>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</si>
  <si>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</si>
  <si>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</si>
  <si>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</si>
  <si>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</si>
  <si>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</si>
  <si>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</si>
  <si>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</si>
  <si>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</si>
  <si>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</si>
  <si>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</si>
  <si>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</si>
  <si>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</si>
  <si>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</si>
  <si>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</si>
  <si>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</si>
  <si>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</si>
  <si>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</si>
  <si>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</si>
  <si>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</si>
  <si>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</si>
  <si>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</si>
  <si>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</si>
  <si>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</si>
  <si>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</si>
  <si>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</si>
  <si>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</si>
  <si>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</si>
  <si>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</si>
  <si>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</si>
  <si>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</si>
  <si>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</si>
  <si>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</si>
  <si>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</si>
  <si>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</si>
  <si>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</si>
  <si>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</si>
  <si>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</si>
  <si>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</si>
  <si>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</si>
  <si>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</si>
  <si>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</si>
  <si>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</si>
  <si>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</si>
  <si>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</si>
  <si>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</si>
  <si>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</si>
  <si>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</si>
  <si>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</si>
  <si>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</si>
  <si>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</si>
  <si>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</si>
  <si>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</si>
  <si>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</si>
  <si>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</si>
  <si>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</si>
  <si>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</si>
  <si>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</si>
  <si>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</si>
  <si>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</si>
  <si>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</si>
  <si>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</si>
  <si>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</si>
  <si>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</si>
  <si>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</si>
  <si>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</si>
  <si>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</si>
  <si>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</si>
  <si>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</si>
  <si>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</si>
  <si>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</si>
  <si>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</si>
  <si>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</si>
  <si>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</si>
  <si>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</si>
  <si>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</si>
  <si>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</si>
  <si>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</si>
  <si>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</si>
  <si>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</si>
  <si>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</si>
  <si>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</si>
  <si>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</si>
  <si>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</si>
  <si>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</si>
  <si>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</si>
  <si>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</si>
  <si>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</si>
  <si>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</si>
  <si>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</si>
  <si>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</si>
  <si>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</si>
  <si>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</si>
  <si>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</si>
  <si>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</si>
  <si>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</si>
  <si>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</si>
  <si>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</si>
  <si>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</si>
  <si>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</si>
  <si>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</si>
  <si>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</si>
  <si>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</si>
  <si>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</si>
  <si>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</si>
  <si>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</si>
  <si>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</si>
  <si>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</si>
  <si>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</si>
  <si>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</si>
  <si>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</si>
  <si>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</si>
  <si>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</si>
  <si>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</si>
  <si>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</si>
  <si>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</si>
  <si>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</si>
  <si>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</si>
  <si>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</si>
  <si>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</si>
  <si>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</si>
  <si>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</si>
  <si>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</si>
  <si>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</si>
  <si>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</si>
  <si>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</si>
  <si>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</si>
  <si>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</si>
  <si>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</si>
  <si>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</si>
  <si>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</si>
  <si>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</si>
  <si>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</si>
  <si>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</si>
  <si>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</si>
  <si>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</si>
  <si>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</si>
  <si>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</si>
  <si>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</si>
  <si>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</si>
  <si>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</si>
  <si>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</si>
  <si>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</si>
  <si>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</si>
  <si>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</si>
  <si>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</si>
  <si>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</si>
  <si>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</si>
  <si>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</si>
  <si>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</si>
  <si>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</si>
  <si>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</si>
  <si>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</si>
  <si>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</si>
  <si>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</si>
  <si>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</si>
  <si>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</si>
  <si>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</si>
  <si>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</si>
  <si>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</si>
  <si>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</si>
  <si>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</si>
  <si>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</si>
  <si>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</si>
  <si>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</si>
  <si>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</si>
  <si>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</si>
  <si>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</si>
  <si>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</si>
  <si>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</si>
  <si>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</si>
  <si>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</si>
  <si>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</si>
  <si>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</si>
  <si>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</si>
  <si>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</si>
  <si>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</si>
  <si>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</si>
  <si>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</si>
  <si>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</si>
  <si>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</si>
  <si>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</si>
  <si>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</si>
  <si>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</si>
  <si>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</si>
  <si>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</si>
  <si>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</si>
  <si>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</si>
  <si>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</si>
  <si>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</si>
  <si>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</si>
  <si>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</si>
  <si>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</si>
  <si>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</si>
  <si>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</si>
  <si>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</si>
  <si>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</si>
  <si>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</si>
  <si>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</si>
  <si>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</si>
  <si>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</si>
  <si>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</si>
  <si>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</si>
  <si>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</si>
  <si>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</si>
  <si>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</si>
  <si>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</si>
  <si>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</si>
  <si>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</si>
  <si>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</si>
  <si>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</si>
  <si>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</si>
  <si>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</si>
  <si>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</si>
  <si>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</si>
  <si>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</si>
  <si>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</si>
  <si>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</si>
  <si>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</si>
  <si>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</si>
  <si>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</si>
  <si>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</si>
  <si>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</si>
  <si>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</si>
  <si>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</si>
  <si>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</si>
  <si>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</si>
  <si>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</si>
  <si>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</si>
  <si>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</si>
  <si>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</si>
  <si>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</si>
  <si>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</si>
  <si>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</si>
  <si>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</si>
  <si>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</si>
  <si>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</si>
  <si>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</si>
  <si>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</si>
  <si>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</si>
  <si>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</si>
  <si>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</si>
  <si>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</si>
  <si>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</si>
  <si>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</si>
  <si>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</si>
  <si>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</si>
  <si>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</si>
  <si>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</si>
  <si>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</si>
  <si>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</si>
  <si>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</si>
  <si>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</si>
  <si>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</si>
  <si>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</si>
  <si>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</si>
  <si>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</si>
  <si>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</si>
  <si>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</si>
  <si>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</si>
  <si>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</si>
  <si>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</si>
  <si>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</si>
  <si>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</si>
  <si>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</si>
  <si>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</si>
  <si>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</si>
  <si>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</si>
  <si>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</si>
  <si>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</si>
  <si>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</si>
  <si>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</si>
  <si>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</si>
  <si>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</si>
  <si>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</si>
  <si>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</si>
  <si>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</si>
  <si>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</si>
  <si>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</si>
  <si>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</si>
  <si>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</si>
  <si>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</si>
  <si>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</si>
  <si>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</si>
  <si>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</si>
  <si>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</si>
  <si>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</si>
  <si>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</si>
  <si>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</si>
  <si>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</si>
  <si>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</si>
  <si>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</si>
  <si>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</si>
  <si>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</si>
  <si>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</si>
  <si>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</si>
  <si>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</si>
  <si>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</si>
  <si>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</si>
  <si>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</si>
  <si>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</si>
  <si>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</si>
  <si>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</si>
  <si>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</si>
  <si>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</si>
  <si>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</si>
  <si>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</si>
  <si>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</si>
  <si>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</si>
  <si>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</si>
  <si>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</si>
  <si>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</si>
  <si>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</si>
  <si>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</si>
  <si>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</si>
  <si>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</si>
  <si>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</si>
  <si>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</si>
  <si>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</si>
  <si>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</si>
  <si>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</si>
  <si>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</si>
  <si>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</si>
  <si>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</si>
  <si>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</si>
  <si>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</si>
  <si>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</si>
  <si>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</si>
  <si>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</si>
  <si>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</si>
  <si>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</si>
  <si>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</si>
  <si>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</si>
  <si>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</si>
  <si>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</si>
  <si>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</si>
  <si>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</si>
  <si>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</si>
  <si>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</si>
  <si>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</si>
  <si>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</si>
  <si>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</si>
  <si>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</si>
  <si>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</si>
  <si>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</si>
  <si>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</si>
  <si>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</si>
  <si>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</si>
  <si>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</si>
  <si>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</si>
  <si>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</si>
  <si>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</si>
  <si>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</si>
  <si>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</si>
  <si>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</si>
  <si>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</si>
  <si>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</si>
  <si>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</si>
  <si>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</si>
  <si>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</si>
  <si>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</si>
  <si>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</si>
  <si>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</si>
  <si>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</si>
  <si>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</si>
  <si>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</si>
  <si>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</si>
  <si>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</si>
  <si>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</si>
  <si>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</si>
  <si>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</si>
  <si>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</si>
  <si>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</si>
  <si>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</si>
  <si>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</si>
  <si>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</si>
  <si>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</si>
  <si>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</si>
  <si>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</si>
  <si>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</si>
  <si>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</si>
  <si>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</si>
  <si>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</si>
  <si>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</si>
  <si>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</si>
  <si>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</si>
  <si>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</si>
  <si>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</si>
  <si>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</si>
  <si>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</si>
  <si>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</si>
  <si>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</si>
  <si>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</si>
  <si>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</si>
  <si>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</si>
  <si>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</si>
  <si>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</si>
  <si>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</si>
  <si>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</si>
  <si>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</si>
  <si>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</si>
  <si>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</si>
  <si>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</si>
  <si>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</si>
  <si>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</si>
  <si>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</si>
  <si>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</si>
  <si>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</si>
  <si>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</si>
  <si>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</si>
  <si>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</si>
  <si>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</si>
  <si>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</si>
  <si>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</si>
  <si>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</si>
  <si>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</si>
  <si>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</si>
  <si>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</si>
  <si>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</si>
  <si>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</si>
  <si>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</si>
  <si>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</si>
  <si>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</si>
  <si>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</si>
  <si>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</si>
  <si>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</si>
  <si>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</si>
  <si>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</si>
  <si>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</si>
  <si>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</si>
  <si>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</si>
  <si>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</si>
  <si>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</si>
  <si>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</si>
  <si>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</si>
  <si>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</si>
  <si>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</si>
  <si>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</si>
  <si>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</si>
  <si>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</si>
  <si>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</si>
  <si>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</si>
  <si>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</si>
  <si>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</si>
  <si>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</si>
  <si>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</si>
  <si>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</si>
  <si>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</si>
  <si>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</si>
  <si>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</si>
  <si>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</si>
  <si>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</si>
  <si>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</si>
  <si>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</si>
  <si>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</si>
  <si>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</si>
  <si>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</si>
  <si>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</si>
  <si>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</si>
  <si>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</si>
  <si>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</si>
  <si>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</si>
  <si>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</si>
  <si>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</si>
  <si>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</si>
  <si>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</si>
  <si>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</si>
  <si>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</si>
  <si>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</si>
  <si>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</si>
  <si>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</si>
  <si>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</si>
  <si>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</si>
  <si>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</si>
  <si>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</si>
  <si>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</si>
  <si>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</si>
  <si>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</si>
  <si>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</si>
  <si>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</si>
  <si>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</si>
  <si>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</si>
  <si>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</si>
  <si>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</si>
  <si>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</si>
  <si>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</si>
  <si>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</si>
  <si>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</si>
  <si>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</si>
  <si>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</si>
  <si>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</si>
  <si>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</si>
  <si>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</si>
  <si>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</si>
  <si>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</si>
  <si>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</si>
  <si>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</si>
  <si>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</si>
  <si>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</si>
  <si>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</si>
  <si>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</si>
  <si>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</si>
  <si>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</si>
  <si>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</si>
  <si>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</si>
  <si>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</si>
  <si>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</si>
  <si>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</si>
  <si>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</si>
  <si>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</si>
  <si>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</si>
  <si>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</si>
  <si>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</si>
  <si>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</si>
  <si>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</si>
  <si>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</si>
  <si>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</si>
  <si>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</si>
  <si>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</si>
  <si>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</si>
  <si>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</si>
  <si>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</si>
  <si>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</si>
  <si>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</si>
  <si>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</si>
  <si>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</si>
  <si>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</si>
  <si>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</si>
  <si>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</si>
  <si>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</si>
  <si>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</si>
  <si>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</si>
  <si>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</si>
  <si>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</si>
  <si>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</si>
  <si>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</si>
  <si>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</si>
  <si>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</si>
  <si>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</si>
  <si>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</si>
  <si>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</si>
  <si>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</si>
  <si>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</si>
  <si>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</si>
  <si>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</si>
  <si>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</si>
  <si>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</si>
  <si>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</si>
  <si>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</si>
  <si>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</si>
  <si>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</si>
  <si>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</si>
  <si>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</si>
  <si>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</si>
  <si>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</si>
  <si>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</si>
  <si>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</si>
  <si>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</si>
  <si>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</si>
  <si>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</si>
  <si>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</si>
  <si>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</si>
  <si>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</si>
  <si>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</si>
  <si>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</si>
  <si>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</si>
  <si>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</si>
  <si>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</si>
  <si>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</si>
  <si>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</si>
  <si>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</si>
  <si>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</si>
  <si>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</si>
  <si>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</si>
  <si>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</si>
  <si>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</si>
  <si>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</si>
  <si>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</si>
  <si>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</si>
  <si>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</si>
  <si>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</si>
  <si>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</si>
  <si>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</si>
  <si>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</si>
  <si>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</si>
  <si>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</si>
  <si>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</si>
  <si>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</si>
  <si>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</si>
  <si>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</si>
  <si>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</si>
  <si>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</si>
  <si>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</si>
  <si>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</si>
  <si>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</si>
  <si>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</si>
  <si>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</si>
  <si>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</si>
  <si>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</si>
  <si>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</si>
  <si>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</si>
  <si>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</si>
  <si>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</si>
  <si>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</si>
  <si>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</si>
  <si>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</si>
  <si>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</si>
  <si>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</si>
  <si>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</si>
  <si>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</si>
  <si>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</si>
  <si>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</si>
  <si>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</si>
  <si>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</si>
  <si>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</si>
  <si>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</si>
  <si>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</si>
  <si>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</si>
  <si>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</si>
  <si>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</si>
  <si>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</si>
  <si>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</si>
  <si>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</si>
  <si>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</si>
  <si>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</si>
  <si>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</si>
  <si>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</si>
  <si>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</si>
  <si>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</si>
  <si>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</si>
  <si>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</si>
  <si>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</si>
  <si>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</si>
  <si>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</si>
  <si>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</si>
  <si>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</si>
  <si>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</si>
  <si>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</si>
  <si>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</si>
  <si>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</si>
  <si>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</si>
  <si>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</si>
  <si>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</si>
  <si>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</si>
  <si>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</si>
  <si>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</si>
  <si>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</si>
  <si>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</si>
  <si>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</si>
  <si>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</si>
  <si>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</si>
  <si>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</si>
  <si>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</si>
  <si>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</si>
  <si>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</si>
  <si>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</si>
  <si>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</si>
  <si>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</si>
  <si>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</si>
  <si>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</si>
  <si>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</si>
  <si>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</si>
  <si>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</si>
  <si>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</si>
  <si>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</si>
  <si>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</si>
  <si>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</si>
  <si>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</si>
  <si>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</si>
  <si>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</si>
  <si>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</si>
  <si>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</si>
  <si>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</si>
  <si>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</si>
  <si>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</si>
  <si>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</si>
  <si>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</si>
  <si>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</si>
  <si>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</si>
  <si>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</si>
  <si>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</si>
  <si>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</si>
  <si>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</si>
  <si>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</si>
  <si>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</si>
  <si>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</si>
  <si>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</si>
  <si>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</si>
  <si>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</si>
  <si>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</si>
  <si>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</si>
  <si>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</si>
  <si>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</si>
  <si>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</si>
  <si>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</si>
  <si>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</si>
  <si>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</si>
  <si>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</si>
  <si>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</si>
  <si>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</si>
  <si>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</si>
  <si>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</si>
  <si>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</si>
  <si>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</si>
  <si>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</si>
  <si>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</si>
  <si>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</si>
  <si>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</si>
  <si>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</si>
  <si>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</si>
  <si>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</si>
  <si>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</si>
  <si>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</si>
  <si>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</si>
  <si>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</si>
  <si>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</si>
  <si>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</si>
  <si>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</si>
  <si>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</si>
  <si>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</si>
  <si>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</si>
  <si>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</si>
  <si>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</si>
  <si>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</si>
  <si>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</si>
  <si>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</si>
  <si>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</si>
  <si>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</si>
  <si>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</si>
  <si>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</si>
  <si>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</si>
  <si>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</si>
  <si>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</si>
  <si>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</si>
  <si>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</si>
  <si>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</si>
  <si>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</si>
  <si>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</si>
  <si>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</si>
  <si>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</si>
  <si>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</si>
  <si>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</si>
  <si>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</si>
  <si>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</si>
  <si>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</si>
  <si>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</si>
  <si>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</si>
  <si>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</si>
  <si>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</si>
  <si>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</si>
  <si>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</si>
  <si>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</si>
  <si>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</si>
  <si>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</si>
  <si>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</si>
  <si>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</si>
  <si>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</si>
  <si>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</si>
  <si>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</si>
  <si>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</si>
  <si>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</si>
  <si>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</si>
  <si>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</si>
  <si>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</si>
  <si>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</si>
  <si>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</si>
  <si>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</si>
  <si>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</si>
  <si>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</si>
  <si>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</si>
  <si>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</si>
  <si>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</si>
  <si>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</si>
  <si>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</si>
  <si>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</si>
  <si>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</si>
  <si>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</si>
  <si>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</si>
  <si>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</si>
  <si>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</si>
  <si>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</si>
  <si>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</si>
  <si>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</si>
  <si>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</si>
  <si>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</si>
  <si>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</si>
  <si>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</si>
  <si>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</si>
  <si>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</si>
  <si>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</si>
  <si>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</si>
  <si>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</si>
  <si>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</si>
  <si>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</si>
  <si>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</si>
  <si>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</si>
  <si>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</si>
  <si>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</si>
  <si>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</si>
  <si>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</si>
  <si>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</si>
  <si>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</si>
  <si>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</si>
  <si>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</si>
  <si>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</si>
  <si>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</si>
  <si>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</si>
  <si>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</si>
  <si>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</si>
  <si>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</si>
  <si>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</si>
  <si>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</si>
  <si>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</si>
  <si>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</si>
  <si>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</si>
  <si>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</si>
  <si>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</si>
  <si>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</si>
  <si>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</si>
  <si>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</si>
  <si>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</si>
  <si>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</si>
  <si>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</si>
  <si>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</si>
  <si>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</si>
  <si>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</si>
  <si>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</si>
  <si>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</si>
  <si>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</si>
  <si>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</si>
  <si>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</si>
  <si>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</si>
  <si>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</si>
  <si>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</si>
  <si>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</si>
  <si>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</si>
  <si>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</si>
  <si>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</si>
  <si>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</si>
  <si>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</si>
  <si>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</si>
  <si>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</si>
  <si>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</si>
  <si>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</si>
  <si>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</si>
  <si>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</si>
  <si>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</si>
  <si>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</si>
  <si>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</si>
  <si>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</si>
  <si>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</si>
  <si>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</si>
  <si>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</si>
  <si>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</si>
  <si>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</si>
  <si>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</si>
  <si>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</si>
  <si>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</si>
  <si>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</si>
  <si>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</si>
  <si>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</si>
  <si>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</si>
  <si>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</si>
  <si>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</si>
  <si>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</si>
  <si>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</si>
  <si>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</si>
  <si>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</si>
  <si>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</si>
  <si>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</si>
  <si>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</si>
  <si>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</si>
  <si>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</si>
  <si>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</si>
  <si>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</si>
  <si>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</si>
  <si>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</si>
  <si>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</si>
  <si>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</si>
  <si>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</si>
  <si>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</si>
  <si>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</si>
  <si>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</si>
  <si>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</si>
  <si>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</si>
  <si>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</si>
  <si>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</si>
  <si>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</si>
  <si>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</si>
  <si>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</si>
  <si>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</si>
  <si>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</si>
  <si>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</si>
  <si>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</si>
  <si>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</si>
  <si>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</si>
  <si>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</si>
  <si>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</si>
  <si>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</si>
  <si>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</si>
  <si>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</si>
  <si>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</si>
  <si>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</si>
  <si>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</si>
  <si>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</si>
  <si>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</si>
  <si>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</si>
  <si>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</si>
  <si>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</si>
  <si>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</si>
  <si>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</si>
  <si>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</si>
  <si>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</si>
  <si>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</si>
  <si>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</si>
  <si>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</si>
  <si>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</si>
  <si>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</si>
  <si>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</si>
  <si>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</si>
  <si>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</si>
  <si>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</si>
  <si>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</si>
  <si>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</si>
  <si>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</si>
  <si>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2025-2</t>
    <phoneticPr fontId="4" type="noConversion"/>
  </si>
  <si>
    <t>2025-3</t>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</si>
  <si>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</si>
  <si>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</si>
  <si>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</si>
  <si>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</si>
  <si>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</si>
  <si>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</si>
  <si>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</si>
  <si>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2025-2</t>
    <phoneticPr fontId="4" type="noConversion"/>
  </si>
  <si>
    <t>吴薇</t>
  </si>
  <si>
    <t>郑燚</t>
  </si>
  <si>
    <t>抵押</t>
  </si>
  <si>
    <t>房地产抵押价值</t>
  </si>
  <si>
    <t>北京市</t>
  </si>
  <si>
    <t>企业</t>
  </si>
  <si>
    <t>通路</t>
  </si>
  <si>
    <t>通电</t>
  </si>
  <si>
    <t>通讯</t>
  </si>
  <si>
    <t>通上水</t>
  </si>
  <si>
    <t>通下水</t>
  </si>
  <si>
    <t>平整</t>
  </si>
  <si>
    <t>燃气</t>
  </si>
  <si>
    <t>B1层</t>
  </si>
  <si>
    <t>是</t>
  </si>
  <si>
    <t>地上</t>
  </si>
  <si>
    <t>成新度</t>
  </si>
  <si>
    <t>竣工时间</t>
    <phoneticPr fontId="4" type="noConversion"/>
  </si>
  <si>
    <t>直线</t>
    <phoneticPr fontId="4" type="noConversion"/>
  </si>
  <si>
    <t>观察</t>
    <phoneticPr fontId="4" type="noConversion"/>
  </si>
  <si>
    <t>自定义容积率</t>
  </si>
  <si>
    <t>朝阳门外大街</t>
  </si>
  <si>
    <t>与级别开发程度不一致</t>
  </si>
  <si>
    <t>较好</t>
  </si>
  <si>
    <t>估价对象所在区域基础设施水平“七通一平</t>
    <phoneticPr fontId="4" type="noConversion"/>
  </si>
  <si>
    <t>好</t>
  </si>
  <si>
    <t>未包含在土地购买价格中</t>
  </si>
  <si>
    <t>已包含在土地取得成本中</t>
  </si>
  <si>
    <t>押一</t>
  </si>
  <si>
    <t>钢混</t>
  </si>
  <si>
    <t>非生产用房</t>
  </si>
  <si>
    <t>现房</t>
  </si>
  <si>
    <t>项目局部</t>
  </si>
  <si>
    <t>商务金融用地</t>
  </si>
  <si>
    <t>成本法办</t>
    <phoneticPr fontId="17" type="noConversion"/>
  </si>
  <si>
    <t>收益法办</t>
  </si>
  <si>
    <t>收益法办</t>
    <phoneticPr fontId="17" type="noConversion"/>
  </si>
  <si>
    <t>出让金+开发费</t>
  </si>
  <si>
    <t>情况3</t>
  </si>
  <si>
    <t>正常</t>
  </si>
  <si>
    <t>自行开发建设</t>
  </si>
  <si>
    <t>非个人房产</t>
  </si>
  <si>
    <t>丰台区角门东里11号楼</t>
    <phoneticPr fontId="7" type="noConversion"/>
  </si>
  <si>
    <t>综合</t>
  </si>
  <si>
    <t>综合</t>
    <phoneticPr fontId="8" type="noConversion"/>
  </si>
  <si>
    <t>不临65条商业街</t>
  </si>
  <si>
    <t>全部缴纳</t>
  </si>
  <si>
    <t>成本法</t>
  </si>
  <si>
    <t>收益法</t>
  </si>
  <si>
    <t>否</t>
  </si>
  <si>
    <t>总价</t>
  </si>
  <si>
    <t>成本比率</t>
  </si>
  <si>
    <t>序号</t>
    <phoneticPr fontId="135" type="noConversion"/>
  </si>
  <si>
    <t>证号</t>
    <phoneticPr fontId="135" type="noConversion"/>
  </si>
  <si>
    <t>房屋所有权人</t>
    <phoneticPr fontId="135" type="noConversion"/>
  </si>
  <si>
    <t>坐落</t>
    <phoneticPr fontId="135" type="noConversion"/>
  </si>
  <si>
    <t>总层数</t>
    <phoneticPr fontId="135" type="noConversion"/>
  </si>
  <si>
    <t>所在层数</t>
    <phoneticPr fontId="135" type="noConversion"/>
  </si>
  <si>
    <t>楼号</t>
    <phoneticPr fontId="135" type="noConversion"/>
  </si>
  <si>
    <t>部位及房号</t>
    <phoneticPr fontId="135" type="noConversion"/>
  </si>
  <si>
    <t>建筑面积</t>
    <phoneticPr fontId="135" type="noConversion"/>
  </si>
  <si>
    <t>结构</t>
    <phoneticPr fontId="135" type="noConversion"/>
  </si>
  <si>
    <r>
      <t>京(</t>
    </r>
    <r>
      <rPr>
        <sz val="11"/>
        <color theme="1"/>
        <rFont val="宋体"/>
        <family val="3"/>
        <charset val="134"/>
        <scheme val="minor"/>
      </rPr>
      <t>2018)朝不动产权第0083244号</t>
    </r>
    <phoneticPr fontId="135" type="noConversion"/>
  </si>
  <si>
    <t>北京冠阳水世界投资管理有限公司</t>
    <phoneticPr fontId="135" type="noConversion"/>
  </si>
  <si>
    <r>
      <t>朝阳区红军营南路3</t>
    </r>
    <r>
      <rPr>
        <sz val="11"/>
        <color theme="1"/>
        <rFont val="宋体"/>
        <family val="3"/>
        <charset val="134"/>
        <scheme val="minor"/>
      </rPr>
      <t>6号院1号楼-3至1层101</t>
    </r>
    <phoneticPr fontId="135" type="noConversion"/>
  </si>
  <si>
    <t>1（-03）</t>
    <phoneticPr fontId="135" type="noConversion"/>
  </si>
  <si>
    <t>1号楼</t>
    <phoneticPr fontId="135" type="noConversion"/>
  </si>
  <si>
    <t>钢混</t>
    <phoneticPr fontId="135" type="noConversion"/>
  </si>
  <si>
    <t>项目不得分割销售</t>
    <phoneticPr fontId="135" type="noConversion"/>
  </si>
  <si>
    <t>京(2018)朝不动产权第0106474号</t>
    <phoneticPr fontId="135" type="noConversion"/>
  </si>
  <si>
    <t>朝阳区红军营南路36号院2号楼1至7层101</t>
    <phoneticPr fontId="135" type="noConversion"/>
  </si>
  <si>
    <t>商业</t>
    <phoneticPr fontId="135" type="noConversion"/>
  </si>
  <si>
    <r>
      <t>1</t>
    </r>
    <r>
      <rPr>
        <sz val="11"/>
        <color theme="1"/>
        <rFont val="宋体"/>
        <family val="3"/>
        <charset val="134"/>
        <scheme val="minor"/>
      </rPr>
      <t>-7</t>
    </r>
    <phoneticPr fontId="135" type="noConversion"/>
  </si>
  <si>
    <t>2号楼</t>
    <phoneticPr fontId="135" type="noConversion"/>
  </si>
  <si>
    <t>土地年限</t>
    <phoneticPr fontId="135" type="noConversion"/>
  </si>
  <si>
    <t>京(2018)朝不动产权第0106473号</t>
    <phoneticPr fontId="135" type="noConversion"/>
  </si>
  <si>
    <t>朝阳区红军营南路36号院3号楼1至5层101</t>
    <phoneticPr fontId="135" type="noConversion"/>
  </si>
  <si>
    <t>1-5</t>
    <phoneticPr fontId="135" type="noConversion"/>
  </si>
  <si>
    <t>3号楼</t>
    <phoneticPr fontId="135" type="noConversion"/>
  </si>
  <si>
    <t>房屋总层数</t>
    <phoneticPr fontId="135" type="noConversion"/>
  </si>
  <si>
    <t>建成年份</t>
    <phoneticPr fontId="135" type="noConversion"/>
  </si>
  <si>
    <t>京(2017)丰不动产权第0063995号</t>
    <phoneticPr fontId="135" type="noConversion"/>
  </si>
  <si>
    <t>北京乐那迪商贸有限公司</t>
    <phoneticPr fontId="135" type="noConversion"/>
  </si>
  <si>
    <r>
      <t>丰台区角门东里1</t>
    </r>
    <r>
      <rPr>
        <sz val="11"/>
        <color theme="1"/>
        <rFont val="宋体"/>
        <family val="3"/>
        <charset val="134"/>
        <scheme val="minor"/>
      </rPr>
      <t>1号楼1至3层全部</t>
    </r>
    <phoneticPr fontId="135" type="noConversion"/>
  </si>
  <si>
    <t>混合</t>
    <phoneticPr fontId="135" type="noConversion"/>
  </si>
  <si>
    <t>九二</t>
    <phoneticPr fontId="135" type="noConversion"/>
  </si>
  <si>
    <t>买卖合同</t>
  </si>
  <si>
    <t>2016年5月1日后购买</t>
  </si>
  <si>
    <t>较好</t>
    <phoneticPr fontId="4" type="noConversion"/>
  </si>
  <si>
    <r>
      <rPr>
        <sz val="10"/>
        <color theme="9" tint="-0.249977111117893"/>
        <rFont val="宋体"/>
        <family val="3"/>
        <charset val="134"/>
      </rPr>
      <t>城市主干道</t>
    </r>
    <r>
      <rPr>
        <sz val="10"/>
        <color theme="9" tint="-0.249977111117893"/>
        <rFont val="Arial"/>
        <family val="2"/>
      </rPr>
      <t>——</t>
    </r>
    <r>
      <rPr>
        <sz val="10"/>
        <color theme="9" tint="-0.249977111117893"/>
        <rFont val="宋体"/>
        <family val="3"/>
        <charset val="134"/>
      </rPr>
      <t>马家堡东路</t>
    </r>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</si>
</sst>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cellStyleXfs>
  <cellXfs count="3510">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0" fontId="48" fillId="0" borderId="1" xfId="0" applyFont="1" applyBorder="1" applyAlignment="1" applyProtection="1">
      <alignment horizontal="left" vertical="center" wrapText="1"/>
      <protection locked="0"/>
    </xf>
    <xf numFmtId="0" fontId="78" fillId="12" borderId="0" xfId="0" applyFont="1" applyFill="1" applyProtection="1">
      <alignment vertical="center"/>
      <protection locked="0"/>
    </xf>
    <xf numFmtId="1" fontId="99" fillId="7" borderId="0" xfId="0" applyNumberFormat="1" applyFont="1" applyFill="1" applyProtection="1">
      <alignment vertical="center"/>
      <protection locked="0"/>
    </xf>
    <xf numFmtId="0" fontId="1" fillId="0" borderId="0" xfId="12" applyFont="1" applyAlignment="1" applyProtection="1">
      <alignment horizontal="left"/>
      <protection locked="0"/>
    </xf>
    <xf numFmtId="49" fontId="223" fillId="12" borderId="4" xfId="0" applyNumberFormat="1" applyFont="1" applyFill="1" applyBorder="1" applyAlignment="1" applyProtection="1">
      <alignment horizontal="left" vertical="center"/>
      <protection locked="0"/>
    </xf>
    <xf numFmtId="0" fontId="96" fillId="0" borderId="1" xfId="10" applyBorder="1" applyAlignment="1">
      <alignment vertical="center" wrapText="1"/>
    </xf>
    <xf numFmtId="0" fontId="96" fillId="0" borderId="0" xfId="10" applyAlignment="1">
      <alignment vertical="center" wrapText="1"/>
    </xf>
    <xf numFmtId="0" fontId="96" fillId="0" borderId="0" xfId="10">
      <alignment vertical="center"/>
    </xf>
    <xf numFmtId="49" fontId="96" fillId="0" borderId="1" xfId="10" applyNumberFormat="1" applyBorder="1" applyAlignment="1">
      <alignment vertical="center" wrapText="1"/>
    </xf>
    <xf numFmtId="14" fontId="96" fillId="0" borderId="1" xfId="10" applyNumberFormat="1" applyBorder="1" applyAlignment="1">
      <alignment vertical="center" wrapText="1"/>
    </xf>
    <xf numFmtId="49" fontId="96" fillId="0" borderId="0" xfId="10" applyNumberFormat="1" applyAlignment="1">
      <alignment vertical="center" wrapText="1"/>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5" fillId="6" borderId="5" xfId="0" applyFont="1" applyFill="1" applyBorder="1" applyAlignment="1" applyProtection="1">
      <alignment horizontal="left" vertical="center" wrapText="1"/>
      <protection locked="0"/>
    </xf>
    <xf numFmtId="0" fontId="45" fillId="6" borderId="3" xfId="0" applyFont="1" applyFill="1" applyBorder="1" applyAlignment="1" applyProtection="1">
      <alignment horizontal="left" vertical="center" wrapText="1"/>
      <protection locked="0"/>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23" xfId="0" applyFont="1" applyFill="1" applyBorder="1" applyAlignment="1">
      <alignment horizontal="center" vertical="center" wrapText="1"/>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1" xfId="0" applyFont="1" applyFill="1" applyBorder="1" applyAlignment="1">
      <alignment horizontal="center" vertical="center"/>
    </xf>
    <xf numFmtId="0" fontId="45" fillId="6" borderId="54"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7" xfId="0" applyFont="1" applyFill="1" applyBorder="1" applyAlignment="1">
      <alignment horizontal="center"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49" fontId="223" fillId="0" borderId="10" xfId="0" applyNumberFormat="1" applyFont="1" applyBorder="1" applyAlignment="1" applyProtection="1">
      <alignment vertical="center" wrapText="1"/>
      <protection locked="0"/>
    </xf>
    <xf numFmtId="49" fontId="272" fillId="0" borderId="10" xfId="0" applyNumberFormat="1" applyFont="1" applyBorder="1" applyAlignment="1" applyProtection="1">
      <alignment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6">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H:\&#21608;&#24420;\&#25253;&#21578;\2025&#24180;\&#27665;&#29983;&#38134;&#34892;\&#32418;&#20891;&#33829;&#21335;&#36335;&#29031;&#29255;\&#30005;&#31639;&#34920;-&#32418;&#20891;&#33829;&#21335;&#36335;&#26262;&#23665;&#29983;&#27963;.xlsx" TargetMode="External"/><Relationship Id="rId1" Type="http://schemas.openxmlformats.org/officeDocument/2006/relationships/externalLinkPath" Target="/&#21608;&#24420;/&#25253;&#21578;/2025&#24180;/&#27665;&#29983;&#38134;&#34892;/&#32418;&#20891;&#33829;&#21335;&#36335;&#29031;&#29255;/&#30005;&#31639;&#34920;-&#32418;&#20891;&#33829;&#21335;&#36335;&#26262;&#23665;&#29983;&#2796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估价对象"/>
      <sheetName val="数据-基础表"/>
      <sheetName val="数据-汇总表"/>
      <sheetName val="数据-取费表"/>
      <sheetName val="估价对象房地状况"/>
      <sheetName val="系统读取表"/>
      <sheetName val="结果表"/>
      <sheetName val="比较法-商业"/>
      <sheetName val="商业"/>
      <sheetName val="收益法"/>
      <sheetName val="成本法 (元)"/>
      <sheetName val="收益法 (元)"/>
      <sheetName val="结果表地下商"/>
      <sheetName val="基准地价修正"/>
      <sheetName val="成本法"/>
      <sheetName val="假设开发法"/>
      <sheetName val="收益法商"/>
      <sheetName val="结果表车"/>
      <sheetName val="成本法车"/>
      <sheetName val="收益法车"/>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因素修正幅度"/>
      <sheetName val="区片价（范围）"/>
      <sheetName val="地价-分区"/>
      <sheetName val="地价"/>
      <sheetName val="区片价"/>
      <sheetName val="存贷款利率"/>
      <sheetName val="基准地价修正办"/>
      <sheetName val="成本法办"/>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成本法车</v>
          </cell>
        </row>
        <row r="20">
          <cell r="A20" t="str">
            <v>食堂</v>
          </cell>
          <cell r="B20" t="str">
            <v>收益法商</v>
          </cell>
        </row>
        <row r="21">
          <cell r="A21" t="str">
            <v>车库</v>
          </cell>
          <cell r="B21" t="str">
            <v>收益法车</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地上</v>
          </cell>
        </row>
        <row r="20">
          <cell r="C20" t="str">
            <v>地下商业</v>
          </cell>
        </row>
        <row r="21">
          <cell r="C21" t="str">
            <v>地下车库</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ow r="61">
          <cell r="A61" t="str">
            <v>交易情况</v>
          </cell>
          <cell r="C61" t="str">
            <v>正常</v>
          </cell>
        </row>
        <row r="63">
          <cell r="B63" t="str">
            <v>用途</v>
          </cell>
          <cell r="C63" t="str">
            <v>商业</v>
          </cell>
          <cell r="D63" t="str">
            <v>商业办公</v>
          </cell>
          <cell r="E63" t="str">
            <v>办公</v>
          </cell>
        </row>
        <row r="86">
          <cell r="B86" t="str">
            <v>临街状况</v>
          </cell>
          <cell r="C86" t="str">
            <v>多面临街</v>
          </cell>
          <cell r="D86" t="str">
            <v>双面临街</v>
          </cell>
          <cell r="E86" t="str">
            <v>单面临街</v>
          </cell>
        </row>
        <row r="90">
          <cell r="B90" t="str">
            <v>人流量</v>
          </cell>
          <cell r="C90" t="str">
            <v>大</v>
          </cell>
          <cell r="D90" t="str">
            <v>较大</v>
          </cell>
          <cell r="E90" t="str">
            <v>一般</v>
          </cell>
          <cell r="F90" t="str">
            <v>较小</v>
          </cell>
          <cell r="G90" t="str">
            <v>小</v>
          </cell>
        </row>
        <row r="92">
          <cell r="B92" t="str">
            <v>楼层</v>
          </cell>
          <cell r="C92" t="str">
            <v>地上</v>
          </cell>
        </row>
        <row r="100">
          <cell r="B100" t="str">
            <v>商业类型</v>
          </cell>
          <cell r="C100" t="str">
            <v>购物中心</v>
          </cell>
          <cell r="D100" t="str">
            <v>商业街</v>
          </cell>
          <cell r="E100" t="str">
            <v>综合体</v>
          </cell>
        </row>
        <row r="105">
          <cell r="B105" t="str">
            <v>建筑结构</v>
          </cell>
          <cell r="C105" t="str">
            <v>钢混</v>
          </cell>
        </row>
        <row r="107">
          <cell r="B107" t="str">
            <v>公共部分装修</v>
          </cell>
          <cell r="C107" t="str">
            <v>精装</v>
          </cell>
          <cell r="D107" t="str">
            <v>普装</v>
          </cell>
          <cell r="E107" t="str">
            <v>简装</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row>
        <row r="116">
          <cell r="B116" t="str">
            <v>层高</v>
          </cell>
          <cell r="C116" t="str">
            <v>标准</v>
          </cell>
        </row>
        <row r="120">
          <cell r="B120" t="str">
            <v>进深比</v>
          </cell>
        </row>
        <row r="122">
          <cell r="B122" t="str">
            <v>内部装修</v>
          </cell>
          <cell r="C122" t="str">
            <v>精装</v>
          </cell>
          <cell r="D122" t="str">
            <v>普装</v>
          </cell>
          <cell r="E122" t="str">
            <v>简装</v>
          </cell>
          <cell r="F122" t="str">
            <v>毛坯</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40">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2" refreshError="1"/>
      <sheetData sheetId="43">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北京市丰台区角门东里11号楼房地产抵押价值预评估</v>
      </c>
    </row>
    <row r="3" spans="1:2">
      <c r="A3" s="1119" t="s">
        <v>523</v>
      </c>
      <c r="B3" s="1120">
        <f>'预评函-封皮'!B40</f>
        <v>0</v>
      </c>
    </row>
    <row r="4" spans="1:2">
      <c r="A4" s="1119" t="s">
        <v>524</v>
      </c>
      <c r="B4" s="1120" t="str">
        <f ca="1">'预评函-封皮'!B46</f>
        <v>吴薇（注册号：1419970001)、郑燚（注册号：1120070131)</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受贵公司委托，我公司对北京市丰台区角门东里11号楼房地产抵押价值进行了预评估。</v>
      </c>
    </row>
    <row r="7" spans="1:2">
      <c r="A7" s="1119" t="s">
        <v>566</v>
      </c>
      <c r="B7" s="1120" t="str">
        <f>'预评函-1'!A7</f>
        <v>估价对象为北京市丰台区角门东里11号楼房地产，为所有。根据《国有土地使用证》[]，估价对象（分摊）出让国有建设用地使用权面积为1778.06平方米，建筑面积为2170.2平方米。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估价对象为北京市丰台区角门东里11号楼房地产,属开发建设的，该项目尚在开发建设中。根据《国有土地使用证》[]，估价对象（分摊）出让国有建设用地使用权面积为1778.06平方米，规划建筑面积为2170.2平方米。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丰台区角门东里11号楼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2025年4月25日（评估专业人员实地查勘之日）</v>
      </c>
    </row>
    <row r="13" spans="1:2">
      <c r="A13" s="1119" t="s">
        <v>529</v>
      </c>
      <c r="B13" s="1120" t="str">
        <f>'预评函-1'!A18</f>
        <v>本次估价的“房地产价值”是指在正常市场情况下，在价值时点2025年4月25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本次评估采用的主估价方法为成本法和收益法。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6416</v>
      </c>
    </row>
    <row r="21" spans="1:2">
      <c r="A21" s="1119" t="s">
        <v>537</v>
      </c>
      <c r="B21" s="1120">
        <f ca="1">'预评函-2'!D7</f>
        <v>29564</v>
      </c>
    </row>
    <row r="22" spans="1:2">
      <c r="A22" s="1119" t="s">
        <v>538</v>
      </c>
      <c r="B22" s="1120" t="str">
        <f ca="1">'预评函-2'!D6</f>
        <v>陆仟肆佰壹拾陆万元整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6416</v>
      </c>
    </row>
    <row r="31" spans="1:2">
      <c r="A31" s="1119" t="s">
        <v>576</v>
      </c>
      <c r="B31" s="1120">
        <f ca="1">'预评函-2'!D15</f>
        <v>29564</v>
      </c>
    </row>
    <row r="32" spans="1:2">
      <c r="A32" s="1119" t="s">
        <v>543</v>
      </c>
      <c r="B32" s="1120" t="str">
        <f ca="1">'预评函-2'!D14</f>
        <v>陆仟肆佰壹拾陆万元整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4.抵押净值</v>
      </c>
    </row>
    <row r="38" spans="1:2">
      <c r="A38" s="1119" t="s">
        <v>597</v>
      </c>
      <c r="B38" s="1120">
        <f ca="1">'预评函-2'!D19</f>
        <v>6071</v>
      </c>
    </row>
    <row r="39" spans="1:2">
      <c r="A39" s="1119" t="s">
        <v>545</v>
      </c>
      <c r="B39" s="1120">
        <f ca="1">'预评函-2'!D21</f>
        <v>27974</v>
      </c>
    </row>
    <row r="40" spans="1:2">
      <c r="A40" s="1119" t="s">
        <v>546</v>
      </c>
      <c r="B40" s="1120" t="str">
        <f ca="1">'预评函-2'!D20</f>
        <v>陆仟零柒拾壹万元整</v>
      </c>
    </row>
    <row r="41" spans="1:2">
      <c r="A41" s="1119" t="s">
        <v>592</v>
      </c>
      <c r="B41" s="1120" t="str">
        <f>'预评函-3'!A4</f>
        <v>北京市丰台区角门东里11号楼房地产</v>
      </c>
    </row>
    <row r="42" spans="1:2" ht="31.2">
      <c r="A42" s="1119" t="s">
        <v>590</v>
      </c>
      <c r="B42" s="1120" t="str">
        <f>'预评函-3'!B2</f>
        <v>建筑面积</v>
      </c>
    </row>
    <row r="43" spans="1:2">
      <c r="A43" s="1119" t="s">
        <v>591</v>
      </c>
      <c r="B43" s="1120">
        <f>'预评函-3'!B4</f>
        <v>2170.1999999999998</v>
      </c>
    </row>
    <row r="44" spans="1:2" ht="31.2">
      <c r="A44" s="1119" t="s">
        <v>575</v>
      </c>
      <c r="B44" s="1120" t="str">
        <f>'预评函-3'!C2</f>
        <v>(分摊)土地面积</v>
      </c>
    </row>
    <row r="45" spans="1:2">
      <c r="A45" s="1119" t="s">
        <v>547</v>
      </c>
      <c r="B45" s="1120">
        <f>'预评函-3'!C4</f>
        <v>1778.06</v>
      </c>
    </row>
    <row r="46" spans="1:2">
      <c r="A46" s="1119" t="s">
        <v>573</v>
      </c>
      <c r="B46" s="1120" t="str">
        <f>'预评函-3'!D2</f>
        <v>出让国有建设用地使用权价值</v>
      </c>
    </row>
    <row r="47" spans="1:2">
      <c r="A47" s="1119" t="s">
        <v>548</v>
      </c>
      <c r="B47" s="1120">
        <f ca="1">'预评函-3'!D4</f>
        <v>5178</v>
      </c>
    </row>
    <row r="48" spans="1:2">
      <c r="A48" s="1119" t="s">
        <v>549</v>
      </c>
      <c r="B48" s="1120">
        <f ca="1">'预评函-3'!E4</f>
        <v>23859</v>
      </c>
    </row>
    <row r="49" spans="1:2">
      <c r="A49" s="1119" t="s">
        <v>550</v>
      </c>
      <c r="B49" s="1120" t="str">
        <f ca="1">'预评函-3'!D5</f>
        <v>伍仟壹佰柒拾捌万元整</v>
      </c>
    </row>
    <row r="50" spans="1:2">
      <c r="A50" s="1119" t="s">
        <v>574</v>
      </c>
      <c r="B50" s="1120" t="str">
        <f>'预评函-3'!F2</f>
        <v>在建建筑物价值</v>
      </c>
    </row>
    <row r="51" spans="1:2">
      <c r="A51" s="1119" t="s">
        <v>551</v>
      </c>
      <c r="B51" s="1120">
        <f ca="1">'预评函-3'!F4</f>
        <v>1238</v>
      </c>
    </row>
    <row r="52" spans="1:2">
      <c r="A52" s="1119" t="s">
        <v>552</v>
      </c>
      <c r="B52" s="1120">
        <f ca="1">'预评函-3'!G4</f>
        <v>5705</v>
      </c>
    </row>
    <row r="53" spans="1:2">
      <c r="A53" s="1119" t="s">
        <v>580</v>
      </c>
      <c r="B53" s="1120" t="str">
        <f ca="1">'预评函-3'!F5</f>
        <v>壹仟贰佰叁拾捌万元整</v>
      </c>
    </row>
    <row r="54" spans="1:2">
      <c r="A54" s="1119" t="s">
        <v>598</v>
      </c>
      <c r="B54" s="1120" t="str">
        <f>'预评函-3'!A8</f>
        <v>房地产抵押价值</v>
      </c>
    </row>
    <row r="55" spans="1:2">
      <c r="A55" s="1119" t="s">
        <v>581</v>
      </c>
      <c r="B55" s="1120" t="str">
        <f>'预评函-3'!A10</f>
        <v/>
      </c>
    </row>
    <row r="56" spans="1:2">
      <c r="A56" s="1119" t="s">
        <v>582</v>
      </c>
      <c r="B56" s="1120" t="str">
        <f>'预评函-3'!A12</f>
        <v>抵押净值</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吴薇</v>
      </c>
    </row>
    <row r="71" spans="1:2">
      <c r="A71" s="1119" t="s">
        <v>563</v>
      </c>
      <c r="B71" s="1120">
        <f ca="1">'预评函-4'!B4</f>
        <v>1419970001</v>
      </c>
    </row>
    <row r="72" spans="1:2">
      <c r="A72" s="1119" t="s">
        <v>564</v>
      </c>
      <c r="B72" s="1127" t="str">
        <f>'预评函-4'!A5</f>
        <v>郑燚</v>
      </c>
    </row>
    <row r="73" spans="1:2" s="1115" customFormat="1" ht="16.2" thickBot="1">
      <c r="A73" s="1122" t="s">
        <v>565</v>
      </c>
      <c r="B73" s="1123">
        <f ca="1">'预评函-4'!B5</f>
        <v>1120070131</v>
      </c>
    </row>
    <row r="74" spans="1:2" ht="16.2" thickTop="1">
      <c r="A74" s="1112" t="s">
        <v>601</v>
      </c>
      <c r="B74" s="112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2" sqref="I22:J22"/>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3347</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3333</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3334</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3335</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3336</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3337</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3338</v>
      </c>
    </row>
    <row r="8" spans="1:23">
      <c r="A8" s="1441" t="s">
        <v>1026</v>
      </c>
      <c r="B8" s="1441" t="s">
        <v>1027</v>
      </c>
      <c r="C8" s="1442" t="s">
        <v>319</v>
      </c>
      <c r="F8" s="1443" t="s">
        <v>1028</v>
      </c>
      <c r="H8" s="1443" t="s">
        <v>2573</v>
      </c>
      <c r="I8" s="1443" t="s">
        <v>3339</v>
      </c>
    </row>
    <row r="9" spans="1:23">
      <c r="A9" s="1441" t="s">
        <v>1029</v>
      </c>
      <c r="B9" s="1441" t="s">
        <v>1030</v>
      </c>
      <c r="C9" s="1442" t="s">
        <v>320</v>
      </c>
      <c r="F9" s="1443" t="s">
        <v>1031</v>
      </c>
      <c r="H9" s="1443"/>
      <c r="I9" s="1445" t="s">
        <v>3340</v>
      </c>
    </row>
    <row r="10" spans="1:23">
      <c r="A10" s="1441" t="s">
        <v>1032</v>
      </c>
      <c r="B10" s="1441" t="s">
        <v>1033</v>
      </c>
      <c r="C10" s="1442" t="s">
        <v>321</v>
      </c>
      <c r="F10" s="1443" t="s">
        <v>2574</v>
      </c>
      <c r="I10" s="1445" t="s">
        <v>3341</v>
      </c>
    </row>
    <row r="11" spans="1:23">
      <c r="A11" s="1441" t="s">
        <v>1034</v>
      </c>
      <c r="B11" s="1441" t="s">
        <v>1035</v>
      </c>
      <c r="C11" s="1442" t="s">
        <v>322</v>
      </c>
      <c r="F11" s="1443" t="s">
        <v>13</v>
      </c>
      <c r="I11" s="1445" t="s">
        <v>3342</v>
      </c>
    </row>
    <row r="12" spans="1:23">
      <c r="A12" s="1441" t="s">
        <v>1036</v>
      </c>
      <c r="B12" s="1441" t="s">
        <v>1037</v>
      </c>
      <c r="C12" s="1442" t="s">
        <v>323</v>
      </c>
      <c r="I12" s="1445" t="s">
        <v>3343</v>
      </c>
    </row>
    <row r="13" spans="1:23">
      <c r="A13" s="1441" t="s">
        <v>1038</v>
      </c>
      <c r="B13" s="1441" t="s">
        <v>1039</v>
      </c>
      <c r="C13" s="1442" t="s">
        <v>324</v>
      </c>
      <c r="I13" s="1445" t="s">
        <v>3344</v>
      </c>
    </row>
    <row r="14" spans="1:23">
      <c r="A14" s="1441" t="s">
        <v>1040</v>
      </c>
      <c r="B14" s="1441" t="s">
        <v>1041</v>
      </c>
      <c r="C14" s="1443" t="s">
        <v>13</v>
      </c>
      <c r="I14" s="1445" t="s">
        <v>3345</v>
      </c>
    </row>
    <row r="15" spans="1:23">
      <c r="A15" s="1441" t="s">
        <v>1042</v>
      </c>
      <c r="B15" s="1441" t="s">
        <v>1043</v>
      </c>
      <c r="C15" s="1442"/>
      <c r="I15" s="1445" t="s">
        <v>3346</v>
      </c>
    </row>
    <row r="16" spans="1:23">
      <c r="A16" s="1441" t="s">
        <v>1044</v>
      </c>
      <c r="B16" s="1441" t="s">
        <v>312</v>
      </c>
      <c r="C16" s="1442"/>
    </row>
    <row r="17" spans="1:3">
      <c r="A17" s="1441" t="s">
        <v>1045</v>
      </c>
      <c r="B17" s="1441" t="s">
        <v>2289</v>
      </c>
      <c r="C17" s="1442"/>
    </row>
    <row r="18" spans="1:3">
      <c r="A18" s="1441" t="s">
        <v>1046</v>
      </c>
      <c r="B18" s="1441" t="s">
        <v>2429</v>
      </c>
      <c r="C18" s="1442"/>
    </row>
    <row r="19" spans="1:3">
      <c r="A19" s="1441" t="s">
        <v>1047</v>
      </c>
      <c r="B19" s="1444" t="s">
        <v>3442</v>
      </c>
      <c r="C19" s="1442"/>
    </row>
    <row r="20" spans="1:3">
      <c r="A20" s="1441" t="s">
        <v>1048</v>
      </c>
      <c r="B20" s="1444" t="s">
        <v>3444</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角门东里11号楼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1"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1"/>
      <c r="B54" s="1447" t="s">
        <v>385</v>
      </c>
      <c r="C54" s="1445" t="s">
        <v>583</v>
      </c>
    </row>
    <row r="55" spans="1:4">
      <c r="A55" s="3211"/>
      <c r="B55" s="1447" t="s">
        <v>386</v>
      </c>
      <c r="C55" s="1445" t="s">
        <v>584</v>
      </c>
    </row>
    <row r="56" spans="1:4">
      <c r="A56" s="3211"/>
      <c r="B56" s="1447" t="s">
        <v>387</v>
      </c>
      <c r="C56" s="1445" t="s">
        <v>588</v>
      </c>
    </row>
    <row r="57" spans="1:4">
      <c r="A57" s="3211"/>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2496</v>
      </c>
      <c r="B1" s="2754"/>
      <c r="C1" s="2754"/>
      <c r="D1" s="2754"/>
      <c r="E1" s="2754"/>
      <c r="F1" s="2755"/>
      <c r="I1" s="3132" t="s">
        <v>2589</v>
      </c>
      <c r="J1" s="2780"/>
      <c r="K1" s="2780"/>
      <c r="L1" s="2780"/>
      <c r="M1" s="2780"/>
      <c r="N1" s="2965"/>
      <c r="O1" s="2965"/>
      <c r="P1" s="2965"/>
      <c r="Q1" s="2965"/>
      <c r="R1" s="2965"/>
    </row>
    <row r="2" spans="1:18">
      <c r="A2" s="2757"/>
      <c r="B2" s="2758"/>
      <c r="C2" s="2758"/>
      <c r="D2" s="2758"/>
      <c r="E2" s="2758"/>
      <c r="F2" s="2759"/>
      <c r="I2" s="3212" t="s">
        <v>2576</v>
      </c>
      <c r="J2" s="3212"/>
      <c r="K2" s="3212"/>
      <c r="L2" s="3212"/>
      <c r="M2" s="3212"/>
      <c r="N2" s="3212"/>
      <c r="O2" s="3212"/>
      <c r="P2" s="3212"/>
      <c r="Q2" s="3212"/>
      <c r="R2" s="3212"/>
    </row>
    <row r="3" spans="1:18">
      <c r="A3" s="2760" t="s">
        <v>2497</v>
      </c>
      <c r="B3" s="2761">
        <f>项目基本情况!D3</f>
        <v>45772</v>
      </c>
      <c r="C3" s="2763"/>
      <c r="D3" s="2763"/>
      <c r="E3" s="2763"/>
      <c r="F3" s="2759"/>
      <c r="I3" s="2775"/>
      <c r="J3" s="2775" t="s">
        <v>2580</v>
      </c>
      <c r="K3" s="2775" t="s">
        <v>2581</v>
      </c>
      <c r="L3" s="2775" t="s">
        <v>2582</v>
      </c>
      <c r="M3" s="2775" t="s">
        <v>2583</v>
      </c>
      <c r="N3" s="3133" t="s">
        <v>2584</v>
      </c>
      <c r="O3" s="3133" t="s">
        <v>2585</v>
      </c>
      <c r="P3" s="3133" t="s">
        <v>2586</v>
      </c>
      <c r="Q3" s="3133" t="s">
        <v>2587</v>
      </c>
      <c r="R3" s="3133" t="s">
        <v>2588</v>
      </c>
    </row>
    <row r="4" spans="1:18">
      <c r="A4" s="2760" t="s">
        <v>2498</v>
      </c>
      <c r="B4" s="2763" t="s">
        <v>2499</v>
      </c>
      <c r="C4" s="2763" t="s">
        <v>2500</v>
      </c>
      <c r="D4" s="2763" t="s">
        <v>2501</v>
      </c>
      <c r="E4" s="2763" t="s">
        <v>2502</v>
      </c>
      <c r="F4" s="2759"/>
      <c r="I4" s="2775" t="s">
        <v>2577</v>
      </c>
      <c r="J4" s="2775">
        <v>80</v>
      </c>
      <c r="K4" s="2775">
        <v>70</v>
      </c>
      <c r="L4" s="2775">
        <v>20</v>
      </c>
      <c r="M4" s="2775">
        <v>30</v>
      </c>
      <c r="N4" s="2763">
        <v>45</v>
      </c>
      <c r="O4" s="2763">
        <v>60</v>
      </c>
      <c r="P4" s="2763">
        <v>50</v>
      </c>
      <c r="Q4" s="2763">
        <v>20</v>
      </c>
      <c r="R4" s="2763">
        <v>375</v>
      </c>
    </row>
    <row r="5" spans="1:18">
      <c r="A5" s="2764">
        <v>40</v>
      </c>
      <c r="B5" s="2761">
        <v>46375</v>
      </c>
      <c r="C5" s="2763">
        <f>ROUNDDOWN(MIN((B5-B3)/365,A5),2)</f>
        <v>1.65</v>
      </c>
      <c r="D5" s="2765">
        <f>IF(ISERROR(ROUND(POWER(1+E5,A5-C5)*(POWER(1+E5,C5)-1)/(POWER(1+E5,A5)-1),3)),0,ROUND(POWER(1+E5,A5-C5)*(POWER(1+E5,C5)-1)/(POWER(1+E5,A5)-1),4))</f>
        <v>7.9200000000000007E-2</v>
      </c>
      <c r="E5" s="2766">
        <v>0.04</v>
      </c>
      <c r="F5" s="2759"/>
      <c r="I5" s="2775" t="s">
        <v>2578</v>
      </c>
      <c r="J5" s="2775">
        <v>70</v>
      </c>
      <c r="K5" s="2775">
        <v>60</v>
      </c>
      <c r="L5" s="2775">
        <v>15</v>
      </c>
      <c r="M5" s="2775">
        <v>25</v>
      </c>
      <c r="N5" s="2763">
        <v>40</v>
      </c>
      <c r="O5" s="2763">
        <v>50</v>
      </c>
      <c r="P5" s="2763">
        <v>40</v>
      </c>
      <c r="Q5" s="2763">
        <v>15</v>
      </c>
      <c r="R5" s="2763">
        <v>315</v>
      </c>
    </row>
    <row r="6" spans="1:18">
      <c r="A6" s="2764">
        <v>50</v>
      </c>
      <c r="B6" s="2761">
        <v>50028</v>
      </c>
      <c r="C6" s="2763">
        <f>ROUNDDOWN(MIN((B6-B3)/365,A6),2)</f>
        <v>11.66</v>
      </c>
      <c r="D6" s="2765">
        <f>IF(ISERROR(ROUND(POWER(1+E6,A6-C6)*(POWER(1+E6,C6)-1)/(POWER(1+E6,A6)-1),3)),0,ROUND(POWER(1+E6,A6-C6)*(POWER(1+E6,C6)-1)/(POWER(1+E6,A6)-1),4))</f>
        <v>0.42709999999999998</v>
      </c>
      <c r="E6" s="2766">
        <v>0.04</v>
      </c>
      <c r="F6" s="2759"/>
      <c r="I6" s="2775" t="s">
        <v>2579</v>
      </c>
      <c r="J6" s="2775">
        <v>60</v>
      </c>
      <c r="K6" s="2775">
        <v>50</v>
      </c>
      <c r="L6" s="2775">
        <v>10</v>
      </c>
      <c r="M6" s="2775">
        <v>20</v>
      </c>
      <c r="N6" s="2763">
        <v>35</v>
      </c>
      <c r="O6" s="2763">
        <v>40</v>
      </c>
      <c r="P6" s="2763">
        <v>30</v>
      </c>
      <c r="Q6" s="2763">
        <v>10</v>
      </c>
      <c r="R6" s="2763">
        <v>255</v>
      </c>
    </row>
    <row r="7" spans="1:18">
      <c r="A7" s="2764">
        <v>70</v>
      </c>
      <c r="B7" s="2761">
        <v>57333</v>
      </c>
      <c r="C7" s="2763">
        <f>ROUNDDOWN(MIN((B7-B3)/365,A7),2)</f>
        <v>31.67</v>
      </c>
      <c r="D7" s="2765">
        <f>IF(ISERROR(ROUND(POWER(1+E7,A7-C7)*(POWER(1+E7,C7)-1)/(POWER(1+E7,A7)-1),3)),0,ROUND(POWER(1+E7,A7-C7)*(POWER(1+E7,C7)-1)/(POWER(1+E7,A7)-1),4))</f>
        <v>0.76</v>
      </c>
      <c r="E7" s="2766">
        <v>0.04</v>
      </c>
      <c r="F7" s="2759"/>
    </row>
    <row r="8" spans="1:18">
      <c r="A8" s="2757"/>
      <c r="B8" s="2758"/>
      <c r="C8" s="2758"/>
      <c r="D8" s="2758"/>
      <c r="E8" s="2758"/>
      <c r="F8" s="2759"/>
    </row>
    <row r="9" spans="1:18">
      <c r="A9" s="2760" t="s">
        <v>2503</v>
      </c>
      <c r="B9" s="2763"/>
      <c r="C9" s="2763"/>
      <c r="D9" s="2763"/>
      <c r="E9" s="2763"/>
      <c r="F9" s="2767"/>
    </row>
    <row r="10" spans="1:18">
      <c r="A10" s="2760" t="s">
        <v>2504</v>
      </c>
      <c r="B10" s="2763"/>
      <c r="C10" s="2763"/>
      <c r="D10" s="2763" t="s">
        <v>2502</v>
      </c>
      <c r="E10" s="2763"/>
      <c r="F10" s="2767" t="s">
        <v>2501</v>
      </c>
    </row>
    <row r="11" spans="1:18">
      <c r="A11" s="2760" t="s">
        <v>2505</v>
      </c>
      <c r="B11" s="2768">
        <v>70</v>
      </c>
      <c r="C11" s="2763" t="s">
        <v>2506</v>
      </c>
      <c r="D11" s="2768">
        <v>4.4999999999999998E-2</v>
      </c>
      <c r="E11" s="2763" t="s">
        <v>2507</v>
      </c>
      <c r="F11" s="2769">
        <f>ROUND(1-(1/(POWER(1+D11,B11))),4)</f>
        <v>0.95409999999999995</v>
      </c>
    </row>
    <row r="12" spans="1:18">
      <c r="A12" s="2760" t="s">
        <v>2508</v>
      </c>
      <c r="B12" s="2768">
        <v>40</v>
      </c>
      <c r="C12" s="2763" t="s">
        <v>2509</v>
      </c>
      <c r="D12" s="2768">
        <v>4.4999999999999998E-2</v>
      </c>
      <c r="E12" s="2763" t="s">
        <v>2510</v>
      </c>
      <c r="F12" s="2769">
        <f>ROUND(1-(1/(POWER(1+D12,B12))),4)</f>
        <v>0.82809999999999995</v>
      </c>
    </row>
    <row r="13" spans="1:18">
      <c r="A13" s="2760" t="s">
        <v>2511</v>
      </c>
      <c r="B13" s="2763"/>
      <c r="C13" s="2763"/>
      <c r="D13" s="2758"/>
      <c r="E13" s="2758"/>
      <c r="F13" s="2759"/>
    </row>
    <row r="14" spans="1:18">
      <c r="A14" s="2760" t="s">
        <v>2512</v>
      </c>
      <c r="B14" s="2768">
        <v>5000</v>
      </c>
      <c r="C14" s="2762"/>
      <c r="D14" s="2758"/>
      <c r="E14" s="2758"/>
      <c r="F14" s="2759"/>
    </row>
    <row r="15" spans="1:18">
      <c r="A15" s="2760" t="s">
        <v>2513</v>
      </c>
      <c r="B15" s="2763">
        <f>ROUND(B14*F12/F11,2)</f>
        <v>4339.6899999999996</v>
      </c>
      <c r="C15" s="2763">
        <f>ROUND(F12/F11,4)</f>
        <v>0.8679</v>
      </c>
      <c r="D15" s="2758"/>
      <c r="E15" s="2758"/>
      <c r="F15" s="2759"/>
    </row>
    <row r="16" spans="1:18">
      <c r="A16" s="2760" t="s">
        <v>2514</v>
      </c>
      <c r="B16" s="2763"/>
      <c r="C16" s="2763"/>
      <c r="D16" s="2758"/>
      <c r="E16" s="2758"/>
      <c r="F16" s="2759"/>
    </row>
    <row r="17" spans="1:14">
      <c r="A17" s="2760" t="s">
        <v>2513</v>
      </c>
      <c r="B17" s="2768">
        <v>4810</v>
      </c>
      <c r="C17" s="2762"/>
      <c r="D17" s="2758"/>
      <c r="E17" s="2758"/>
      <c r="F17" s="2759"/>
    </row>
    <row r="18" spans="1:14" ht="15" thickBot="1">
      <c r="A18" s="2770" t="s">
        <v>2512</v>
      </c>
      <c r="B18" s="2771">
        <f>ROUND(B17*F11/F12,2)</f>
        <v>5541.87</v>
      </c>
      <c r="C18" s="2771">
        <f>ROUND(F11/F12,4)</f>
        <v>1.1521999999999999</v>
      </c>
      <c r="D18" s="2772"/>
      <c r="E18" s="2772"/>
      <c r="F18" s="2773"/>
    </row>
    <row r="19" spans="1:14" ht="15" thickBot="1"/>
    <row r="20" spans="1:14" s="2806" customFormat="1" ht="15" thickTop="1">
      <c r="A20" s="2803" t="s">
        <v>2515</v>
      </c>
      <c r="B20" s="2804"/>
      <c r="C20" s="2804"/>
      <c r="D20" s="2804"/>
      <c r="E20" s="2804"/>
      <c r="F20" s="2804"/>
      <c r="G20" s="2805"/>
      <c r="I20" s="2807" t="s">
        <v>2560</v>
      </c>
      <c r="J20" s="2807" t="s">
        <v>2565</v>
      </c>
      <c r="K20" s="2807"/>
      <c r="L20" s="2807"/>
      <c r="M20" s="2807"/>
    </row>
    <row r="21" spans="1:14">
      <c r="A21" s="2774"/>
      <c r="B21" s="2775" t="s">
        <v>2516</v>
      </c>
      <c r="C21" s="2775" t="s">
        <v>2517</v>
      </c>
      <c r="D21" s="2775" t="s">
        <v>2518</v>
      </c>
      <c r="E21" s="2775" t="s">
        <v>2519</v>
      </c>
      <c r="F21" s="2775" t="s">
        <v>2520</v>
      </c>
      <c r="G21" s="2776" t="s">
        <v>2521</v>
      </c>
      <c r="I21" s="2797">
        <v>5</v>
      </c>
      <c r="J21" s="2797">
        <v>54.2</v>
      </c>
    </row>
    <row r="22" spans="1:14">
      <c r="A22" s="2774" t="s">
        <v>2522</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2523</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2563</v>
      </c>
      <c r="N23" s="3150" t="s">
        <v>2564</v>
      </c>
    </row>
    <row r="24" spans="1:14">
      <c r="A24" s="2774" t="s">
        <v>2524</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2562</v>
      </c>
      <c r="N24" s="3150">
        <v>10</v>
      </c>
    </row>
    <row r="25" spans="1:14">
      <c r="A25" s="2774" t="s">
        <v>2525</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2566</v>
      </c>
      <c r="N25" s="3150">
        <v>8</v>
      </c>
    </row>
    <row r="26" spans="1:14">
      <c r="A26" s="2779"/>
      <c r="B26" s="2780"/>
      <c r="C26" s="2780"/>
      <c r="D26" s="2780"/>
      <c r="E26" s="2780"/>
      <c r="F26" s="2780"/>
      <c r="G26" s="2781"/>
      <c r="I26" s="2797">
        <v>30</v>
      </c>
      <c r="J26" s="2797">
        <v>90.5</v>
      </c>
      <c r="K26" s="2797">
        <f t="shared" si="2"/>
        <v>4.2000000000000028</v>
      </c>
      <c r="L26" s="2797" t="s">
        <v>2567</v>
      </c>
      <c r="N26" s="3150">
        <v>5</v>
      </c>
    </row>
    <row r="27" spans="1:14">
      <c r="A27" s="2779" t="s">
        <v>2526</v>
      </c>
      <c r="B27" s="2780"/>
      <c r="C27" s="2780"/>
      <c r="D27" s="2780"/>
      <c r="E27" s="2780"/>
      <c r="F27" s="2780"/>
      <c r="G27" s="2781"/>
      <c r="I27" s="2797">
        <v>35</v>
      </c>
      <c r="J27" s="2797">
        <v>93.8</v>
      </c>
      <c r="K27" s="2797">
        <f t="shared" si="2"/>
        <v>3.2999999999999972</v>
      </c>
      <c r="L27" s="2797" t="s">
        <v>2568</v>
      </c>
      <c r="N27" s="3150">
        <v>3</v>
      </c>
    </row>
    <row r="28" spans="1:14">
      <c r="A28" s="2779" t="s">
        <v>2527</v>
      </c>
      <c r="B28" s="2780"/>
      <c r="C28" s="2780"/>
      <c r="D28" s="2780"/>
      <c r="E28" s="2780"/>
      <c r="F28" s="2780"/>
      <c r="G28" s="2781"/>
      <c r="I28" s="2797">
        <v>40</v>
      </c>
      <c r="J28" s="2797">
        <v>96.4</v>
      </c>
      <c r="K28" s="2797">
        <f t="shared" si="2"/>
        <v>2.6000000000000085</v>
      </c>
      <c r="L28" s="2797" t="s">
        <v>2569</v>
      </c>
      <c r="N28" s="3150">
        <v>2</v>
      </c>
    </row>
    <row r="29" spans="1:14">
      <c r="A29" s="2779" t="s">
        <v>2528</v>
      </c>
      <c r="B29" s="2780"/>
      <c r="C29" s="2780"/>
      <c r="D29" s="2780"/>
      <c r="E29" s="2780"/>
      <c r="F29" s="2780"/>
      <c r="G29" s="2781"/>
      <c r="I29" s="2797">
        <v>45</v>
      </c>
      <c r="J29" s="2797">
        <v>98.4</v>
      </c>
      <c r="K29" s="2797">
        <f t="shared" si="2"/>
        <v>2</v>
      </c>
    </row>
    <row r="30" spans="1:14">
      <c r="A30" s="2779" t="s">
        <v>2529</v>
      </c>
      <c r="B30" s="2780"/>
      <c r="C30" s="2780"/>
      <c r="D30" s="2780"/>
      <c r="E30" s="2780"/>
      <c r="F30" s="2780"/>
      <c r="G30" s="2781"/>
      <c r="I30" s="2797">
        <v>50</v>
      </c>
      <c r="J30" s="2797">
        <v>100</v>
      </c>
      <c r="K30" s="2797">
        <f t="shared" si="2"/>
        <v>1.5999999999999943</v>
      </c>
    </row>
    <row r="31" spans="1:14">
      <c r="A31" s="2779" t="s">
        <v>2530</v>
      </c>
      <c r="B31" s="2780"/>
      <c r="C31" s="2780"/>
      <c r="D31" s="2780"/>
      <c r="E31" s="2780"/>
      <c r="F31" s="2780"/>
      <c r="G31" s="2781"/>
      <c r="I31" s="2797" t="s">
        <v>2561</v>
      </c>
    </row>
    <row r="32" spans="1:14">
      <c r="A32" s="2779" t="s">
        <v>2531</v>
      </c>
      <c r="B32" s="2780"/>
      <c r="C32" s="2780"/>
      <c r="D32" s="2780"/>
      <c r="E32" s="2780"/>
      <c r="F32" s="2780"/>
      <c r="G32" s="2781"/>
    </row>
    <row r="33" spans="1:14">
      <c r="A33" s="2779" t="s">
        <v>2532</v>
      </c>
      <c r="B33" s="2780"/>
      <c r="C33" s="2780"/>
      <c r="D33" s="2780"/>
      <c r="E33" s="2780"/>
      <c r="F33" s="2780"/>
      <c r="G33" s="2781"/>
      <c r="I33" s="2797" t="s">
        <v>2560</v>
      </c>
      <c r="J33" s="2797" t="s">
        <v>2570</v>
      </c>
    </row>
    <row r="34" spans="1:14">
      <c r="A34" s="2779" t="s">
        <v>2533</v>
      </c>
      <c r="B34" s="2780"/>
      <c r="C34" s="2780"/>
      <c r="D34" s="2780"/>
      <c r="E34" s="2780"/>
      <c r="F34" s="2780"/>
      <c r="G34" s="2781"/>
      <c r="I34" s="2797">
        <v>5</v>
      </c>
      <c r="J34" s="2797">
        <v>55.1</v>
      </c>
    </row>
    <row r="35" spans="1:14">
      <c r="A35" s="2779" t="s">
        <v>2534</v>
      </c>
      <c r="B35" s="2780"/>
      <c r="C35" s="2780"/>
      <c r="D35" s="2780"/>
      <c r="E35" s="2780"/>
      <c r="F35" s="2780"/>
      <c r="G35" s="2781"/>
      <c r="I35" s="2797">
        <v>10</v>
      </c>
      <c r="J35" s="2797">
        <v>67</v>
      </c>
      <c r="K35" s="2797">
        <f>J35-J34</f>
        <v>11.899999999999999</v>
      </c>
    </row>
    <row r="36" spans="1:14">
      <c r="A36" s="2779" t="s">
        <v>2535</v>
      </c>
      <c r="B36" s="2780"/>
      <c r="C36" s="2780"/>
      <c r="D36" s="2780"/>
      <c r="E36" s="2780"/>
      <c r="F36" s="2780"/>
      <c r="G36" s="2781"/>
      <c r="I36" s="2797">
        <v>15</v>
      </c>
      <c r="J36" s="2797">
        <v>76.3</v>
      </c>
      <c r="K36" s="2797">
        <f t="shared" ref="K36:K41" si="3">J36-J35</f>
        <v>9.2999999999999972</v>
      </c>
      <c r="L36" s="2797" t="s">
        <v>2563</v>
      </c>
      <c r="N36" s="3150" t="s">
        <v>2564</v>
      </c>
    </row>
    <row r="37" spans="1:14">
      <c r="A37" s="2779" t="s">
        <v>2536</v>
      </c>
      <c r="B37" s="2780"/>
      <c r="C37" s="2780"/>
      <c r="D37" s="2780"/>
      <c r="E37" s="2780"/>
      <c r="F37" s="2780"/>
      <c r="G37" s="2781"/>
      <c r="I37" s="2797">
        <v>20</v>
      </c>
      <c r="J37" s="2797">
        <v>83.6</v>
      </c>
      <c r="K37" s="2797">
        <f t="shared" si="3"/>
        <v>7.2999999999999972</v>
      </c>
      <c r="L37" s="2797" t="s">
        <v>2562</v>
      </c>
      <c r="N37" s="3150">
        <v>10</v>
      </c>
    </row>
    <row r="38" spans="1:14">
      <c r="A38" s="2779" t="s">
        <v>2537</v>
      </c>
      <c r="B38" s="2780"/>
      <c r="C38" s="2780"/>
      <c r="D38" s="2780"/>
      <c r="E38" s="2780"/>
      <c r="F38" s="2780"/>
      <c r="G38" s="2781"/>
      <c r="I38" s="2797">
        <v>25</v>
      </c>
      <c r="J38" s="2797">
        <v>89.3</v>
      </c>
      <c r="K38" s="2797">
        <f t="shared" si="3"/>
        <v>5.7000000000000028</v>
      </c>
      <c r="L38" s="2797" t="s">
        <v>2566</v>
      </c>
      <c r="N38" s="3150">
        <v>8</v>
      </c>
    </row>
    <row r="39" spans="1:14">
      <c r="A39" s="2779"/>
      <c r="B39" s="2780"/>
      <c r="C39" s="2780"/>
      <c r="D39" s="2780"/>
      <c r="E39" s="2780"/>
      <c r="F39" s="2780"/>
      <c r="G39" s="2781"/>
      <c r="I39" s="2797">
        <v>30</v>
      </c>
      <c r="J39" s="2797">
        <v>93.8</v>
      </c>
      <c r="K39" s="2797">
        <f t="shared" si="3"/>
        <v>4.5</v>
      </c>
      <c r="L39" s="2797" t="s">
        <v>2567</v>
      </c>
      <c r="N39" s="3150">
        <v>6</v>
      </c>
    </row>
    <row r="40" spans="1:14">
      <c r="A40" s="2782" t="s">
        <v>2538</v>
      </c>
      <c r="B40" s="2783"/>
      <c r="C40" s="2783"/>
      <c r="D40" s="2783"/>
      <c r="E40" s="2783"/>
      <c r="F40" s="2783"/>
      <c r="G40" s="2784"/>
      <c r="I40" s="2797">
        <v>35</v>
      </c>
      <c r="J40" s="2797">
        <v>97.2</v>
      </c>
      <c r="K40" s="2797">
        <f t="shared" si="3"/>
        <v>3.4000000000000057</v>
      </c>
      <c r="L40" s="2797" t="s">
        <v>2568</v>
      </c>
      <c r="N40" s="3150">
        <v>3</v>
      </c>
    </row>
    <row r="41" spans="1:14">
      <c r="A41" s="2785" t="s">
        <v>2539</v>
      </c>
      <c r="B41" s="2786" t="s">
        <v>2540</v>
      </c>
      <c r="C41" s="2787" t="s">
        <v>2541</v>
      </c>
      <c r="D41" s="2787" t="s">
        <v>2542</v>
      </c>
      <c r="E41" s="2788"/>
      <c r="F41" s="2789"/>
      <c r="G41" s="2790"/>
      <c r="I41" s="2797">
        <v>40</v>
      </c>
      <c r="J41" s="2797">
        <v>100</v>
      </c>
      <c r="K41" s="2797">
        <f t="shared" si="3"/>
        <v>2.7999999999999972</v>
      </c>
    </row>
    <row r="42" spans="1:14">
      <c r="A42" s="2785" t="s">
        <v>2543</v>
      </c>
      <c r="B42" s="2786" t="s">
        <v>2544</v>
      </c>
      <c r="C42" s="2787" t="s">
        <v>2545</v>
      </c>
      <c r="D42" s="2791" t="s">
        <v>2546</v>
      </c>
      <c r="E42" s="2783" t="s">
        <v>2547</v>
      </c>
      <c r="F42" s="2783"/>
      <c r="G42" s="2784"/>
    </row>
    <row r="43" spans="1:14">
      <c r="A43" s="2785" t="s">
        <v>2548</v>
      </c>
      <c r="B43" s="2786" t="s">
        <v>2549</v>
      </c>
      <c r="C43" s="2787" t="s">
        <v>2550</v>
      </c>
      <c r="D43" s="2787" t="s">
        <v>2551</v>
      </c>
      <c r="E43" s="2788" t="s">
        <v>2552</v>
      </c>
      <c r="F43" s="2789"/>
      <c r="G43" s="2790"/>
      <c r="I43" s="2797" t="s">
        <v>2560</v>
      </c>
      <c r="J43" s="2797" t="s">
        <v>2571</v>
      </c>
    </row>
    <row r="44" spans="1:14">
      <c r="A44" s="2785" t="s">
        <v>2553</v>
      </c>
      <c r="B44" s="2786" t="s">
        <v>2554</v>
      </c>
      <c r="C44" s="2787" t="s">
        <v>2555</v>
      </c>
      <c r="D44" s="2791">
        <v>0.5</v>
      </c>
      <c r="E44" s="2788" t="s">
        <v>2556</v>
      </c>
      <c r="F44" s="2789"/>
      <c r="G44" s="2790"/>
      <c r="I44" s="2797">
        <v>30</v>
      </c>
      <c r="J44" s="2797">
        <v>81.7</v>
      </c>
    </row>
    <row r="45" spans="1:14" ht="15" thickBot="1">
      <c r="A45" s="2792" t="s">
        <v>2557</v>
      </c>
      <c r="B45" s="2793" t="s">
        <v>2544</v>
      </c>
      <c r="C45" s="2794" t="s">
        <v>2544</v>
      </c>
      <c r="D45" s="2794" t="s">
        <v>2558</v>
      </c>
      <c r="E45" s="2795" t="s">
        <v>2559</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5" thickBot="1"/>
    <row r="49" spans="1:4">
      <c r="A49" s="2753" t="s">
        <v>3383</v>
      </c>
    </row>
    <row r="50" spans="1:4">
      <c r="A50" s="3142" t="s">
        <v>3384</v>
      </c>
      <c r="B50" s="3142" t="s">
        <v>3385</v>
      </c>
      <c r="C50" s="3142" t="s">
        <v>3386</v>
      </c>
      <c r="D50" s="3142" t="s">
        <v>3387</v>
      </c>
    </row>
    <row r="51" spans="1:4">
      <c r="A51" s="3142" t="s">
        <v>3388</v>
      </c>
      <c r="B51" s="2762">
        <f>B52+B53</f>
        <v>15000</v>
      </c>
      <c r="C51" s="3143">
        <f>D51/B51</f>
        <v>2666.6666666666665</v>
      </c>
      <c r="D51" s="2762">
        <f>D52+D53</f>
        <v>40000000</v>
      </c>
    </row>
    <row r="52" spans="1:4">
      <c r="A52" s="3144" t="s">
        <v>3389</v>
      </c>
      <c r="B52" s="3145">
        <v>10000</v>
      </c>
      <c r="C52" s="3145">
        <v>1500</v>
      </c>
      <c r="D52" s="3146">
        <f>C52*B52</f>
        <v>15000000</v>
      </c>
    </row>
    <row r="53" spans="1:4">
      <c r="A53" s="3144" t="s">
        <v>3390</v>
      </c>
      <c r="B53" s="3145">
        <v>5000</v>
      </c>
      <c r="C53" s="3145">
        <v>5000</v>
      </c>
      <c r="D53" s="3146">
        <f>C53*B53</f>
        <v>25000000</v>
      </c>
    </row>
    <row r="54" spans="1:4">
      <c r="A54" s="3142" t="s">
        <v>3391</v>
      </c>
      <c r="B54" s="2762">
        <f>B51</f>
        <v>15000</v>
      </c>
      <c r="C54" s="2768">
        <v>700</v>
      </c>
      <c r="D54" s="2762">
        <f t="shared" ref="D54:D55" si="5">C54*B54</f>
        <v>10500000</v>
      </c>
    </row>
    <row r="55" spans="1:4">
      <c r="A55" s="3142" t="s">
        <v>3392</v>
      </c>
      <c r="B55" s="2762">
        <f>B51</f>
        <v>15000</v>
      </c>
      <c r="C55" s="2768">
        <v>1500</v>
      </c>
      <c r="D55" s="2762">
        <f t="shared" si="5"/>
        <v>22500000</v>
      </c>
    </row>
    <row r="56" spans="1:4">
      <c r="A56" s="3142" t="s">
        <v>3393</v>
      </c>
      <c r="B56" s="2762">
        <f>B51</f>
        <v>15000</v>
      </c>
      <c r="C56" s="3147">
        <f>C51+C54+C55</f>
        <v>4866.6666666666661</v>
      </c>
      <c r="D56" s="2762">
        <f>D51+D54+D55</f>
        <v>73000000</v>
      </c>
    </row>
    <row r="58" spans="1:4">
      <c r="A58" s="3142" t="s">
        <v>3394</v>
      </c>
      <c r="B58" s="3148">
        <v>0.05</v>
      </c>
      <c r="C58" s="2762">
        <f>C56*(1+B58)</f>
        <v>5110</v>
      </c>
      <c r="D58" s="2762">
        <f>D56*B58</f>
        <v>3650000</v>
      </c>
    </row>
    <row r="60" spans="1:4">
      <c r="A60" s="3142" t="s">
        <v>3395</v>
      </c>
      <c r="B60" s="2768">
        <v>3500</v>
      </c>
      <c r="C60" s="2768">
        <f>C53</f>
        <v>5000</v>
      </c>
      <c r="D60" s="2762">
        <f>C60*B60</f>
        <v>17500000</v>
      </c>
    </row>
    <row r="62" spans="1:4">
      <c r="A62" s="3142" t="s">
        <v>3396</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4" zoomScaleNormal="100" zoomScaleSheetLayoutView="100" workbookViewId="0">
      <selection activeCell="C43" sqref="C43"/>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13" t="str">
        <f>IF(B10="北京市","北京市",C10)&amp;F10&amp;IF(结果表!G1="在建","出让国有建设用地使用权及在建建筑物",IF(结果表!G1="土地","出让国有建设用地使用权",))&amp;B9&amp;"预评估"</f>
        <v>北京市丰台区角门东里11号楼房地产抵押价值预评估</v>
      </c>
      <c r="C1" s="3214"/>
      <c r="D1" s="3214"/>
      <c r="E1" s="3214"/>
      <c r="F1" s="3214"/>
      <c r="G1" s="3214"/>
      <c r="H1" s="3214"/>
      <c r="I1" s="3215"/>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北京市丰台区角门东里11号楼房地产抵押价值</v>
      </c>
      <c r="T1" s="1618"/>
      <c r="U1" s="1618"/>
      <c r="V1" s="1618"/>
      <c r="W1" s="1618"/>
      <c r="X1" s="1618"/>
      <c r="Y1" s="1618"/>
      <c r="Z1" s="1618"/>
      <c r="AA1" s="1618"/>
      <c r="AB1" s="1618"/>
    </row>
    <row r="2" spans="1:30">
      <c r="A2" s="2182" t="s">
        <v>2169</v>
      </c>
      <c r="B2" s="122"/>
      <c r="D2" s="2445"/>
      <c r="E2" s="2439"/>
      <c r="F2" s="2439"/>
      <c r="G2" s="2440"/>
      <c r="H2" s="2440"/>
      <c r="I2" s="2440"/>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北京市丰台区角门东里11号楼房地产</v>
      </c>
      <c r="T2" s="1618"/>
      <c r="U2" s="1618"/>
      <c r="V2" s="1618"/>
      <c r="W2" s="1618"/>
      <c r="X2" s="1618"/>
      <c r="Y2" s="1618"/>
      <c r="Z2" s="1618"/>
      <c r="AA2" s="1618"/>
      <c r="AB2" s="1618"/>
    </row>
    <row r="3" spans="1:30">
      <c r="A3" s="294" t="s">
        <v>2170</v>
      </c>
      <c r="B3" s="2185">
        <v>45772</v>
      </c>
      <c r="C3" s="2186" t="s">
        <v>2171</v>
      </c>
      <c r="D3" s="2185">
        <f>B3</f>
        <v>45772</v>
      </c>
      <c r="E3" s="2440"/>
      <c r="F3" s="2440"/>
      <c r="G3" s="2440"/>
      <c r="H3" s="2440"/>
      <c r="I3" s="2440"/>
      <c r="J3" s="2245"/>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t="s">
        <v>3408</v>
      </c>
      <c r="C4" s="2188">
        <f ca="1">SUMIF(注册房地产估价师,B4,估价师及机构信息!B3:B24)</f>
        <v>1419970001</v>
      </c>
      <c r="D4" s="2187" t="s">
        <v>3409</v>
      </c>
      <c r="E4" s="2188">
        <f ca="1">SUMIF(注册房地产估价师,D4,估价师及机构信息!B3:B24)</f>
        <v>1120070131</v>
      </c>
      <c r="F4" s="2187"/>
      <c r="G4" s="2188">
        <f>SUMIF(注册房地产估价师,F4,估价师及机构信息!B3:B24)</f>
        <v>0</v>
      </c>
      <c r="H4" s="2187"/>
      <c r="I4" s="2188">
        <f>SUMIF(注册房地产估价师,H4,估价师及机构信息!B3:B24)</f>
        <v>0</v>
      </c>
      <c r="J4" s="2245"/>
      <c r="K4" s="2189" t="str">
        <f ca="1">CONCATENATE(B4,"（注册号：",C4,")、",D4,"（注册号：",E4,")")</f>
        <v>吴薇（注册号：1419970001)、郑燚（注册号：1120070131)</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0"/>
      <c r="F5" s="2440"/>
      <c r="G5" s="2440"/>
      <c r="H5" s="2440"/>
      <c r="I5" s="2440"/>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39"/>
      <c r="F6" s="2440"/>
      <c r="G6" s="2440"/>
      <c r="H6" s="2440"/>
      <c r="I6" s="2440"/>
      <c r="J6" s="2245"/>
      <c r="K6" s="2399" t="str">
        <f>IF(COUNTIF(B6,"*上海银行*"),"上海银行","")</f>
        <v/>
      </c>
      <c r="L6" s="2397"/>
      <c r="M6" s="2397"/>
      <c r="N6" s="2245"/>
      <c r="O6" s="1670"/>
      <c r="P6" s="2245"/>
      <c r="Q6" s="2245"/>
      <c r="R6" s="2245"/>
    </row>
    <row r="7" spans="1:30">
      <c r="A7" s="2194" t="s">
        <v>2175</v>
      </c>
      <c r="B7" s="2198"/>
      <c r="C7" s="2196"/>
      <c r="D7" s="2197"/>
      <c r="E7" s="2439"/>
      <c r="F7" s="2440"/>
      <c r="G7" s="2440"/>
      <c r="H7" s="2440"/>
      <c r="I7" s="2440"/>
      <c r="J7" s="2245"/>
      <c r="K7" s="2400"/>
      <c r="L7" s="2397"/>
      <c r="M7" s="2397"/>
      <c r="N7" s="2245"/>
      <c r="O7" s="1670"/>
      <c r="P7" s="2245"/>
      <c r="Q7" s="2245"/>
      <c r="R7" s="2245"/>
    </row>
    <row r="8" spans="1:30">
      <c r="A8" s="2199" t="s">
        <v>2176</v>
      </c>
      <c r="B8" s="2200" t="s">
        <v>3410</v>
      </c>
      <c r="C8" s="2201"/>
      <c r="D8" s="3216" t="s">
        <v>2177</v>
      </c>
      <c r="E8" s="2202" t="s">
        <v>3411</v>
      </c>
      <c r="F8" s="2203"/>
      <c r="G8" s="2440"/>
      <c r="H8" s="2440"/>
      <c r="I8" s="2440"/>
      <c r="J8" s="2245"/>
      <c r="K8" s="2398"/>
      <c r="L8" s="2397"/>
      <c r="M8" s="2397"/>
      <c r="N8" s="2245"/>
      <c r="O8" s="1670"/>
      <c r="P8" s="2245"/>
      <c r="Q8" s="2245"/>
      <c r="R8" s="2245"/>
    </row>
    <row r="9" spans="1:30" ht="13.8" thickBot="1">
      <c r="A9" s="2204" t="s">
        <v>2178</v>
      </c>
      <c r="B9" s="2205" t="s">
        <v>3411</v>
      </c>
      <c r="C9" s="2206"/>
      <c r="D9" s="3217"/>
      <c r="E9" s="2205" t="s">
        <v>587</v>
      </c>
      <c r="F9" s="2207"/>
      <c r="G9" s="2441"/>
      <c r="H9" s="2441"/>
      <c r="I9" s="2441"/>
      <c r="J9" s="2245"/>
      <c r="K9" s="2400"/>
      <c r="L9" s="2397"/>
      <c r="M9" s="2397"/>
      <c r="N9" s="2245"/>
      <c r="O9" s="1670"/>
      <c r="P9" s="2245"/>
      <c r="Q9" s="2245"/>
      <c r="R9" s="2245"/>
    </row>
    <row r="10" spans="1:30" ht="13.8" thickTop="1">
      <c r="A10" s="2208" t="s">
        <v>2179</v>
      </c>
      <c r="B10" s="2209" t="s">
        <v>3412</v>
      </c>
      <c r="C10" s="2210"/>
      <c r="D10" s="2193"/>
      <c r="E10" s="2211" t="s">
        <v>2180</v>
      </c>
      <c r="F10" s="3164" t="s">
        <v>3450</v>
      </c>
      <c r="G10" s="2442"/>
      <c r="H10" s="2443"/>
      <c r="I10" s="2444"/>
      <c r="J10" s="2245"/>
      <c r="K10" s="2400"/>
      <c r="L10" s="2397"/>
      <c r="M10" s="2397"/>
      <c r="N10" s="2245"/>
      <c r="O10" s="1670"/>
      <c r="P10" s="2245"/>
      <c r="Q10" s="2245"/>
      <c r="R10" s="2245"/>
    </row>
    <row r="11" spans="1:30">
      <c r="A11" s="2212" t="s">
        <v>2181</v>
      </c>
      <c r="B11" s="2213" t="s">
        <v>3413</v>
      </c>
      <c r="C11" s="2214"/>
      <c r="D11" s="2215"/>
      <c r="E11" s="2182"/>
      <c r="F11" s="2182"/>
      <c r="G11" s="2182"/>
      <c r="H11" s="2182"/>
      <c r="I11" s="2182"/>
      <c r="J11" s="2799"/>
      <c r="K11" s="2397"/>
      <c r="L11" s="2397"/>
      <c r="M11" s="2397"/>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798" t="s">
        <v>2572</v>
      </c>
      <c r="J12" s="2800"/>
      <c r="K12" s="2397"/>
      <c r="L12" s="2397"/>
      <c r="M12" s="2245"/>
      <c r="N12" s="1670"/>
      <c r="O12" s="2245"/>
      <c r="P12" s="2245"/>
      <c r="Q12" s="2245"/>
      <c r="AD12" s="1618"/>
    </row>
    <row r="13" spans="1:30">
      <c r="A13" s="3119" t="s">
        <v>3328</v>
      </c>
      <c r="B13" s="2218" t="s">
        <v>2190</v>
      </c>
      <c r="C13" s="803"/>
      <c r="D13" s="803"/>
      <c r="E13" s="803">
        <v>55475</v>
      </c>
      <c r="F13" s="803"/>
      <c r="G13" s="803"/>
      <c r="H13" s="803"/>
      <c r="I13" s="803"/>
      <c r="J13" s="2800"/>
      <c r="K13" s="2397"/>
      <c r="L13" s="2397"/>
      <c r="M13" s="2245"/>
      <c r="N13" s="1670"/>
      <c r="O13" s="2245"/>
      <c r="P13" s="2245"/>
      <c r="Q13" s="2245"/>
      <c r="AD13" s="1618"/>
    </row>
    <row r="14" spans="1:30">
      <c r="A14" s="1018"/>
      <c r="B14" s="2218" t="s">
        <v>2191</v>
      </c>
      <c r="C14" s="2219"/>
      <c r="D14" s="2219"/>
      <c r="E14" s="2219">
        <v>50</v>
      </c>
      <c r="F14" s="2219"/>
      <c r="G14" s="2219"/>
      <c r="H14" s="2219"/>
      <c r="I14" s="2219"/>
      <c r="J14" s="2801"/>
      <c r="K14" s="2397"/>
      <c r="L14" s="2397"/>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f>IF(A13="出让",IF(E13="","",ROUNDDOWN(MIN((E13-$D$3)/365,E14),2)),E14)</f>
        <v>26.58</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2"/>
      <c r="K15" s="1670"/>
      <c r="L15" s="1670"/>
      <c r="M15" s="2245"/>
      <c r="N15" s="1670"/>
      <c r="O15" s="2245"/>
      <c r="P15" s="2245"/>
      <c r="Q15" s="2245"/>
      <c r="AD15" s="1618"/>
    </row>
    <row r="16" spans="1:30">
      <c r="A16" s="2211" t="s">
        <v>2193</v>
      </c>
      <c r="B16" s="3223"/>
      <c r="C16" s="3224"/>
      <c r="D16" s="3225"/>
      <c r="E16" s="2222" t="s">
        <v>2194</v>
      </c>
      <c r="F16" s="3226"/>
      <c r="G16" s="3227"/>
      <c r="H16" s="3227"/>
      <c r="I16" s="3228"/>
      <c r="J16" s="2245"/>
      <c r="K16" s="2401"/>
      <c r="L16" s="1670"/>
      <c r="M16" s="1670"/>
      <c r="N16" s="2245"/>
      <c r="O16" s="1670"/>
      <c r="P16" s="2245"/>
      <c r="Q16" s="2245"/>
      <c r="R16" s="2245"/>
    </row>
    <row r="17" spans="1:28">
      <c r="A17" s="305" t="s">
        <v>2195</v>
      </c>
      <c r="B17" s="294" t="s">
        <v>2196</v>
      </c>
      <c r="C17" s="8">
        <f>'数据-汇总表'!E3</f>
        <v>2170.1999999999998</v>
      </c>
      <c r="D17" s="1256" t="s">
        <v>2197</v>
      </c>
      <c r="E17" s="3229" t="s">
        <v>2198</v>
      </c>
      <c r="F17" s="3230"/>
      <c r="G17" s="3230"/>
      <c r="H17" s="3230"/>
      <c r="I17" s="3231"/>
      <c r="J17" s="2245"/>
      <c r="K17" s="2402"/>
      <c r="L17" s="1670"/>
      <c r="M17" s="1670"/>
      <c r="N17" s="2245"/>
      <c r="O17" s="1670"/>
      <c r="P17" s="2245"/>
      <c r="Q17" s="2245"/>
      <c r="R17" s="2245"/>
      <c r="S17" s="2245"/>
      <c r="T17" s="2245"/>
      <c r="U17" s="2245"/>
      <c r="V17" s="2245"/>
    </row>
    <row r="18" spans="1:28" ht="24.6" thickBot="1">
      <c r="A18" s="2223" t="s">
        <v>2199</v>
      </c>
      <c r="B18" s="1027" t="s">
        <v>2200</v>
      </c>
      <c r="C18" s="2224">
        <f>'数据-汇总表'!D3</f>
        <v>1778.06</v>
      </c>
      <c r="D18" s="1029" t="s">
        <v>2201</v>
      </c>
      <c r="E18" s="3232" t="s">
        <v>2202</v>
      </c>
      <c r="F18" s="3233"/>
      <c r="G18" s="3233"/>
      <c r="H18" s="3233"/>
      <c r="I18" s="3234"/>
      <c r="J18" s="2245"/>
      <c r="K18" s="2402"/>
      <c r="L18" s="1670"/>
      <c r="M18" s="1670"/>
      <c r="N18" s="2245"/>
      <c r="O18" s="1670"/>
      <c r="P18" s="2245"/>
      <c r="Q18" s="2245"/>
      <c r="R18" s="2245"/>
      <c r="S18" s="2245"/>
      <c r="T18" s="2245"/>
      <c r="U18" s="2245"/>
      <c r="V18" s="2245"/>
    </row>
    <row r="19" spans="1:28" ht="37.200000000000003" thickTop="1" thickBot="1">
      <c r="A19" s="319" t="s">
        <v>1055</v>
      </c>
      <c r="B19" s="299" t="s">
        <v>2203</v>
      </c>
      <c r="C19" s="1455"/>
      <c r="D19" s="1456" t="s">
        <v>2204</v>
      </c>
      <c r="E19" s="1457"/>
      <c r="F19" s="1458" t="str">
        <f>IF(AND(C19="是",E19="否"),"是否提供他项权证或相关说明","")</f>
        <v/>
      </c>
      <c r="G19" s="1459"/>
      <c r="H19" s="2440"/>
      <c r="I19" s="2440"/>
      <c r="J19" s="2245"/>
      <c r="K19" s="2400"/>
      <c r="L19" s="2397"/>
      <c r="M19" s="2397"/>
      <c r="N19" s="2245"/>
      <c r="O19" s="1670"/>
      <c r="P19" s="2245"/>
      <c r="Q19" s="2245"/>
      <c r="R19" s="2245"/>
      <c r="S19" s="2245"/>
      <c r="T19" s="2245"/>
      <c r="U19" s="2245"/>
      <c r="V19" s="2245"/>
    </row>
    <row r="20" spans="1:28">
      <c r="A20" s="2415" t="s">
        <v>2205</v>
      </c>
      <c r="B20" s="3219" t="s">
        <v>2206</v>
      </c>
      <c r="C20" s="3220"/>
      <c r="D20" s="3221" t="s">
        <v>2207</v>
      </c>
      <c r="E20" s="3222"/>
      <c r="F20" s="2428" t="s">
        <v>1056</v>
      </c>
      <c r="G20" s="2440"/>
      <c r="H20" s="2440"/>
      <c r="I20" s="2440"/>
      <c r="J20" s="2245"/>
      <c r="K20" s="3218"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5"/>
      <c r="B21" s="2416" t="s">
        <v>2209</v>
      </c>
      <c r="C21" s="2294" t="s">
        <v>1057</v>
      </c>
      <c r="D21" s="1460" t="s">
        <v>2210</v>
      </c>
      <c r="E21" s="2417" t="s">
        <v>1057</v>
      </c>
      <c r="F21" s="2429"/>
      <c r="G21" s="2440"/>
      <c r="H21" s="2440"/>
      <c r="I21" s="2440"/>
      <c r="J21" s="2245"/>
      <c r="K21" s="3218"/>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5"/>
      <c r="B22" s="2418" t="s">
        <v>2211</v>
      </c>
      <c r="C22" s="2294" t="s">
        <v>1058</v>
      </c>
      <c r="D22" s="2440"/>
      <c r="E22" s="2440"/>
      <c r="F22" s="2440"/>
      <c r="G22" s="2440"/>
      <c r="H22" s="2440"/>
      <c r="I22" s="2440"/>
      <c r="J22" s="2245"/>
      <c r="K22" s="3218"/>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19" t="s">
        <v>2212</v>
      </c>
      <c r="B23" s="2291" t="s">
        <v>2213</v>
      </c>
      <c r="C23" s="2420"/>
      <c r="D23" s="2421" t="s">
        <v>2213</v>
      </c>
      <c r="E23" s="2422"/>
      <c r="F23" s="2440"/>
      <c r="G23" s="2440"/>
      <c r="H23" s="2440"/>
      <c r="I23" s="2440"/>
      <c r="J23" s="2245"/>
      <c r="K23" s="2399"/>
      <c r="L23" s="121"/>
      <c r="M23" s="2397"/>
      <c r="N23" s="2245"/>
      <c r="O23" s="1670"/>
      <c r="P23" s="2245"/>
      <c r="Q23" s="2245"/>
      <c r="R23" s="2245"/>
      <c r="S23" s="2245"/>
      <c r="T23" s="2245"/>
      <c r="U23" s="2245"/>
      <c r="V23" s="2245"/>
    </row>
    <row r="24" spans="1:28">
      <c r="A24" s="2419"/>
      <c r="B24" s="2291" t="s">
        <v>1059</v>
      </c>
      <c r="C24" s="2270"/>
      <c r="D24" s="2419" t="s">
        <v>1059</v>
      </c>
      <c r="E24" s="2423"/>
      <c r="F24" s="2440"/>
      <c r="G24" s="2440"/>
      <c r="H24" s="2440"/>
      <c r="I24" s="2440"/>
      <c r="J24" s="2245"/>
      <c r="K24" s="2399"/>
      <c r="L24" s="121"/>
      <c r="M24" s="2397"/>
      <c r="N24" s="2245"/>
      <c r="O24" s="1670"/>
      <c r="P24" s="2245"/>
      <c r="Q24" s="2245"/>
      <c r="R24" s="2245"/>
      <c r="S24" s="2245"/>
      <c r="T24" s="2245"/>
      <c r="U24" s="2245"/>
      <c r="V24" s="2245"/>
    </row>
    <row r="25" spans="1:28">
      <c r="A25" s="2419"/>
      <c r="B25" s="2291" t="s">
        <v>1060</v>
      </c>
      <c r="C25" s="2270"/>
      <c r="D25" s="2419" t="s">
        <v>1060</v>
      </c>
      <c r="E25" s="2423"/>
      <c r="F25" s="2440"/>
      <c r="G25" s="2440"/>
      <c r="H25" s="2440"/>
      <c r="I25" s="2440"/>
      <c r="J25" s="2245"/>
      <c r="K25" s="2400"/>
      <c r="L25" s="2397"/>
      <c r="M25" s="2397"/>
      <c r="N25" s="2245"/>
      <c r="O25" s="1670"/>
      <c r="P25" s="2245"/>
      <c r="Q25" s="2245"/>
      <c r="R25" s="2245"/>
      <c r="S25" s="2245"/>
      <c r="T25" s="2245"/>
      <c r="U25" s="2245"/>
      <c r="V25" s="2245"/>
    </row>
    <row r="26" spans="1:28" ht="13.8" thickBot="1">
      <c r="A26" s="2424"/>
      <c r="B26" s="2425" t="s">
        <v>1061</v>
      </c>
      <c r="C26" s="2426"/>
      <c r="D26" s="2424" t="s">
        <v>1061</v>
      </c>
      <c r="E26" s="2427"/>
      <c r="F26" s="2441"/>
      <c r="G26" s="2441"/>
      <c r="H26" s="2441"/>
      <c r="I26" s="2441"/>
      <c r="J26" s="2245"/>
      <c r="K26" s="2400"/>
      <c r="L26" s="2397"/>
      <c r="M26" s="2397"/>
      <c r="N26" s="2245"/>
      <c r="O26" s="1670"/>
      <c r="P26" s="2245"/>
      <c r="Q26" s="2245"/>
      <c r="R26" s="2245"/>
      <c r="S26" s="2245"/>
      <c r="T26" s="2245"/>
      <c r="U26" s="2245"/>
      <c r="V26" s="2245"/>
    </row>
    <row r="27" spans="1:28" ht="13.8" thickTop="1">
      <c r="A27" s="3236" t="s">
        <v>2214</v>
      </c>
      <c r="B27" s="312" t="s">
        <v>2215</v>
      </c>
      <c r="C27" s="2225"/>
      <c r="D27" s="2226"/>
      <c r="E27" s="2440"/>
      <c r="F27" s="2440"/>
      <c r="G27" s="2440"/>
      <c r="H27" s="2440"/>
      <c r="I27" s="2440"/>
      <c r="J27" s="2245"/>
      <c r="K27" s="2401"/>
      <c r="L27" s="1670"/>
      <c r="M27" s="1670"/>
      <c r="N27" s="2245"/>
      <c r="O27" s="1670"/>
      <c r="P27" s="2245"/>
      <c r="Q27" s="2245"/>
      <c r="R27" s="2245"/>
      <c r="S27" s="2245"/>
      <c r="T27" s="2245"/>
      <c r="U27" s="2245"/>
      <c r="V27" s="2245"/>
    </row>
    <row r="28" spans="1:28">
      <c r="A28" s="3236"/>
      <c r="B28" s="294" t="s">
        <v>2216</v>
      </c>
      <c r="C28" s="2227"/>
      <c r="D28" s="2228"/>
      <c r="E28" s="2440"/>
      <c r="F28" s="2440"/>
      <c r="G28" s="2440"/>
      <c r="H28" s="2440"/>
      <c r="I28" s="2440"/>
      <c r="J28" s="2245"/>
      <c r="K28" s="2400"/>
      <c r="L28" s="2397"/>
      <c r="M28" s="2397"/>
      <c r="N28" s="2245"/>
      <c r="O28" s="1670"/>
      <c r="P28" s="2245"/>
      <c r="Q28" s="2245"/>
      <c r="R28" s="2245"/>
      <c r="S28" s="2245"/>
      <c r="T28" s="2245"/>
      <c r="U28" s="2245"/>
      <c r="V28" s="2245"/>
    </row>
    <row r="29" spans="1:28">
      <c r="A29" s="3236"/>
      <c r="B29" s="294" t="s">
        <v>2217</v>
      </c>
      <c r="C29" s="2229"/>
      <c r="D29" s="2230"/>
      <c r="E29" s="2440"/>
      <c r="F29" s="2440"/>
      <c r="G29" s="2440"/>
      <c r="H29" s="2440"/>
      <c r="I29" s="2440"/>
      <c r="J29" s="2245"/>
      <c r="K29" s="2400"/>
      <c r="L29" s="2397"/>
      <c r="M29" s="2397"/>
      <c r="N29" s="2245"/>
      <c r="O29" s="1670"/>
      <c r="P29" s="2245"/>
      <c r="Q29" s="2245"/>
      <c r="R29" s="2245"/>
      <c r="S29" s="2245"/>
      <c r="T29" s="2245"/>
      <c r="U29" s="2245"/>
      <c r="V29" s="2245"/>
    </row>
    <row r="30" spans="1:28">
      <c r="A30" s="3237"/>
      <c r="B30" s="294" t="s">
        <v>2218</v>
      </c>
      <c r="C30" s="3238"/>
      <c r="D30" s="3239"/>
      <c r="E30" s="2440"/>
      <c r="F30" s="2440"/>
      <c r="G30" s="2440"/>
      <c r="H30" s="2440"/>
      <c r="I30" s="2440"/>
      <c r="J30" s="2245"/>
      <c r="K30" s="2400"/>
      <c r="L30" s="2397"/>
      <c r="M30" s="2397"/>
      <c r="N30" s="2245"/>
      <c r="O30" s="1670"/>
      <c r="P30" s="2245"/>
      <c r="Q30" s="2245"/>
      <c r="R30" s="2245"/>
      <c r="S30" s="2245"/>
      <c r="T30" s="2245"/>
      <c r="U30" s="2245"/>
      <c r="V30" s="2245"/>
    </row>
    <row r="31" spans="1:28">
      <c r="A31" s="3240" t="s">
        <v>2219</v>
      </c>
      <c r="B31" s="2231"/>
      <c r="C31" s="12" t="str">
        <f>IF(B31="现房","成新及维护状况正常否",IF(B31="在建","工程状态是否正常",IF(B31="土地","是否闲置","-")))</f>
        <v>-</v>
      </c>
      <c r="D31" s="1281"/>
      <c r="E31" s="2232"/>
      <c r="F31" s="2440"/>
      <c r="G31" s="2440"/>
      <c r="H31" s="2440"/>
      <c r="I31" s="2440"/>
      <c r="J31" s="2245"/>
      <c r="K31" s="2399"/>
      <c r="L31" s="2397"/>
      <c r="M31" s="2397"/>
      <c r="N31" s="2245"/>
      <c r="O31" s="1670"/>
      <c r="P31" s="2245"/>
      <c r="Q31" s="2245"/>
      <c r="R31" s="2245"/>
      <c r="S31" s="2245"/>
      <c r="T31" s="2245"/>
      <c r="U31" s="2245"/>
      <c r="V31" s="2245"/>
    </row>
    <row r="32" spans="1:28">
      <c r="A32" s="3241"/>
      <c r="B32" s="2231"/>
      <c r="C32" s="12" t="str">
        <f>IF(B32="现房","成新及维护状况是否正常",IF(B32="在建","工程状态是否正常",IF(B32="土地","是否闲置","-")))</f>
        <v>-</v>
      </c>
      <c r="D32" s="1281"/>
      <c r="E32" s="2232"/>
      <c r="F32" s="2440"/>
      <c r="G32" s="2440"/>
      <c r="H32" s="2440"/>
      <c r="I32" s="2440"/>
      <c r="J32" s="2245"/>
      <c r="K32" s="2400"/>
      <c r="L32" s="2397"/>
      <c r="M32" s="2397"/>
      <c r="N32" s="2245"/>
      <c r="O32" s="1670"/>
      <c r="P32" s="2245"/>
      <c r="Q32" s="2245"/>
      <c r="R32" s="2245"/>
      <c r="S32" s="2245"/>
      <c r="T32" s="2245"/>
      <c r="U32" s="2245"/>
      <c r="V32" s="2245"/>
    </row>
    <row r="33" spans="1:30">
      <c r="A33" s="3241"/>
      <c r="B33" s="2234"/>
      <c r="C33" s="1478" t="str">
        <f>IF(B33="现房","成新及维护状况是否正常",IF(B33="在建","工程状态是否正常",IF(B33="土地","是否闲置","-")))</f>
        <v>-</v>
      </c>
      <c r="D33" s="1274"/>
      <c r="E33" s="2235"/>
      <c r="F33" s="2440"/>
      <c r="G33" s="2440"/>
      <c r="H33" s="2440"/>
      <c r="I33" s="2440"/>
      <c r="J33" s="2245"/>
      <c r="K33" s="2400"/>
      <c r="L33" s="2397"/>
      <c r="M33" s="2397"/>
      <c r="N33" s="2245"/>
      <c r="O33" s="1670"/>
      <c r="P33" s="2245"/>
      <c r="Q33" s="2245"/>
      <c r="R33" s="2245"/>
      <c r="S33" s="2245"/>
      <c r="T33" s="2245"/>
      <c r="U33" s="2245"/>
      <c r="V33" s="2245"/>
    </row>
    <row r="34" spans="1:30">
      <c r="A34" s="294" t="s">
        <v>2220</v>
      </c>
      <c r="B34" s="1870" t="s">
        <v>3414</v>
      </c>
      <c r="C34" s="1870" t="s">
        <v>3415</v>
      </c>
      <c r="D34" s="1870" t="s">
        <v>3416</v>
      </c>
      <c r="E34" s="1870" t="s">
        <v>3417</v>
      </c>
      <c r="F34" s="1870" t="s">
        <v>3418</v>
      </c>
      <c r="G34" s="1870" t="s">
        <v>3420</v>
      </c>
      <c r="H34" s="1870" t="s">
        <v>3419</v>
      </c>
      <c r="I34" s="2440"/>
      <c r="J34" s="2245"/>
      <c r="K34" s="8">
        <f>COUNTIF(B34:H34,"——")</f>
        <v>0</v>
      </c>
      <c r="L34" s="315" t="s">
        <v>2221</v>
      </c>
      <c r="M34" s="315" t="s">
        <v>2222</v>
      </c>
      <c r="N34" s="315" t="s">
        <v>2223</v>
      </c>
      <c r="O34" s="315" t="s">
        <v>2224</v>
      </c>
      <c r="P34" s="315" t="s">
        <v>2225</v>
      </c>
      <c r="Q34" s="315" t="s">
        <v>2226</v>
      </c>
      <c r="R34" s="315" t="s">
        <v>2227</v>
      </c>
      <c r="S34" s="3235" t="s">
        <v>2228</v>
      </c>
      <c r="T34" s="315" t="str">
        <f>NUMBERSTRING(7-K34,1)&amp;"通"</f>
        <v>七通</v>
      </c>
      <c r="U34" s="2245"/>
      <c r="V34" s="2245"/>
    </row>
    <row r="35" spans="1:30">
      <c r="A35" s="2236"/>
      <c r="B35" s="3235" t="s">
        <v>2229</v>
      </c>
      <c r="C35" s="3235"/>
      <c r="D35" s="3235"/>
      <c r="E35" s="3235"/>
      <c r="F35" s="8">
        <f>C10</f>
        <v>0</v>
      </c>
      <c r="G35" s="2440"/>
      <c r="H35" s="2440"/>
      <c r="I35" s="2440"/>
      <c r="J35" s="2245"/>
      <c r="K35" s="315"/>
      <c r="L35" s="315" t="str">
        <f>B34</f>
        <v>通路</v>
      </c>
      <c r="M35" s="138" t="str">
        <f>B34&amp;"、"&amp;C34</f>
        <v>通路、通电</v>
      </c>
      <c r="N35" s="138" t="str">
        <f>B34&amp;"、"&amp;C34&amp;"、"&amp;D34</f>
        <v>通路、通电、通讯</v>
      </c>
      <c r="O35" s="138" t="str">
        <f>B34&amp;"、"&amp;C34&amp;"、"&amp;D34&amp;"、"&amp;E34</f>
        <v>通路、通电、通讯、通上水</v>
      </c>
      <c r="P35" s="138" t="str">
        <f>B34&amp;"、"&amp;C34&amp;"、"&amp;D34&amp;"、"&amp;E34&amp;"、"&amp;F34</f>
        <v>通路、通电、通讯、通上水、通下水</v>
      </c>
      <c r="Q35" s="138" t="str">
        <f>B34&amp;"、"&amp;C34&amp;"、"&amp;D34&amp;"、"&amp;E34&amp;"、"&amp;F34&amp;"、"&amp;G34</f>
        <v>通路、通电、通讯、通上水、通下水、燃气</v>
      </c>
      <c r="R35" s="138" t="str">
        <f>B34&amp;"、"&amp;C34&amp;"、"&amp;D34&amp;"、"&amp;E34&amp;"、"&amp;F34&amp;"、"&amp;G34&amp;"、"&amp;H34</f>
        <v>通路、通电、通讯、通上水、通下水、燃气、平整</v>
      </c>
      <c r="S35" s="3235"/>
      <c r="T35" s="138" t="str">
        <f>IF(T34="一通",L35,IF(T34="二通",M35,IF(T34="三通",N35,IF(T34="四通",O35,IF(T34="五通",P35,IF(T34="六通",Q35,R35))))))</f>
        <v>通路、通电、通讯、通上水、通下水、燃气、平整</v>
      </c>
      <c r="U35" s="2245"/>
      <c r="V35" s="2245"/>
    </row>
    <row r="36" spans="1:30">
      <c r="A36" s="2183"/>
      <c r="B36" s="8" t="s">
        <v>2185</v>
      </c>
      <c r="C36" s="8" t="s">
        <v>2186</v>
      </c>
      <c r="D36" s="8" t="s">
        <v>2184</v>
      </c>
      <c r="E36" s="8" t="s">
        <v>2189</v>
      </c>
      <c r="F36" s="2798" t="s">
        <v>2575</v>
      </c>
      <c r="G36" s="2440"/>
      <c r="H36" s="2440"/>
      <c r="I36" s="2440"/>
      <c r="J36" s="2245"/>
      <c r="K36" s="2400"/>
      <c r="L36" s="2397"/>
      <c r="M36" s="2397"/>
      <c r="N36" s="2245"/>
      <c r="O36" s="1670"/>
      <c r="P36" s="2245"/>
      <c r="Q36" s="2245"/>
      <c r="R36" s="2245"/>
      <c r="S36" s="2245"/>
      <c r="T36" s="2245"/>
      <c r="U36" s="2245"/>
      <c r="V36" s="2245"/>
    </row>
    <row r="37" spans="1:30">
      <c r="A37" s="2413" t="s">
        <v>2230</v>
      </c>
      <c r="B37" s="2237" t="s">
        <v>110</v>
      </c>
      <c r="C37" s="2237" t="s">
        <v>110</v>
      </c>
      <c r="D37" s="2237"/>
      <c r="E37" s="2237"/>
      <c r="F37" s="2237"/>
      <c r="G37" s="2440"/>
      <c r="H37" s="2440"/>
      <c r="I37" s="2440"/>
      <c r="J37" s="2245"/>
      <c r="K37" s="2400"/>
      <c r="L37" s="2397"/>
      <c r="M37" s="2397"/>
      <c r="N37" s="2245"/>
      <c r="O37" s="1670"/>
      <c r="P37" s="2245"/>
      <c r="Q37" s="2245"/>
      <c r="R37" s="2245"/>
      <c r="S37" s="2245"/>
      <c r="T37" s="2245"/>
      <c r="U37" s="2245"/>
      <c r="V37" s="2245"/>
    </row>
    <row r="38" spans="1:30" ht="13.8" thickBot="1">
      <c r="A38" s="2414" t="s">
        <v>2231</v>
      </c>
      <c r="B38" s="2238" t="s">
        <v>210</v>
      </c>
      <c r="C38" s="2238" t="s">
        <v>210</v>
      </c>
      <c r="D38" s="2238"/>
      <c r="E38" s="2238"/>
      <c r="F38" s="2238"/>
      <c r="G38" s="2441"/>
      <c r="H38" s="2441"/>
      <c r="I38" s="2441"/>
      <c r="J38" s="2245"/>
      <c r="K38" s="2400"/>
      <c r="L38" s="2397"/>
      <c r="M38" s="2397"/>
      <c r="N38" s="2245"/>
      <c r="O38" s="1670"/>
      <c r="P38" s="2245"/>
      <c r="Q38" s="2245"/>
      <c r="R38" s="2245"/>
      <c r="S38" s="2245"/>
      <c r="T38" s="2245"/>
      <c r="U38" s="2245"/>
      <c r="V38" s="2245"/>
    </row>
    <row r="39" spans="1:30" s="2241" customFormat="1" ht="14.4" thickTop="1" thickBot="1">
      <c r="A39" s="2239" t="s">
        <v>2232</v>
      </c>
      <c r="B39" s="2240"/>
      <c r="C39" s="2240"/>
      <c r="D39" s="2240"/>
      <c r="E39" s="2240"/>
      <c r="F39" s="2240"/>
      <c r="G39" s="2240"/>
      <c r="H39" s="2240"/>
      <c r="I39" s="2240"/>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2"/>
      <c r="B40" s="2182"/>
      <c r="C40" s="2182"/>
      <c r="D40" s="2182"/>
      <c r="E40" s="2182"/>
      <c r="F40" s="2182"/>
      <c r="G40" s="2182"/>
      <c r="H40" s="2182"/>
      <c r="I40" s="1466"/>
      <c r="J40" s="2245"/>
      <c r="K40" s="2399"/>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0"/>
      <c r="L41" s="2397"/>
      <c r="M41" s="2397"/>
      <c r="N41" s="2245"/>
      <c r="O41" s="1670"/>
      <c r="P41" s="2245"/>
      <c r="Q41" s="2245"/>
      <c r="R41" s="2245"/>
      <c r="S41" s="2245"/>
      <c r="T41" s="2245"/>
      <c r="U41" s="2245"/>
      <c r="V41" s="2245"/>
    </row>
    <row r="42" spans="1:30" ht="25.2">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1A8EF-1FE5-439A-B268-BA53146C3811}">
  <dimension ref="A1:M10"/>
  <sheetViews>
    <sheetView workbookViewId="0">
      <selection activeCell="J15" sqref="J15"/>
    </sheetView>
  </sheetViews>
  <sheetFormatPr defaultRowHeight="14.4"/>
  <cols>
    <col min="1" max="1" width="4.109375" style="3167" customWidth="1"/>
    <col min="2" max="2" width="17.109375" style="3167" customWidth="1"/>
    <col min="3" max="3" width="17.5546875" style="3167" customWidth="1"/>
    <col min="4" max="4" width="20.6640625" style="3167" customWidth="1"/>
    <col min="5" max="5" width="5.5546875" style="3167" customWidth="1"/>
    <col min="6" max="6" width="11.6640625" style="3167" customWidth="1"/>
    <col min="7" max="11" width="8.88671875" style="3167"/>
    <col min="12" max="12" width="11.77734375" style="3167" customWidth="1"/>
    <col min="13" max="16384" width="8.88671875" style="3167"/>
  </cols>
  <sheetData>
    <row r="1" spans="1:13" ht="28.8">
      <c r="A1" s="3165" t="s">
        <v>3460</v>
      </c>
      <c r="B1" s="3165" t="s">
        <v>3461</v>
      </c>
      <c r="C1" s="3165" t="s">
        <v>3462</v>
      </c>
      <c r="D1" s="3165" t="s">
        <v>3463</v>
      </c>
      <c r="E1" s="3165" t="s">
        <v>2539</v>
      </c>
      <c r="F1" s="3165" t="s">
        <v>3464</v>
      </c>
      <c r="G1" s="3165" t="s">
        <v>3465</v>
      </c>
      <c r="H1" s="3165" t="s">
        <v>3466</v>
      </c>
      <c r="I1" s="3165" t="s">
        <v>3467</v>
      </c>
      <c r="J1" s="3165" t="s">
        <v>3468</v>
      </c>
      <c r="K1" s="3165" t="s">
        <v>3469</v>
      </c>
      <c r="L1" s="3165"/>
      <c r="M1" s="3166"/>
    </row>
    <row r="2" spans="1:13" ht="28.8">
      <c r="A2" s="3165">
        <v>1</v>
      </c>
      <c r="B2" s="3165" t="s">
        <v>3470</v>
      </c>
      <c r="C2" s="3165" t="s">
        <v>3471</v>
      </c>
      <c r="D2" s="3165" t="s">
        <v>3472</v>
      </c>
      <c r="E2" s="3165"/>
      <c r="F2" s="3165" t="s">
        <v>3473</v>
      </c>
      <c r="G2" s="3168"/>
      <c r="H2" s="3165" t="s">
        <v>3474</v>
      </c>
      <c r="I2" s="3165">
        <v>101</v>
      </c>
      <c r="J2" s="3165">
        <v>26881.279999999999</v>
      </c>
      <c r="K2" s="3165" t="s">
        <v>3475</v>
      </c>
      <c r="L2" s="3165" t="s">
        <v>3476</v>
      </c>
      <c r="M2" s="3166"/>
    </row>
    <row r="3" spans="1:13" ht="28.8">
      <c r="A3" s="3165">
        <v>2</v>
      </c>
      <c r="B3" s="3165" t="s">
        <v>3477</v>
      </c>
      <c r="C3" s="3165" t="s">
        <v>3471</v>
      </c>
      <c r="D3" s="3165" t="s">
        <v>3478</v>
      </c>
      <c r="E3" s="3165" t="s">
        <v>3479</v>
      </c>
      <c r="F3" s="3165">
        <v>7</v>
      </c>
      <c r="G3" s="3168" t="s">
        <v>3480</v>
      </c>
      <c r="H3" s="3165" t="s">
        <v>3481</v>
      </c>
      <c r="I3" s="3165">
        <v>101</v>
      </c>
      <c r="J3" s="3165">
        <v>7261.08</v>
      </c>
      <c r="K3" s="3165"/>
      <c r="L3" s="3165" t="s">
        <v>3482</v>
      </c>
      <c r="M3" s="3166"/>
    </row>
    <row r="4" spans="1:13" ht="28.8">
      <c r="A4" s="3165">
        <v>3</v>
      </c>
      <c r="B4" s="3165" t="s">
        <v>3483</v>
      </c>
      <c r="C4" s="3165" t="s">
        <v>3471</v>
      </c>
      <c r="D4" s="3165" t="s">
        <v>3484</v>
      </c>
      <c r="E4" s="3165" t="s">
        <v>3479</v>
      </c>
      <c r="F4" s="3165">
        <v>5</v>
      </c>
      <c r="G4" s="3168" t="s">
        <v>3485</v>
      </c>
      <c r="H4" s="3165" t="s">
        <v>3486</v>
      </c>
      <c r="I4" s="3165">
        <v>101</v>
      </c>
      <c r="J4" s="3165">
        <v>3674.91</v>
      </c>
      <c r="K4" s="3165"/>
      <c r="L4" s="3169">
        <v>37690</v>
      </c>
      <c r="M4" s="3166"/>
    </row>
    <row r="5" spans="1:13">
      <c r="A5" s="3165"/>
      <c r="B5" s="3165"/>
      <c r="C5" s="3165"/>
      <c r="D5" s="3165"/>
      <c r="E5" s="3165"/>
      <c r="F5" s="3165"/>
      <c r="G5" s="3165"/>
      <c r="H5" s="3165"/>
      <c r="I5" s="3165" t="s">
        <v>2588</v>
      </c>
      <c r="J5" s="3165">
        <f>SUM(J2:J4)</f>
        <v>37817.270000000004</v>
      </c>
      <c r="K5" s="3165"/>
      <c r="L5" s="3169">
        <v>52299</v>
      </c>
      <c r="M5" s="3166"/>
    </row>
    <row r="6" spans="1:13">
      <c r="A6" s="3166"/>
      <c r="B6" s="3166"/>
      <c r="C6" s="3166"/>
      <c r="D6" s="3166"/>
      <c r="E6" s="3166"/>
      <c r="F6" s="3166"/>
      <c r="G6" s="3170"/>
      <c r="H6" s="3166"/>
      <c r="I6" s="3166"/>
      <c r="J6" s="3166"/>
      <c r="K6" s="3166"/>
      <c r="L6" s="3166"/>
      <c r="M6" s="3166"/>
    </row>
    <row r="7" spans="1:13" ht="28.8">
      <c r="A7" s="3165" t="s">
        <v>3460</v>
      </c>
      <c r="B7" s="3165" t="s">
        <v>3461</v>
      </c>
      <c r="C7" s="3165" t="s">
        <v>3462</v>
      </c>
      <c r="D7" s="3165" t="s">
        <v>3463</v>
      </c>
      <c r="E7" s="3165" t="s">
        <v>2539</v>
      </c>
      <c r="F7" s="3165" t="s">
        <v>3487</v>
      </c>
      <c r="G7" s="3165" t="s">
        <v>3469</v>
      </c>
      <c r="H7" s="3165" t="s">
        <v>3488</v>
      </c>
      <c r="I7" s="3165" t="s">
        <v>3468</v>
      </c>
      <c r="J7" s="3166"/>
      <c r="K7" s="3166"/>
      <c r="L7" s="3166"/>
      <c r="M7" s="3166"/>
    </row>
    <row r="8" spans="1:13" ht="28.8">
      <c r="A8" s="3165">
        <v>1</v>
      </c>
      <c r="B8" s="3165" t="s">
        <v>3489</v>
      </c>
      <c r="C8" s="3165" t="s">
        <v>3490</v>
      </c>
      <c r="D8" s="3165" t="s">
        <v>3491</v>
      </c>
      <c r="E8" s="3165" t="s">
        <v>3393</v>
      </c>
      <c r="F8" s="3165">
        <v>3</v>
      </c>
      <c r="G8" s="3165" t="s">
        <v>3492</v>
      </c>
      <c r="H8" s="3168" t="s">
        <v>3493</v>
      </c>
      <c r="I8" s="3165">
        <v>1516.2</v>
      </c>
      <c r="J8" s="3166"/>
      <c r="K8" s="3166"/>
      <c r="L8" s="3166"/>
      <c r="M8" s="3166"/>
    </row>
    <row r="9" spans="1:13">
      <c r="A9" s="3165"/>
      <c r="B9" s="3165"/>
      <c r="C9" s="3165"/>
      <c r="D9" s="3165"/>
      <c r="E9" s="3165"/>
      <c r="F9" s="3165">
        <v>2</v>
      </c>
      <c r="G9" s="3165" t="s">
        <v>3492</v>
      </c>
      <c r="H9" s="3168" t="s">
        <v>3493</v>
      </c>
      <c r="I9" s="3165">
        <v>654</v>
      </c>
      <c r="J9" s="3166"/>
      <c r="K9" s="3166"/>
      <c r="L9" s="3166"/>
      <c r="M9" s="3166"/>
    </row>
    <row r="10" spans="1:13">
      <c r="A10" s="3165"/>
      <c r="B10" s="3165"/>
      <c r="C10" s="3165"/>
      <c r="D10" s="3165"/>
      <c r="E10" s="3165"/>
      <c r="F10" s="3165"/>
      <c r="G10" s="3165"/>
      <c r="H10" s="3165" t="s">
        <v>2588</v>
      </c>
      <c r="I10" s="3165">
        <f>SUM(I8:I9)</f>
        <v>2170.1999999999998</v>
      </c>
      <c r="J10" s="3166"/>
      <c r="K10" s="3166"/>
      <c r="L10" s="3166"/>
      <c r="M10" s="3166"/>
    </row>
  </sheetData>
  <phoneticPr fontId="13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v>1778.06</v>
      </c>
      <c r="B3" s="11">
        <f>IF(C3="否",G5-AT5,G5)</f>
        <v>2170.1999999999998</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2170.1999999999998</v>
      </c>
      <c r="H5" s="13">
        <f t="shared" ref="H5:AT5" si="0">SUM(H13:H656)</f>
        <v>2170.1999999999998</v>
      </c>
      <c r="I5" s="13">
        <f t="shared" si="0"/>
        <v>0</v>
      </c>
      <c r="J5" s="13">
        <f t="shared" si="0"/>
        <v>0</v>
      </c>
      <c r="K5" s="13">
        <f t="shared" si="0"/>
        <v>2170.1999999999998</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2170.1999999999998</v>
      </c>
      <c r="BA5" s="15">
        <f t="shared" si="1"/>
        <v>2170.1999999999998</v>
      </c>
      <c r="BB5" s="15">
        <f t="shared" si="1"/>
        <v>0</v>
      </c>
      <c r="BC5" s="15">
        <f t="shared" si="1"/>
        <v>2170.1999999999998</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1778.06</v>
      </c>
      <c r="F6" s="13" t="s">
        <v>0</v>
      </c>
      <c r="G6" s="13" t="s">
        <v>1</v>
      </c>
      <c r="H6" s="17">
        <f>SUMIF(I$12:AB$12,"总值",I6:AB6)</f>
        <v>1778.06</v>
      </c>
      <c r="I6" s="13">
        <f t="shared" ref="I6:AB6" si="2">ROUND($A$3*I5/$B$3,2)</f>
        <v>0</v>
      </c>
      <c r="J6" s="13">
        <f t="shared" si="2"/>
        <v>0</v>
      </c>
      <c r="K6" s="13">
        <f t="shared" si="2"/>
        <v>1778.06</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1778.06</v>
      </c>
      <c r="AZ6" s="13" t="s">
        <v>2</v>
      </c>
      <c r="BA6" s="13">
        <f>ROUND($AY$6*BA5/$AZ$5,2)</f>
        <v>1778.06</v>
      </c>
      <c r="BB6" s="13">
        <f>ROUND($AY$6*BB5/$AZ$5,2)</f>
        <v>0</v>
      </c>
      <c r="BC6" s="13">
        <f t="shared" ref="BC6:BH6" si="4">ROUND($AY$6*BC5/$AZ$5,2)</f>
        <v>1778.06</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3423</v>
      </c>
      <c r="J9" s="761"/>
      <c r="K9" s="1491" t="s">
        <v>3423</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673</v>
      </c>
      <c r="J10" s="761"/>
      <c r="K10" s="1491" t="s">
        <v>21</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地上</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t="str">
        <f>K10</f>
        <v>办公</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c r="A13" s="31"/>
      <c r="B13" s="31"/>
      <c r="C13" s="3160">
        <v>1</v>
      </c>
      <c r="D13" s="1513" t="s">
        <v>3422</v>
      </c>
      <c r="E13" s="13">
        <f>IF($C$3="是",ROUND($A$3*G13/$B$3,2),ROUND($A$3*(G13-AT13)/$B$3,2))</f>
        <v>1242.23</v>
      </c>
      <c r="F13" s="29"/>
      <c r="G13" s="30">
        <f>H13+AC13+AT13</f>
        <v>1516.2</v>
      </c>
      <c r="H13" s="17">
        <f>SUMIF(I$12:AB$12,"总值",I13:AB13)</f>
        <v>1516.2</v>
      </c>
      <c r="I13" s="1514"/>
      <c r="J13" s="1514"/>
      <c r="K13" s="1514">
        <v>1516.2</v>
      </c>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1</v>
      </c>
      <c r="AY13" s="1260">
        <f>ROUND($AY$6*AZ13/$AZ$5,2)</f>
        <v>1242.23</v>
      </c>
      <c r="AZ13" s="13">
        <f>BA13+BL13</f>
        <v>1516.2</v>
      </c>
      <c r="BA13" s="13">
        <f>SUM(BB13:BK13)</f>
        <v>1516.2</v>
      </c>
      <c r="BB13" s="13">
        <f>IF($D13="是",I13-J13,0)</f>
        <v>0</v>
      </c>
      <c r="BC13" s="13">
        <f>IF($D13="是",K13-L13,0)</f>
        <v>1516.2</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c r="A14" s="31"/>
      <c r="B14" s="31"/>
      <c r="C14" s="3160">
        <v>2</v>
      </c>
      <c r="D14" s="1513" t="s">
        <v>3422</v>
      </c>
      <c r="E14" s="13">
        <f>IF($C$3="是",ROUND($A$3*G14/$B$3,2),ROUND($A$3*(G14-AT14)/$B$3,2))</f>
        <v>535.83000000000004</v>
      </c>
      <c r="F14" s="29"/>
      <c r="G14" s="30">
        <f>H14+AC14+AT14</f>
        <v>654</v>
      </c>
      <c r="H14" s="17">
        <f>SUMIF(I$12:AB$12,"总值",I14:AB14)</f>
        <v>654</v>
      </c>
      <c r="I14" s="1514"/>
      <c r="J14" s="1514"/>
      <c r="K14" s="1514">
        <v>654</v>
      </c>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2</v>
      </c>
      <c r="AY14" s="1260">
        <f>ROUND($AY$6*AZ14/$AZ$5,2)</f>
        <v>535.83000000000004</v>
      </c>
      <c r="AZ14" s="13">
        <f>BA14+BL14</f>
        <v>654</v>
      </c>
      <c r="BA14" s="13">
        <f>SUM(BB14:BK14)</f>
        <v>654</v>
      </c>
      <c r="BB14" s="13">
        <f>IF($D14="是",I14-J14,0)</f>
        <v>0</v>
      </c>
      <c r="BC14" s="13">
        <f>IF($D14="是",K14-L14,0)</f>
        <v>654</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3160"/>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E3" sqref="E3"/>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51" t="s">
        <v>1131</v>
      </c>
      <c r="B2" s="3251"/>
      <c r="C2" s="3251"/>
      <c r="D2" s="748" t="s">
        <v>1107</v>
      </c>
      <c r="E2" s="1523" t="s">
        <v>1108</v>
      </c>
      <c r="F2" s="2437"/>
      <c r="G2" s="2430"/>
      <c r="H2" s="2431"/>
      <c r="I2" s="2146" t="s">
        <v>1132</v>
      </c>
      <c r="J2" s="2437"/>
      <c r="K2" s="2437"/>
      <c r="L2" s="2437"/>
      <c r="M2" s="2437"/>
      <c r="N2" s="2438"/>
      <c r="O2" s="2437"/>
      <c r="P2" s="2437"/>
    </row>
    <row r="3" spans="1:16" ht="15" thickBot="1">
      <c r="A3" s="3252" t="s">
        <v>1105</v>
      </c>
      <c r="B3" s="3252"/>
      <c r="C3" s="3252"/>
      <c r="D3" s="41">
        <f>'数据-基础表'!AY6</f>
        <v>1778.06</v>
      </c>
      <c r="E3" s="41">
        <f>'数据-基础表'!AZ5</f>
        <v>2170.1999999999998</v>
      </c>
      <c r="F3" s="2437"/>
      <c r="G3" s="42"/>
      <c r="H3" s="43" t="s">
        <v>1106</v>
      </c>
      <c r="I3" s="802">
        <f>ROUND('数据-基础表'!B3/'数据-基础表'!A3,2)</f>
        <v>1.22</v>
      </c>
      <c r="J3" s="2437"/>
      <c r="K3" s="2437"/>
      <c r="L3" s="2437"/>
      <c r="M3" s="2437"/>
      <c r="N3" s="2438"/>
      <c r="O3" s="2437"/>
      <c r="P3" s="2437"/>
    </row>
    <row r="4" spans="1:16" ht="14.4">
      <c r="A4" s="3253"/>
      <c r="B4" s="3254"/>
      <c r="C4" s="3255"/>
      <c r="D4" s="1524" t="s">
        <v>1107</v>
      </c>
      <c r="E4" s="1525" t="s">
        <v>1108</v>
      </c>
      <c r="F4" s="2437"/>
      <c r="G4" s="2432" t="s">
        <v>1133</v>
      </c>
      <c r="H4" s="43" t="s">
        <v>1113</v>
      </c>
      <c r="I4" s="802">
        <f>ROUND(SUMIF('数据-基础表'!I9:AS9,"地上",'数据-基础表'!I5:AS5)/'数据-基础表'!A3,2)</f>
        <v>1.22</v>
      </c>
      <c r="J4" s="2437"/>
      <c r="K4" s="2437"/>
      <c r="L4" s="2437"/>
      <c r="M4" s="2437"/>
      <c r="N4" s="2438"/>
      <c r="O4" s="2437"/>
      <c r="P4" s="2437"/>
    </row>
    <row r="5" spans="1:16" ht="14.4">
      <c r="A5" s="42" t="s">
        <v>1109</v>
      </c>
      <c r="B5" s="3256" t="s">
        <v>1110</v>
      </c>
      <c r="C5" s="3256"/>
      <c r="D5" s="43">
        <f>ROUND($D$3*E5/$E$3,2)</f>
        <v>0</v>
      </c>
      <c r="E5" s="44">
        <f>SUMIF('数据-基础表'!$11:$11,"住宅",'数据-基础表'!$5:$5)</f>
        <v>0</v>
      </c>
      <c r="F5" s="2437"/>
      <c r="G5" s="42"/>
      <c r="H5" s="43" t="s">
        <v>1106</v>
      </c>
      <c r="I5" s="802">
        <f>ROUND(E31/D31,2)</f>
        <v>1.22</v>
      </c>
      <c r="J5" s="2437"/>
      <c r="K5" s="2437"/>
      <c r="L5" s="2437"/>
      <c r="M5" s="2437"/>
      <c r="N5" s="2437"/>
      <c r="O5" s="2437"/>
      <c r="P5" s="2437"/>
    </row>
    <row r="6" spans="1:16" ht="15" thickBot="1">
      <c r="A6" s="1527"/>
      <c r="B6" s="3256" t="s">
        <v>1111</v>
      </c>
      <c r="C6" s="3256"/>
      <c r="D6" s="43">
        <f>ROUND($D$3*E6/$E$3,2)</f>
        <v>1778.06</v>
      </c>
      <c r="E6" s="44">
        <f>E3-E5</f>
        <v>2170.1999999999998</v>
      </c>
      <c r="F6" s="2437"/>
      <c r="G6" s="1529" t="s">
        <v>1112</v>
      </c>
      <c r="H6" s="45" t="s">
        <v>1113</v>
      </c>
      <c r="I6" s="2433">
        <f>ROUND(F31/D31,2)</f>
        <v>1.22</v>
      </c>
      <c r="J6" s="2437"/>
      <c r="K6" s="2437"/>
      <c r="L6" s="2437"/>
      <c r="M6" s="2437"/>
      <c r="N6" s="2437"/>
      <c r="O6" s="2437"/>
      <c r="P6" s="2437"/>
    </row>
    <row r="7" spans="1:16" ht="15" thickBot="1">
      <c r="A7" s="3248"/>
      <c r="B7" s="3249"/>
      <c r="C7" s="3250"/>
      <c r="D7" s="1524" t="s">
        <v>1107</v>
      </c>
      <c r="E7" s="1528" t="s">
        <v>1114</v>
      </c>
      <c r="F7" s="2437"/>
      <c r="G7" s="2434" t="s">
        <v>1115</v>
      </c>
      <c r="H7" s="95"/>
      <c r="I7" s="2435">
        <f>I6</f>
        <v>1.22</v>
      </c>
      <c r="J7" s="2437"/>
      <c r="K7" s="2437"/>
      <c r="L7" s="2437"/>
      <c r="M7" s="2437"/>
      <c r="N7" s="2437"/>
      <c r="O7" s="2437"/>
      <c r="P7" s="2437"/>
    </row>
    <row r="8" spans="1:16" ht="14.4">
      <c r="A8" s="42" t="s">
        <v>1116</v>
      </c>
      <c r="B8" s="45" t="s">
        <v>1117</v>
      </c>
      <c r="C8" s="43" t="s">
        <v>1118</v>
      </c>
      <c r="D8" s="43">
        <f t="shared" ref="D8:D15" si="0">ROUND($D$3*E8/$E$3,2)</f>
        <v>1778.06</v>
      </c>
      <c r="E8" s="46">
        <f>SUMIF('数据-基础表'!BB10:BK10,"地上",'数据-基础表'!BB5:BK5)</f>
        <v>2170.1999999999998</v>
      </c>
      <c r="F8" s="2437"/>
      <c r="G8" s="2437"/>
      <c r="H8" s="2437"/>
      <c r="I8" s="2437"/>
      <c r="J8" s="2437"/>
      <c r="K8" s="2437"/>
      <c r="L8" s="2437"/>
      <c r="M8" s="2437"/>
      <c r="N8" s="2437"/>
      <c r="O8" s="2437"/>
      <c r="P8" s="2437"/>
    </row>
    <row r="9" spans="1:16" ht="14.4">
      <c r="A9" s="1529"/>
      <c r="B9" s="1530"/>
      <c r="C9" s="43" t="s">
        <v>1119</v>
      </c>
      <c r="D9" s="43">
        <f t="shared" si="0"/>
        <v>0</v>
      </c>
      <c r="E9" s="47">
        <v>0</v>
      </c>
      <c r="F9" s="2437"/>
      <c r="G9" s="2437"/>
      <c r="H9" s="2437"/>
      <c r="I9" s="2437"/>
      <c r="J9" s="2437"/>
      <c r="K9" s="2437"/>
      <c r="L9" s="2437"/>
      <c r="M9" s="2437"/>
      <c r="N9" s="2437"/>
      <c r="O9" s="2437"/>
      <c r="P9" s="2437"/>
    </row>
    <row r="10" spans="1:16" ht="14.4">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ht="14.4">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7"/>
      <c r="B16" s="1530"/>
      <c r="C16" s="45" t="s">
        <v>1123</v>
      </c>
      <c r="D16" s="45">
        <f>SUM(D8:D15)</f>
        <v>1778.06</v>
      </c>
      <c r="E16" s="48">
        <f>SUM(E8:E15)</f>
        <v>2170.1999999999998</v>
      </c>
      <c r="F16" s="2437"/>
      <c r="G16" s="2437"/>
      <c r="H16" s="1531" t="s">
        <v>1135</v>
      </c>
      <c r="I16" s="1532"/>
      <c r="J16" s="1071"/>
      <c r="K16" s="3245" t="s">
        <v>1135</v>
      </c>
      <c r="L16" s="3246"/>
      <c r="M16" s="3246"/>
      <c r="N16" s="3246"/>
      <c r="O16" s="3246"/>
      <c r="P16" s="3247"/>
    </row>
    <row r="17" spans="1:19" ht="14.4">
      <c r="A17" s="1533" t="s">
        <v>1136</v>
      </c>
      <c r="B17" s="1534" t="s">
        <v>1137</v>
      </c>
      <c r="C17" s="1535" t="s">
        <v>1138</v>
      </c>
      <c r="D17" s="1536" t="s">
        <v>1126</v>
      </c>
      <c r="E17" s="1537" t="s">
        <v>1127</v>
      </c>
      <c r="F17" s="1538"/>
      <c r="G17" s="1539"/>
      <c r="H17" s="1540" t="s">
        <v>1139</v>
      </c>
      <c r="I17" s="1541" t="s">
        <v>1124</v>
      </c>
      <c r="J17" s="1071"/>
      <c r="K17" s="3242" t="s">
        <v>1140</v>
      </c>
      <c r="L17" s="3243"/>
      <c r="M17" s="3244"/>
      <c r="N17" s="3242" t="s">
        <v>1141</v>
      </c>
      <c r="O17" s="3243"/>
      <c r="P17" s="3244"/>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3" t="s">
        <v>3452</v>
      </c>
      <c r="D19" s="43">
        <f>ROUND($D$3*E19/$E$3,2)</f>
        <v>1778.06</v>
      </c>
      <c r="E19" s="51">
        <f t="shared" ref="E19:E26" si="1">SUM(F19:G19)</f>
        <v>2170.1999999999998</v>
      </c>
      <c r="F19" s="2555">
        <f>'数据-基础表'!K5</f>
        <v>2170.1999999999998</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1778.06</v>
      </c>
      <c r="S19" s="51">
        <f t="shared" si="5"/>
        <v>2170.1999999999998</v>
      </c>
    </row>
    <row r="20" spans="1:19" ht="14.4">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1778.06</v>
      </c>
      <c r="E27" s="1073">
        <f>IF(SUM(E19:E26)='数据-基础表'!BA5,SUM(E19:E26),IF(F27="地上面积有误","面积有误","地下面积有误"))</f>
        <v>2170.1999999999998</v>
      </c>
      <c r="F27" s="1072">
        <f>IF(SUM(F19:F26)=E8,SUM(F19:F26),"地上面积有误")</f>
        <v>2170.1999999999998</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1778.06</v>
      </c>
      <c r="S27" s="43">
        <f>IF(SUM(S19:S26)=$E$3,SUM(S19:S26),SUM(S19:S26)&amp;"误差"&amp;ROUND(SUM(S19:S26)-E3,2))</f>
        <v>2170.1999999999998</v>
      </c>
    </row>
    <row r="28" spans="1:19" ht="14.4">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ht="14.4">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 thickBot="1">
      <c r="A31" s="1557"/>
      <c r="B31" s="96"/>
      <c r="C31" s="785" t="s">
        <v>1158</v>
      </c>
      <c r="D31" s="643">
        <f>D27+D30</f>
        <v>1778.06</v>
      </c>
      <c r="E31" s="643">
        <f>E27+E30</f>
        <v>2170.1999999999998</v>
      </c>
      <c r="F31" s="644">
        <f>F27+F30</f>
        <v>2170.1999999999998</v>
      </c>
      <c r="G31" s="645">
        <f>G27+G30</f>
        <v>0</v>
      </c>
      <c r="H31" s="2437"/>
      <c r="I31" s="2437"/>
      <c r="J31" s="2437"/>
      <c r="K31" s="2437"/>
      <c r="L31" s="2437"/>
      <c r="M31" s="2437"/>
      <c r="N31" s="2437"/>
      <c r="O31" s="2437"/>
      <c r="P31" s="2437"/>
    </row>
    <row r="32" spans="1:19" ht="14.4">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E6" activePane="bottomRight" state="frozen"/>
      <selection activeCell="C50" sqref="C50"/>
      <selection pane="topRight" activeCell="C50" sqref="C50"/>
      <selection pane="bottomLeft" activeCell="C50" sqref="C50"/>
      <selection pane="bottomRight" activeCell="N7" sqref="N7"/>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 thickBot="1">
      <c r="A2" s="1562" t="s">
        <v>1161</v>
      </c>
      <c r="B2" s="984">
        <f>项目基本情况!D3</f>
        <v>45772</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3424</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综合</v>
      </c>
      <c r="B6" s="1587" t="str">
        <f>IF(A6=0,"","经营性")</f>
        <v>经营性</v>
      </c>
      <c r="C6" s="1588" t="s">
        <v>21</v>
      </c>
      <c r="D6" s="805">
        <f>SUMIF(项目基本情况!C$12:I$12,C6,项目基本情况!C$14:I$14)</f>
        <v>50</v>
      </c>
      <c r="E6" s="804">
        <f>IF(B6="","",SUMIF(项目基本情况!C$12:I$12,C6,项目基本情况!C$13:I$13))</f>
        <v>55475</v>
      </c>
      <c r="F6" s="61">
        <f>SUMIF(项目基本情况!C$12:I$12,C6,项目基本情况!C$15:I$15)</f>
        <v>26.58</v>
      </c>
      <c r="G6" s="62">
        <f>IF(ISERROR(ROUND(POWER(1+H6,D6-F6)*(POWER(1+H6,F6)-1)/(POWER(1+H6,D6)-1),3)),0,ROUND(POWER(1+H6,D6-F6)*(POWER(1+H6,F6)-1)/(POWER(1+H6,D6)-1),3))</f>
        <v>0.79600000000000004</v>
      </c>
      <c r="H6" s="691">
        <v>0.05</v>
      </c>
      <c r="I6" s="691">
        <v>5.5E-2</v>
      </c>
      <c r="J6" s="63">
        <v>7.0000000000000007E-2</v>
      </c>
      <c r="K6" s="970">
        <f>SUMIF('数据-汇总表'!C$19:C$33,A6,'数据-汇总表'!E$19:E$33)</f>
        <v>2170.1999999999998</v>
      </c>
      <c r="L6" s="692">
        <v>4500</v>
      </c>
      <c r="M6" s="64">
        <f t="shared" ref="M6:M14" si="0">ROUND(K6*L6/10000,0)</f>
        <v>977</v>
      </c>
      <c r="N6" s="690">
        <v>0.95</v>
      </c>
      <c r="O6" s="64" t="str">
        <f>IF($N$5="成新度","——",ROUND(M6*N6,0))</f>
        <v>——</v>
      </c>
      <c r="P6" s="65" t="str">
        <f>IF($N$5="成新度","——",M6-O6)</f>
        <v>——</v>
      </c>
      <c r="Q6" s="693">
        <v>0.2</v>
      </c>
      <c r="R6" s="66">
        <f ca="1">SUMIF('数据-汇总表'!C$19:C$33,A6,'数据-汇总表'!R$19:R$27)</f>
        <v>1778.06</v>
      </c>
      <c r="S6" s="49">
        <f>IF('数据-汇总表'!$I$17="按面积比例",SUMIF('数据-汇总表'!C$19:C$33,A6,'数据-汇总表'!K$19:K$33),SUMIF('数据-汇总表'!C$19:C$33,A6,'数据-汇总表'!N$19:N$33))</f>
        <v>0</v>
      </c>
      <c r="T6" s="1092">
        <f>ROUND($L$14*S6/10000,0)</f>
        <v>0</v>
      </c>
      <c r="U6" s="3124">
        <v>4.5</v>
      </c>
      <c r="V6" s="67">
        <v>0.02</v>
      </c>
      <c r="W6" s="67">
        <v>0.1</v>
      </c>
      <c r="X6" s="979"/>
      <c r="Y6" s="68">
        <f>N6</f>
        <v>0.95</v>
      </c>
      <c r="Z6" s="69"/>
      <c r="AA6" s="63"/>
      <c r="AB6" s="63"/>
      <c r="AC6" s="979"/>
      <c r="AD6" s="70"/>
      <c r="AE6" s="980">
        <f ca="1">IF(AN6="",0,SUMIF(INDIRECT("'"&amp;AN6&amp;"'"&amp;"!E:E"),$AE$5,INDIRECT("'"&amp;AN6&amp;"'"&amp;"!F:F")))</f>
        <v>26.58</v>
      </c>
      <c r="AF6" s="74"/>
      <c r="AG6" s="130">
        <f>IF(AF6="",0,AE6-AF6)</f>
        <v>0</v>
      </c>
      <c r="AH6" s="71"/>
      <c r="AI6" s="73">
        <v>365</v>
      </c>
      <c r="AJ6" s="74"/>
      <c r="AK6" s="75">
        <v>3.0000000000000001E-3</v>
      </c>
      <c r="AL6" s="76">
        <v>1E-3</v>
      </c>
      <c r="AM6" s="77">
        <v>5.0000000000000001E-3</v>
      </c>
      <c r="AN6" s="1589" t="s">
        <v>3443</v>
      </c>
      <c r="AO6" s="50">
        <f ca="1">SUMIF(INDIRECT("'"&amp;AN6&amp;"'"&amp;"!A:A"),"总价",INDIRECT("'"&amp;AN6&amp;"'"&amp;"!B:B"))</f>
        <v>4487.2785000000003</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0.79600000000000004</v>
      </c>
      <c r="H16" s="84">
        <f>ROUND(SUMPRODUCT(H6:H13,K6:K13)/SUMPRODUCT((H6:H13&gt;0)*(K6:K13)),3)</f>
        <v>0.05</v>
      </c>
      <c r="I16" s="85"/>
      <c r="J16" s="85"/>
      <c r="K16" s="86">
        <f>SUM(K6:K15)</f>
        <v>2170.1999999999998</v>
      </c>
      <c r="L16" s="87">
        <f>ROUND(M16*10000/SUM(K6:K14),0)</f>
        <v>4502</v>
      </c>
      <c r="M16" s="87">
        <f>SUM(M6:M14)</f>
        <v>977</v>
      </c>
      <c r="N16" s="88">
        <f>ROUND(SUMPRODUCT(M6:M14,N6:N14)/M16,3)</f>
        <v>0.95</v>
      </c>
      <c r="O16" s="87">
        <f>SUM(O6:O14)</f>
        <v>0</v>
      </c>
      <c r="P16" s="87">
        <f>SUM(P6:P14)</f>
        <v>0</v>
      </c>
      <c r="Q16" s="89">
        <f>ROUND(SUMPRODUCT(Q6:Q13,K6:K13)/SUMPRODUCT((Q6:Q13&gt;0)*(K6:K13)),2)</f>
        <v>0.2</v>
      </c>
      <c r="R16" s="974">
        <f ca="1">SUM(R6:R13)</f>
        <v>1778.06</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c r="M18" s="2446"/>
      <c r="N18" s="2446"/>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6" t="s">
        <v>1211</v>
      </c>
      <c r="B19" s="97">
        <v>0</v>
      </c>
      <c r="C19" s="2558" t="s">
        <v>2298</v>
      </c>
      <c r="D19" s="2449"/>
      <c r="E19" s="2437"/>
      <c r="F19" s="2437"/>
      <c r="G19" s="2437"/>
      <c r="H19" s="2437"/>
      <c r="I19" s="2437"/>
      <c r="J19" s="2437"/>
      <c r="K19" s="2447"/>
      <c r="L19" s="2447"/>
      <c r="M19" s="2446"/>
      <c r="N19" s="3161" t="s">
        <v>3425</v>
      </c>
      <c r="O19" s="2446">
        <v>1992</v>
      </c>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7" t="s">
        <v>1212</v>
      </c>
      <c r="B20" s="98">
        <v>1.5</v>
      </c>
      <c r="C20" s="2559" t="s">
        <v>2296</v>
      </c>
      <c r="D20" s="2449"/>
      <c r="E20" s="2437"/>
      <c r="F20" s="2437"/>
      <c r="G20" s="2437"/>
      <c r="H20" s="2437"/>
      <c r="I20" s="2437"/>
      <c r="J20" s="2437"/>
      <c r="K20" s="2447"/>
      <c r="L20" s="2447"/>
      <c r="M20" s="2446"/>
      <c r="N20" s="3161" t="s">
        <v>3426</v>
      </c>
      <c r="O20" s="2446">
        <f>ROUND(1-(1-0)*(2025-O19)/60,2)</f>
        <v>0.45</v>
      </c>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8" t="s">
        <v>1213</v>
      </c>
      <c r="B21" s="98">
        <f>B20</f>
        <v>1.5</v>
      </c>
      <c r="C21" s="2437"/>
      <c r="D21" s="2449"/>
      <c r="E21" s="2437"/>
      <c r="F21" s="2437"/>
      <c r="G21" s="2437"/>
      <c r="H21" s="2437"/>
      <c r="I21" s="2437"/>
      <c r="J21" s="2437"/>
      <c r="K21" s="2447"/>
      <c r="L21" s="2447"/>
      <c r="M21" s="2446"/>
      <c r="N21" s="3161" t="s">
        <v>3427</v>
      </c>
      <c r="O21" s="2446">
        <v>0.9</v>
      </c>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7" t="s">
        <v>1214</v>
      </c>
      <c r="B22" s="99">
        <f>B19+B20</f>
        <v>1.5</v>
      </c>
      <c r="C22" s="2437"/>
      <c r="D22" s="2449"/>
      <c r="E22" s="2437"/>
      <c r="F22" s="2437"/>
      <c r="G22" s="2437"/>
      <c r="H22" s="2437"/>
      <c r="I22" s="2437"/>
      <c r="J22" s="2437"/>
      <c r="K22" s="2447"/>
      <c r="L22" s="2447"/>
      <c r="M22" s="2446"/>
      <c r="N22" s="3161" t="s">
        <v>458</v>
      </c>
      <c r="O22" s="2446">
        <f>ROUND((O21+O20)/2,2)</f>
        <v>0.68</v>
      </c>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8" t="s">
        <v>1215</v>
      </c>
      <c r="B23" s="99">
        <f>B19+B21</f>
        <v>1.5</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4"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601" t="s">
        <v>1220</v>
      </c>
      <c r="B27" s="101">
        <v>160</v>
      </c>
      <c r="C27" s="2560" t="s">
        <v>2300</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2" t="s">
        <v>1221</v>
      </c>
      <c r="B28" s="103">
        <v>200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3" t="s">
        <v>1222</v>
      </c>
      <c r="B29" s="105">
        <f>ROUND(B28*K16/10000,0)</f>
        <v>43</v>
      </c>
      <c r="C29" s="2561" t="s">
        <v>2290</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601" t="s">
        <v>1226</v>
      </c>
      <c r="B33" s="640">
        <v>0.05</v>
      </c>
      <c r="C33" s="2562" t="s">
        <v>3379</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2" t="s">
        <v>1227</v>
      </c>
      <c r="B34" s="106">
        <v>0</v>
      </c>
      <c r="C34" s="2562" t="s">
        <v>2291</v>
      </c>
      <c r="D34" s="2457" t="s">
        <v>2297</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2" t="s">
        <v>1228</v>
      </c>
      <c r="B35" s="103">
        <v>200</v>
      </c>
      <c r="C35" s="2562" t="s">
        <v>2292</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2" t="s">
        <v>3397</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4" t="s">
        <v>1230</v>
      </c>
      <c r="B37" s="108">
        <v>0.02</v>
      </c>
      <c r="C37" s="2562" t="s">
        <v>3380</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2" t="s">
        <v>1231</v>
      </c>
      <c r="B38" s="106">
        <v>0.02</v>
      </c>
      <c r="C38" s="2562" t="s">
        <v>3381</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1" t="s">
        <v>2306</v>
      </c>
      <c r="B40" s="1015">
        <f ca="1">IF(A40="利息：取LPR",存贷款利率!G1,存贷款利率!G1+C40)</f>
        <v>3.1E-2</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601" t="s">
        <v>1233</v>
      </c>
      <c r="B41" s="109">
        <f>B42+B43</f>
        <v>5.6000000000000001E-2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6" t="s">
        <v>1235</v>
      </c>
      <c r="B43" s="111">
        <f>B42*(B44+B45+B46)+B47</f>
        <v>6.000000000000001E-3</v>
      </c>
      <c r="C43" s="2451"/>
      <c r="D43" s="2449"/>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7" t="s">
        <v>1236</v>
      </c>
      <c r="B44" s="112">
        <v>7.0000000000000007E-2</v>
      </c>
      <c r="C44" s="2562" t="s">
        <v>3382</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7" t="s">
        <v>1237</v>
      </c>
      <c r="B45" s="110">
        <v>0.03</v>
      </c>
      <c r="C45" s="2561" t="s">
        <v>2293</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7" t="s">
        <v>1238</v>
      </c>
      <c r="B46" s="110">
        <v>0.02</v>
      </c>
      <c r="C46" s="2561" t="s">
        <v>2294</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2301</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9" t="s">
        <v>1240</v>
      </c>
      <c r="B48" s="114">
        <v>0.03</v>
      </c>
      <c r="C48" s="2561" t="s">
        <v>2293</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2295</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10" t="s">
        <v>1244</v>
      </c>
      <c r="B52" s="117">
        <f>SUMIF(A54:A63,B53,B54:B63)</f>
        <v>3</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2" t="s">
        <v>1245</v>
      </c>
      <c r="B53" s="1611" t="s">
        <v>303</v>
      </c>
      <c r="C53" s="2438" t="s">
        <v>1246</v>
      </c>
      <c r="D53" s="2563" t="s">
        <v>2299</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2" t="s">
        <v>1247</v>
      </c>
      <c r="B54" s="72">
        <v>30</v>
      </c>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2" t="s">
        <v>1248</v>
      </c>
      <c r="B55" s="72">
        <v>24</v>
      </c>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2" t="s">
        <v>1249</v>
      </c>
      <c r="B56" s="72">
        <v>18</v>
      </c>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2" t="s">
        <v>1250</v>
      </c>
      <c r="B57" s="72">
        <v>12</v>
      </c>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2" t="s">
        <v>1251</v>
      </c>
      <c r="B58" s="72">
        <v>3</v>
      </c>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2" t="s">
        <v>1252</v>
      </c>
      <c r="B59" s="72">
        <v>1.5</v>
      </c>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4" type="noConversion"/>
  <dataValidations count="8">
    <dataValidation type="list" allowBlank="1" showInputMessage="1" showErrorMessage="1" sqref="B44" xr:uid="{4D18ECDA-751D-4238-9526-AFFDD67D5CE9}">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1" customWidth="1"/>
    <col min="19" max="29" width="9" style="751"/>
    <col min="30" max="16384" width="9" style="1522"/>
  </cols>
  <sheetData>
    <row r="1" spans="1:29" s="2259" customFormat="1" ht="18" thickBot="1">
      <c r="A1" s="3257" t="s">
        <v>2282</v>
      </c>
      <c r="B1" s="3258"/>
      <c r="C1" s="3258"/>
      <c r="D1" s="3258"/>
      <c r="E1" s="3258"/>
      <c r="F1" s="3258"/>
      <c r="G1" s="3258"/>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4" thickBot="1">
      <c r="A2" s="2260"/>
      <c r="B2" s="2261"/>
      <c r="C2" s="2262" t="s">
        <v>2278</v>
      </c>
      <c r="D2" s="1595"/>
      <c r="E2" s="2260"/>
      <c r="F2" s="2263"/>
      <c r="G2" s="2262" t="s">
        <v>2279</v>
      </c>
      <c r="H2" s="751"/>
      <c r="I2" s="751"/>
      <c r="J2" s="751"/>
      <c r="K2" s="751"/>
      <c r="L2" s="751"/>
      <c r="M2" s="751"/>
      <c r="N2" s="751"/>
      <c r="O2" s="751"/>
      <c r="P2" s="751"/>
      <c r="Q2" s="751"/>
    </row>
    <row r="3" spans="1:29" ht="40.200000000000003" thickBot="1">
      <c r="A3" s="2247" t="s">
        <v>2280</v>
      </c>
      <c r="B3" s="2264" t="s">
        <v>2252</v>
      </c>
      <c r="C3" s="2265"/>
      <c r="D3" s="2266"/>
      <c r="E3" s="2248" t="s">
        <v>2280</v>
      </c>
      <c r="F3" s="2267" t="s">
        <v>2253</v>
      </c>
      <c r="G3" s="2268" t="s">
        <v>2281</v>
      </c>
      <c r="H3" s="751"/>
      <c r="I3" s="751"/>
      <c r="J3" s="751"/>
      <c r="K3" s="751"/>
      <c r="L3" s="751"/>
      <c r="M3" s="751"/>
      <c r="N3" s="751"/>
      <c r="O3" s="751"/>
      <c r="P3" s="751"/>
      <c r="Q3" s="751"/>
    </row>
    <row r="4" spans="1:29" ht="36.6" thickBot="1">
      <c r="A4" s="2248"/>
      <c r="B4" s="315" t="s">
        <v>2254</v>
      </c>
      <c r="C4" s="2265"/>
      <c r="D4" s="2266"/>
      <c r="E4" s="2269"/>
      <c r="F4" s="1281" t="s">
        <v>2255</v>
      </c>
      <c r="G4" s="2270" t="s">
        <v>2256</v>
      </c>
      <c r="H4" s="751"/>
      <c r="I4" s="751"/>
      <c r="J4" s="751"/>
      <c r="K4" s="751"/>
      <c r="L4" s="751"/>
      <c r="M4" s="751"/>
      <c r="N4" s="751"/>
      <c r="O4" s="751"/>
      <c r="P4" s="751"/>
      <c r="Q4" s="751"/>
    </row>
    <row r="5" spans="1:29" ht="24.6" thickBot="1">
      <c r="A5" s="2248"/>
      <c r="B5" s="315" t="s">
        <v>2257</v>
      </c>
      <c r="C5" s="3508" t="s">
        <v>3496</v>
      </c>
      <c r="D5" s="2266"/>
      <c r="E5" s="2269"/>
      <c r="F5" s="315" t="s">
        <v>2258</v>
      </c>
      <c r="G5" s="2270" t="s">
        <v>2259</v>
      </c>
      <c r="H5" s="751"/>
      <c r="I5" s="751"/>
      <c r="J5" s="751"/>
      <c r="K5" s="751"/>
      <c r="L5" s="751"/>
      <c r="M5" s="751"/>
      <c r="N5" s="751"/>
      <c r="O5" s="751"/>
      <c r="P5" s="751"/>
      <c r="Q5" s="751"/>
    </row>
    <row r="6" spans="1:29" ht="24.6" thickBot="1">
      <c r="A6" s="2248"/>
      <c r="B6" s="315" t="s">
        <v>2260</v>
      </c>
      <c r="C6" s="3508" t="s">
        <v>3496</v>
      </c>
      <c r="D6" s="2266"/>
      <c r="E6" s="2269"/>
      <c r="F6" s="315" t="s">
        <v>2261</v>
      </c>
      <c r="G6" s="2270" t="s">
        <v>2262</v>
      </c>
      <c r="H6" s="751"/>
      <c r="I6" s="751"/>
      <c r="J6" s="751"/>
      <c r="K6" s="751"/>
      <c r="L6" s="751"/>
      <c r="M6" s="751"/>
      <c r="N6" s="751"/>
      <c r="O6" s="751"/>
      <c r="P6" s="751"/>
      <c r="Q6" s="751"/>
    </row>
    <row r="7" spans="1:29" ht="36.6" thickBot="1">
      <c r="A7" s="2248"/>
      <c r="B7" s="315" t="s">
        <v>2258</v>
      </c>
      <c r="C7" s="3508" t="s">
        <v>3496</v>
      </c>
      <c r="D7" s="2245"/>
      <c r="E7" s="2271"/>
      <c r="F7" s="2272" t="s">
        <v>2263</v>
      </c>
      <c r="G7" s="2273" t="s">
        <v>2264</v>
      </c>
      <c r="H7" s="751"/>
      <c r="I7" s="751"/>
      <c r="J7" s="751"/>
      <c r="K7" s="751"/>
      <c r="L7" s="751"/>
      <c r="M7" s="751"/>
      <c r="N7" s="751"/>
      <c r="O7" s="751"/>
      <c r="P7" s="751"/>
      <c r="Q7" s="751"/>
    </row>
    <row r="8" spans="1:29" ht="27" thickBot="1">
      <c r="A8" s="2248"/>
      <c r="B8" s="315" t="s">
        <v>2261</v>
      </c>
      <c r="C8" s="2265" t="s">
        <v>3432</v>
      </c>
      <c r="D8" s="2245"/>
      <c r="E8" s="2245"/>
      <c r="F8" s="121"/>
      <c r="G8" s="121"/>
      <c r="H8" s="751"/>
      <c r="I8" s="751"/>
      <c r="J8" s="751"/>
      <c r="K8" s="751"/>
      <c r="L8" s="751"/>
      <c r="M8" s="751"/>
      <c r="N8" s="751"/>
      <c r="O8" s="751"/>
      <c r="P8" s="751"/>
      <c r="Q8" s="751"/>
    </row>
    <row r="9" spans="1:29" ht="14.4" thickBot="1">
      <c r="A9" s="2248"/>
      <c r="B9" s="315" t="s">
        <v>2265</v>
      </c>
      <c r="C9" s="3508" t="s">
        <v>3496</v>
      </c>
      <c r="D9" s="2266"/>
      <c r="E9" s="2245"/>
      <c r="F9" s="121"/>
      <c r="G9" s="121"/>
      <c r="H9" s="751"/>
      <c r="I9" s="751"/>
      <c r="J9" s="751"/>
      <c r="K9" s="751"/>
      <c r="L9" s="751"/>
      <c r="M9" s="751"/>
      <c r="N9" s="751"/>
      <c r="O9" s="751"/>
      <c r="P9" s="751"/>
      <c r="Q9" s="751"/>
    </row>
    <row r="10" spans="1:29" ht="14.4" thickBot="1">
      <c r="A10" s="2249"/>
      <c r="B10" s="2274" t="s">
        <v>2266</v>
      </c>
      <c r="C10" s="3509" t="s">
        <v>3497</v>
      </c>
      <c r="D10" s="2266"/>
      <c r="E10" s="2266"/>
      <c r="F10" s="121"/>
      <c r="G10" s="121"/>
      <c r="J10" s="2276"/>
      <c r="M10" s="2276"/>
      <c r="P10" s="2276"/>
      <c r="R10" s="2275"/>
    </row>
    <row r="11" spans="1:29">
      <c r="A11" s="2277"/>
      <c r="B11" s="2245"/>
      <c r="C11" s="2266"/>
      <c r="D11" s="2266"/>
      <c r="E11" s="2266"/>
      <c r="F11" s="2245"/>
      <c r="G11" s="2245"/>
      <c r="J11" s="2276"/>
      <c r="M11" s="2276"/>
      <c r="P11" s="2276"/>
      <c r="R11" s="2275"/>
    </row>
    <row r="12" spans="1:29" s="2259" customFormat="1" ht="17.399999999999999">
      <c r="A12" s="2277"/>
      <c r="B12" s="2245"/>
      <c r="C12" s="2266"/>
      <c r="D12" s="2278"/>
      <c r="E12" s="2266"/>
      <c r="F12" s="2245"/>
      <c r="G12" s="2245"/>
      <c r="H12" s="2279"/>
      <c r="I12" s="2279"/>
      <c r="J12" s="2279"/>
      <c r="K12" s="2279"/>
      <c r="L12" s="2280"/>
      <c r="M12" s="2279"/>
      <c r="N12" s="2281"/>
      <c r="O12" s="2281"/>
      <c r="P12" s="2281"/>
      <c r="Q12" s="2281"/>
      <c r="R12" s="2258"/>
      <c r="S12" s="2258"/>
      <c r="T12" s="2258"/>
      <c r="U12" s="2258"/>
      <c r="V12" s="2258"/>
      <c r="W12" s="2258"/>
      <c r="X12" s="2258"/>
      <c r="Y12" s="2258"/>
      <c r="Z12" s="2258"/>
      <c r="AA12" s="2258"/>
      <c r="AB12" s="2258"/>
      <c r="AC12" s="2258"/>
    </row>
    <row r="13" spans="1:29" ht="15" thickBot="1">
      <c r="A13" s="2282" t="s">
        <v>2283</v>
      </c>
      <c r="B13" s="2278"/>
      <c r="C13" s="2278"/>
      <c r="D13" s="2277"/>
      <c r="E13" s="2278"/>
      <c r="F13" s="2278"/>
      <c r="G13" s="2278"/>
    </row>
    <row r="14" spans="1:29" ht="14.4" thickBot="1">
      <c r="A14" s="2283"/>
      <c r="B14" s="2283"/>
      <c r="C14" s="2284" t="s">
        <v>2267</v>
      </c>
      <c r="D14" s="2266"/>
      <c r="E14" s="2285"/>
      <c r="F14" s="2285"/>
      <c r="G14" s="2262" t="s">
        <v>2268</v>
      </c>
    </row>
    <row r="15" spans="1:29" ht="39.6">
      <c r="A15" s="2250" t="s">
        <v>2269</v>
      </c>
      <c r="B15" s="2286" t="s">
        <v>2252</v>
      </c>
      <c r="C15" s="2287">
        <f>C3</f>
        <v>0</v>
      </c>
      <c r="D15" s="2266"/>
      <c r="E15" s="2251" t="s">
        <v>2270</v>
      </c>
      <c r="F15" s="2286" t="s">
        <v>2271</v>
      </c>
      <c r="G15" s="2288" t="str">
        <f>G3</f>
        <v>估价对象位于XX开发区，园区建设成熟度XX，产业集聚程度XX</v>
      </c>
    </row>
    <row r="16" spans="1:29" ht="52.8">
      <c r="A16" s="2252"/>
      <c r="B16" s="2289" t="s">
        <v>2254</v>
      </c>
      <c r="C16" s="2290">
        <f>C4</f>
        <v>0</v>
      </c>
      <c r="D16" s="2266"/>
      <c r="E16" s="2253"/>
      <c r="F16" s="2291" t="s">
        <v>2255</v>
      </c>
      <c r="G16" s="2292" t="str">
        <f>G4</f>
        <v>估价对象周边道路状况、公共交通通达情况、停车便捷程度，综合评价交通便捷度较好</v>
      </c>
    </row>
    <row r="17" spans="1:17" ht="66">
      <c r="A17" s="2252"/>
      <c r="B17" s="2289" t="s">
        <v>2257</v>
      </c>
      <c r="C17" s="2290" t="str">
        <f>C5</f>
        <v>较好</v>
      </c>
      <c r="D17" s="2245"/>
      <c r="E17" s="2253"/>
      <c r="F17" s="2291" t="s">
        <v>2272</v>
      </c>
      <c r="G17" s="2293"/>
    </row>
    <row r="18" spans="1:17" ht="52.8">
      <c r="A18" s="2252"/>
      <c r="B18" s="2291" t="s">
        <v>2260</v>
      </c>
      <c r="C18" s="2292" t="str">
        <f>C6</f>
        <v>较好</v>
      </c>
      <c r="D18" s="2245"/>
      <c r="E18" s="2253"/>
      <c r="F18" s="2291" t="s">
        <v>2263</v>
      </c>
      <c r="G18" s="2292" t="str">
        <f>G7</f>
        <v>该园区内是否有污染型企业，绿化情况，卫生条件，整体环境状况判断</v>
      </c>
    </row>
    <row r="19" spans="1:17" ht="26.4">
      <c r="A19" s="2252"/>
      <c r="B19" s="2291" t="s">
        <v>2273</v>
      </c>
      <c r="C19" s="2293"/>
      <c r="D19" s="2266"/>
      <c r="E19" s="2253"/>
      <c r="F19" s="315" t="s">
        <v>2258</v>
      </c>
      <c r="G19" s="2292" t="str">
        <f>G5</f>
        <v>估价对象所在区域公共配套设施齐备情况</v>
      </c>
    </row>
    <row r="20" spans="1:17" ht="52.8">
      <c r="A20" s="2252"/>
      <c r="B20" s="2291" t="s">
        <v>2274</v>
      </c>
      <c r="C20" s="2290" t="str">
        <f>C9</f>
        <v>较好</v>
      </c>
      <c r="D20" s="2245"/>
      <c r="E20" s="2253"/>
      <c r="F20" s="315" t="s">
        <v>2261</v>
      </c>
      <c r="G20" s="2292" t="str">
        <f>G6</f>
        <v>估价对象所在区域基础设施水平</v>
      </c>
    </row>
    <row r="21" spans="1:17" ht="52.8">
      <c r="A21" s="2252"/>
      <c r="B21" s="315" t="s">
        <v>2258</v>
      </c>
      <c r="C21" s="2292" t="str">
        <f>C7</f>
        <v>较好</v>
      </c>
      <c r="D21" s="2266"/>
      <c r="E21" s="2253"/>
      <c r="F21" s="2291" t="s">
        <v>2275</v>
      </c>
      <c r="G21" s="2294"/>
    </row>
    <row r="22" spans="1:17" ht="13.5" customHeight="1">
      <c r="A22" s="2252"/>
      <c r="B22" s="315" t="s">
        <v>2261</v>
      </c>
      <c r="C22" s="2292" t="str">
        <f>C8</f>
        <v>估价对象所在区域基础设施水平“七通一平</v>
      </c>
      <c r="D22" s="2266"/>
      <c r="E22" s="2253"/>
      <c r="F22" s="2291" t="s">
        <v>2266</v>
      </c>
      <c r="G22" s="2293"/>
    </row>
    <row r="23" spans="1:17" s="751" customFormat="1" ht="14.4" thickBot="1">
      <c r="A23" s="2252"/>
      <c r="B23" s="2291" t="s">
        <v>2275</v>
      </c>
      <c r="C23" s="2294"/>
      <c r="D23" s="1614"/>
      <c r="E23" s="2254"/>
      <c r="F23" s="2295" t="s">
        <v>2276</v>
      </c>
      <c r="G23" s="2296"/>
      <c r="H23" s="2275"/>
      <c r="I23" s="2275"/>
      <c r="J23" s="2275"/>
      <c r="K23" s="2275"/>
      <c r="L23" s="2275"/>
      <c r="M23" s="2275"/>
      <c r="N23" s="2275"/>
      <c r="O23" s="2275"/>
      <c r="P23" s="2275"/>
      <c r="Q23" s="2275"/>
    </row>
    <row r="24" spans="1:17" s="751" customFormat="1" ht="27" thickBot="1">
      <c r="A24" s="2255"/>
      <c r="B24" s="2295" t="s">
        <v>2277</v>
      </c>
      <c r="C24" s="2297" t="str">
        <f>C10</f>
        <v>城市主干道——马家堡东路</v>
      </c>
      <c r="D24" s="1614"/>
      <c r="E24" s="2245"/>
      <c r="F24" s="2245"/>
      <c r="G24" s="2245"/>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9"/>
  <sheetViews>
    <sheetView view="pageBreakPreview" zoomScale="80" zoomScaleNormal="80" zoomScaleSheetLayoutView="80" workbookViewId="0">
      <selection activeCell="H22" sqref="H22"/>
    </sheetView>
  </sheetViews>
  <sheetFormatPr defaultColWidth="9" defaultRowHeight="14.4"/>
  <cols>
    <col min="1" max="1" width="25" style="2299" customWidth="1"/>
    <col min="2" max="9" width="15.77734375" style="2299" customWidth="1"/>
    <col min="10" max="10" width="29.44140625" style="2299" customWidth="1"/>
    <col min="11" max="16384" width="9" style="2299"/>
  </cols>
  <sheetData>
    <row r="1" spans="1:11" ht="16.2">
      <c r="A1" s="2298" t="s">
        <v>665</v>
      </c>
      <c r="B1" s="2298">
        <f>SUM(B14:B23)</f>
        <v>2170.1999999999998</v>
      </c>
      <c r="C1" s="2459"/>
      <c r="D1" s="2459"/>
      <c r="E1" s="2459"/>
      <c r="F1" s="2459"/>
      <c r="G1" s="2460"/>
      <c r="H1" s="2460"/>
      <c r="I1" s="2460"/>
      <c r="J1" s="2460"/>
      <c r="K1" s="2460"/>
    </row>
    <row r="2" spans="1:11" ht="16.2">
      <c r="A2" s="2298" t="s">
        <v>653</v>
      </c>
      <c r="B2" s="2298">
        <f>SUM(C14:C23)</f>
        <v>1778.06</v>
      </c>
      <c r="C2" s="2459"/>
      <c r="D2" s="2459"/>
      <c r="E2" s="2459"/>
      <c r="F2" s="2459"/>
      <c r="G2" s="2460"/>
      <c r="H2" s="2460"/>
      <c r="I2" s="2460"/>
      <c r="J2" s="2460"/>
      <c r="K2" s="2460"/>
    </row>
    <row r="3" spans="1:11" ht="15.6">
      <c r="A3" s="2298" t="s">
        <v>662</v>
      </c>
      <c r="B3" s="2300">
        <f>项目基本情况!D3</f>
        <v>45772</v>
      </c>
      <c r="C3" s="2459"/>
      <c r="D3" s="2459"/>
      <c r="E3" s="2459"/>
      <c r="F3" s="2459"/>
      <c r="G3" s="2460"/>
      <c r="H3" s="2460"/>
      <c r="I3" s="2460"/>
      <c r="J3" s="2460"/>
      <c r="K3" s="2460"/>
    </row>
    <row r="4" spans="1:11" ht="31.2">
      <c r="A4" s="2298" t="s">
        <v>661</v>
      </c>
      <c r="B4" s="2298" t="s">
        <v>660</v>
      </c>
      <c r="C4" s="2298" t="s">
        <v>659</v>
      </c>
      <c r="D4" s="2298" t="s">
        <v>658</v>
      </c>
      <c r="E4" s="2459"/>
      <c r="F4" s="2460"/>
      <c r="G4" s="2460"/>
      <c r="H4" s="2460"/>
      <c r="I4" s="2460"/>
      <c r="J4" s="2460"/>
      <c r="K4" s="2460"/>
    </row>
    <row r="5" spans="1:11" ht="15.6">
      <c r="A5" s="2298" t="s">
        <v>657</v>
      </c>
      <c r="B5" s="2298">
        <f ca="1">SUM(D14:D23)</f>
        <v>6416</v>
      </c>
      <c r="C5" s="2298">
        <f ca="1">IF(B5=D14,结果表!H102,ROUND(B5*10000/$B$1,0))</f>
        <v>29564</v>
      </c>
      <c r="D5" s="2298">
        <f ca="1">ROUND(B5*10000/$B$2,0)</f>
        <v>36084</v>
      </c>
      <c r="E5" s="2459"/>
      <c r="F5" s="2460"/>
      <c r="G5" s="2460"/>
      <c r="H5" s="2460"/>
      <c r="I5" s="2460"/>
      <c r="J5" s="2460"/>
      <c r="K5" s="2460"/>
    </row>
    <row r="6" spans="1:11" ht="15.6">
      <c r="A6" s="2298" t="s">
        <v>656</v>
      </c>
      <c r="B6" s="2298">
        <f ca="1">SUM(G14:G23)</f>
        <v>6416</v>
      </c>
      <c r="C6" s="2298">
        <f ca="1">IF(B6=G14,结果表!H108,ROUND(B6*10000/$B$1,0))</f>
        <v>29564</v>
      </c>
      <c r="D6" s="2298">
        <f ca="1">ROUND(B6*10000/$B$2,0)</f>
        <v>36084</v>
      </c>
      <c r="E6" s="3259" t="str">
        <f ca="1">NUMBERSTRING(INT(B6*10000),2)&amp;"元整"</f>
        <v>陆仟肆佰壹拾陆万元整</v>
      </c>
      <c r="F6" s="3260"/>
      <c r="G6" s="2460"/>
      <c r="H6" s="2460"/>
      <c r="I6" s="2460"/>
      <c r="J6" s="2460"/>
      <c r="K6" s="2460"/>
    </row>
    <row r="7" spans="1:11" ht="15.6">
      <c r="A7" s="2298" t="s">
        <v>664</v>
      </c>
      <c r="B7" s="2298">
        <f>SUM(H14:H23)</f>
        <v>0</v>
      </c>
      <c r="C7" s="2298" t="str">
        <f>IF(B7=H14,结果表!H110,ROUND(B7*10000/$B$1,0))</f>
        <v>——</v>
      </c>
      <c r="D7" s="2298">
        <f>ROUND(B7*10000/$B$2,0)</f>
        <v>0</v>
      </c>
      <c r="E7" s="2459"/>
      <c r="F7" s="2460"/>
      <c r="G7" s="2460"/>
      <c r="H7" s="2460"/>
      <c r="I7" s="2460"/>
      <c r="J7" s="2460"/>
      <c r="K7" s="2460"/>
    </row>
    <row r="8" spans="1:11" ht="15.6">
      <c r="A8" s="2298" t="s">
        <v>587</v>
      </c>
      <c r="B8" s="2298">
        <f ca="1">SUM(I14:I23)</f>
        <v>6071</v>
      </c>
      <c r="C8" s="2298">
        <f ca="1">IF(B8=I14,结果表!H112,ROUND(B8*10000/$B$1,0))</f>
        <v>27974</v>
      </c>
      <c r="D8" s="2298">
        <f ca="1">ROUND(B8*10000/$B$2,0)</f>
        <v>34144</v>
      </c>
      <c r="E8" s="3259" t="str">
        <f ca="1">NUMBERSTRING(INT(B8*10000),2)&amp;"元整"</f>
        <v>陆仟零柒拾壹万元整</v>
      </c>
      <c r="F8" s="3260"/>
      <c r="G8" s="2460"/>
      <c r="H8" s="2460"/>
      <c r="I8" s="2460"/>
      <c r="J8" s="2460"/>
      <c r="K8" s="2460"/>
    </row>
    <row r="9" spans="1:11" ht="15.6">
      <c r="A9" s="2298" t="s">
        <v>655</v>
      </c>
      <c r="B9" s="1244"/>
      <c r="C9" s="2459"/>
      <c r="D9" s="2459"/>
      <c r="E9" s="2459"/>
      <c r="F9" s="2460"/>
      <c r="G9" s="2460"/>
      <c r="H9" s="2460"/>
      <c r="I9" s="2460"/>
      <c r="J9" s="2460"/>
      <c r="K9" s="2460"/>
    </row>
    <row r="10" spans="1:11" ht="15.6">
      <c r="A10" s="2298" t="s">
        <v>654</v>
      </c>
      <c r="B10" s="2298">
        <f>IF(E10="",0,ROUND(B1*(E10*365/G10)/10000,0))</f>
        <v>0</v>
      </c>
      <c r="C10" s="2298" t="s">
        <v>3352</v>
      </c>
      <c r="D10" s="2298" t="s">
        <v>3353</v>
      </c>
      <c r="E10" s="3134"/>
      <c r="F10" s="3138" t="s">
        <v>3354</v>
      </c>
      <c r="G10" s="3135"/>
      <c r="H10" s="2460"/>
      <c r="I10" s="2460"/>
      <c r="J10" s="2460"/>
      <c r="K10" s="2460"/>
    </row>
    <row r="11" spans="1:11" ht="15.6">
      <c r="A11" s="2298" t="s">
        <v>670</v>
      </c>
      <c r="B11" s="1244"/>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1" t="s">
        <v>669</v>
      </c>
      <c r="B13" s="2302" t="s">
        <v>666</v>
      </c>
      <c r="C13" s="2302" t="s">
        <v>668</v>
      </c>
      <c r="D13" s="2302" t="s">
        <v>667</v>
      </c>
      <c r="E13" s="2298" t="s">
        <v>659</v>
      </c>
      <c r="F13" s="2298" t="s">
        <v>658</v>
      </c>
      <c r="G13" s="2302" t="s">
        <v>652</v>
      </c>
      <c r="H13" s="2302" t="s">
        <v>663</v>
      </c>
      <c r="I13" s="2302" t="s">
        <v>651</v>
      </c>
      <c r="J13" s="2460"/>
      <c r="K13" s="2460"/>
    </row>
    <row r="14" spans="1:11" ht="15.6">
      <c r="A14" s="2303" t="s">
        <v>650</v>
      </c>
      <c r="B14" s="2304">
        <f>结果表!B118</f>
        <v>2170.1999999999998</v>
      </c>
      <c r="C14" s="2304">
        <f>结果表!C118</f>
        <v>1778.06</v>
      </c>
      <c r="D14" s="2304">
        <f ca="1">结果表!G19</f>
        <v>6416</v>
      </c>
      <c r="E14" s="2304">
        <f ca="1">ROUND(D14*10000/B14,0)</f>
        <v>29564</v>
      </c>
      <c r="F14" s="2304">
        <f ca="1">ROUND(D14*10000/C14,0)</f>
        <v>36084</v>
      </c>
      <c r="G14" s="2304">
        <f ca="1">D14</f>
        <v>6416</v>
      </c>
      <c r="H14" s="2304"/>
      <c r="I14" s="2304">
        <f ca="1">结果表!D126</f>
        <v>6071</v>
      </c>
      <c r="J14" s="3259" t="str">
        <f ca="1">NUMBERSTRING(INT(G14*10000),2)&amp;"元整"</f>
        <v>陆仟肆佰壹拾陆万元整</v>
      </c>
      <c r="K14" s="3260"/>
    </row>
    <row r="15" spans="1:11" ht="15.6">
      <c r="A15" s="2303" t="s">
        <v>649</v>
      </c>
      <c r="B15" s="2304"/>
      <c r="C15" s="2304"/>
      <c r="D15" s="2304"/>
      <c r="E15" s="2304" t="e">
        <f t="shared" ref="E15:E23" si="0">ROUND(D15*10000/B15,0)</f>
        <v>#DIV/0!</v>
      </c>
      <c r="F15" s="2304" t="e">
        <f t="shared" ref="F15:F23" si="1">ROUND(D15*10000/C15,0)</f>
        <v>#DIV/0!</v>
      </c>
      <c r="G15" s="2304"/>
      <c r="H15" s="2304"/>
      <c r="I15" s="2304"/>
      <c r="J15" s="3259" t="str">
        <f>NUMBERSTRING(INT(G15*10000),2)&amp;"元整"</f>
        <v>零元整</v>
      </c>
      <c r="K15" s="3260"/>
    </row>
    <row r="16" spans="1:11" ht="15.6">
      <c r="A16" s="2303" t="s">
        <v>648</v>
      </c>
      <c r="B16" s="2305"/>
      <c r="C16" s="2305"/>
      <c r="D16" s="2305"/>
      <c r="E16" s="2304" t="e">
        <f t="shared" si="0"/>
        <v>#DIV/0!</v>
      </c>
      <c r="F16" s="2304" t="e">
        <f t="shared" si="1"/>
        <v>#DIV/0!</v>
      </c>
      <c r="G16" s="1244"/>
      <c r="H16" s="1244"/>
      <c r="I16" s="2305"/>
      <c r="J16" s="2460"/>
      <c r="K16" s="2460"/>
    </row>
    <row r="17" spans="1:11" ht="15.6">
      <c r="A17" s="2303" t="s">
        <v>647</v>
      </c>
      <c r="B17" s="2305"/>
      <c r="C17" s="2305"/>
      <c r="D17" s="2305"/>
      <c r="E17" s="2304" t="e">
        <f t="shared" si="0"/>
        <v>#DIV/0!</v>
      </c>
      <c r="F17" s="2304" t="e">
        <f t="shared" si="1"/>
        <v>#DIV/0!</v>
      </c>
      <c r="G17" s="1244"/>
      <c r="H17" s="1244"/>
      <c r="I17" s="2305"/>
      <c r="J17" s="2460"/>
      <c r="K17" s="2460"/>
    </row>
    <row r="18" spans="1:11" ht="15.6">
      <c r="A18" s="2303" t="s">
        <v>646</v>
      </c>
      <c r="B18" s="2305"/>
      <c r="C18" s="2305"/>
      <c r="D18" s="2305"/>
      <c r="E18" s="2304" t="e">
        <f t="shared" si="0"/>
        <v>#DIV/0!</v>
      </c>
      <c r="F18" s="2304" t="e">
        <f t="shared" si="1"/>
        <v>#DIV/0!</v>
      </c>
      <c r="G18" s="2305"/>
      <c r="H18" s="2305"/>
      <c r="I18" s="2305"/>
      <c r="J18" s="2460"/>
      <c r="K18" s="2460"/>
    </row>
    <row r="19" spans="1:11" ht="15.6">
      <c r="A19" s="2303" t="s">
        <v>645</v>
      </c>
      <c r="B19" s="2305"/>
      <c r="C19" s="2305"/>
      <c r="D19" s="2305"/>
      <c r="E19" s="2304" t="e">
        <f t="shared" si="0"/>
        <v>#DIV/0!</v>
      </c>
      <c r="F19" s="2304" t="e">
        <f t="shared" si="1"/>
        <v>#DIV/0!</v>
      </c>
      <c r="G19" s="2305"/>
      <c r="H19" s="2305"/>
      <c r="I19" s="2305"/>
      <c r="J19" s="2460"/>
      <c r="K19" s="2460"/>
    </row>
    <row r="20" spans="1:11" ht="15.6">
      <c r="A20" s="2303" t="s">
        <v>644</v>
      </c>
      <c r="B20" s="2305"/>
      <c r="C20" s="2305"/>
      <c r="D20" s="2305"/>
      <c r="E20" s="2304" t="e">
        <f t="shared" si="0"/>
        <v>#DIV/0!</v>
      </c>
      <c r="F20" s="2304" t="e">
        <f t="shared" si="1"/>
        <v>#DIV/0!</v>
      </c>
      <c r="G20" s="2305"/>
      <c r="H20" s="2305"/>
      <c r="I20" s="2305"/>
      <c r="J20" s="2460"/>
      <c r="K20" s="2460"/>
    </row>
    <row r="21" spans="1:11" ht="15.6">
      <c r="A21" s="2303" t="s">
        <v>643</v>
      </c>
      <c r="B21" s="2305"/>
      <c r="C21" s="2305"/>
      <c r="D21" s="2305"/>
      <c r="E21" s="2304" t="e">
        <f t="shared" si="0"/>
        <v>#DIV/0!</v>
      </c>
      <c r="F21" s="2304" t="e">
        <f t="shared" si="1"/>
        <v>#DIV/0!</v>
      </c>
      <c r="G21" s="2305"/>
      <c r="H21" s="2305"/>
      <c r="I21" s="2305"/>
      <c r="J21" s="2460"/>
      <c r="K21" s="2460"/>
    </row>
    <row r="22" spans="1:11" ht="15.6">
      <c r="A22" s="2303" t="s">
        <v>642</v>
      </c>
      <c r="B22" s="2305"/>
      <c r="C22" s="2305"/>
      <c r="D22" s="2305"/>
      <c r="E22" s="2304" t="e">
        <f t="shared" si="0"/>
        <v>#DIV/0!</v>
      </c>
      <c r="F22" s="2304" t="e">
        <f t="shared" si="1"/>
        <v>#DIV/0!</v>
      </c>
      <c r="G22" s="2305"/>
      <c r="H22" s="2305"/>
      <c r="I22" s="2305"/>
      <c r="J22" s="2460"/>
      <c r="K22" s="2460"/>
    </row>
    <row r="23" spans="1:11" ht="15.6">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row r="29" spans="1:11">
      <c r="B29" s="3163"/>
    </row>
  </sheetData>
  <sheetProtection password="CEE9" sheet="1" objects="1" scenarios="1" formatCells="0" formatColumns="0" formatRows="0"/>
  <mergeCells count="4">
    <mergeCell ref="E6:F6"/>
    <mergeCell ref="E8:F8"/>
    <mergeCell ref="J14:K14"/>
    <mergeCell ref="J15:K15"/>
  </mergeCells>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F55" zoomScale="70" zoomScaleNormal="100" zoomScaleSheetLayoutView="70" zoomScalePageLayoutView="80" workbookViewId="0">
      <selection activeCell="N61" sqref="N61"/>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3451</v>
      </c>
      <c r="D1" s="646"/>
      <c r="E1" s="646"/>
      <c r="F1" s="1621" t="s">
        <v>1263</v>
      </c>
      <c r="G1" s="1453" t="s">
        <v>3439</v>
      </c>
      <c r="H1" s="1621" t="str">
        <f>IF(G1="现房","——","估价对象范围")</f>
        <v>——</v>
      </c>
      <c r="I1" s="1622" t="s">
        <v>3440</v>
      </c>
    </row>
    <row r="2" spans="1:12" ht="21.75" customHeight="1" thickBot="1">
      <c r="A2" s="3328" t="str">
        <f>项目基本情况!S2</f>
        <v>北京市丰台区角门东里11号楼房地产</v>
      </c>
      <c r="B2" s="3329"/>
      <c r="C2" s="3329"/>
      <c r="D2" s="3329"/>
      <c r="E2" s="3329"/>
      <c r="F2" s="3329"/>
      <c r="G2" s="3329"/>
      <c r="H2" s="3329"/>
      <c r="I2" s="3330"/>
    </row>
    <row r="3" spans="1:12" ht="13.2">
      <c r="A3" s="3332" t="s">
        <v>1264</v>
      </c>
      <c r="B3" s="3333"/>
      <c r="C3" s="3333"/>
      <c r="D3" s="3333"/>
      <c r="E3" s="3333"/>
      <c r="F3" s="3333"/>
      <c r="G3" s="3333"/>
      <c r="H3" s="3333"/>
      <c r="I3" s="3333"/>
    </row>
    <row r="4" spans="1:12" ht="14.4">
      <c r="A4" s="1624" t="s">
        <v>1265</v>
      </c>
      <c r="B4" s="1625" t="s">
        <v>1266</v>
      </c>
      <c r="C4" s="1626" t="s">
        <v>3455</v>
      </c>
      <c r="D4" s="1626" t="s">
        <v>3456</v>
      </c>
      <c r="E4" s="3337" t="s">
        <v>1267</v>
      </c>
      <c r="F4" s="3338"/>
      <c r="G4" s="3338"/>
      <c r="H4" s="3338"/>
      <c r="I4" s="3339"/>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76" t="s">
        <v>1268</v>
      </c>
      <c r="B5" s="3331">
        <v>25</v>
      </c>
      <c r="C5" s="3334"/>
      <c r="D5" s="3322"/>
      <c r="E5" s="123" t="s">
        <v>1269</v>
      </c>
      <c r="F5" s="1627"/>
      <c r="G5" s="1627"/>
      <c r="H5" s="1627"/>
      <c r="I5" s="1281"/>
    </row>
    <row r="6" spans="1:12" ht="13.2">
      <c r="A6" s="3276"/>
      <c r="B6" s="3331"/>
      <c r="C6" s="3336"/>
      <c r="D6" s="3322"/>
      <c r="E6" s="123" t="s">
        <v>1270</v>
      </c>
      <c r="F6" s="1627"/>
      <c r="G6" s="1627"/>
      <c r="H6" s="1627"/>
      <c r="I6" s="1281"/>
    </row>
    <row r="7" spans="1:12" ht="13.2">
      <c r="A7" s="3276"/>
      <c r="B7" s="3331"/>
      <c r="C7" s="3335"/>
      <c r="D7" s="3322"/>
      <c r="E7" s="123" t="s">
        <v>1271</v>
      </c>
      <c r="F7" s="1627"/>
      <c r="G7" s="1627"/>
      <c r="H7" s="1627"/>
      <c r="I7" s="1281"/>
    </row>
    <row r="8" spans="1:12" ht="13.2">
      <c r="A8" s="3276" t="s">
        <v>1272</v>
      </c>
      <c r="B8" s="3331">
        <v>15</v>
      </c>
      <c r="C8" s="3334"/>
      <c r="D8" s="3322"/>
      <c r="E8" s="123" t="s">
        <v>1273</v>
      </c>
      <c r="F8" s="1627"/>
      <c r="G8" s="1627"/>
      <c r="H8" s="1627"/>
      <c r="I8" s="1281"/>
    </row>
    <row r="9" spans="1:12" ht="13.2">
      <c r="A9" s="3276"/>
      <c r="B9" s="3331"/>
      <c r="C9" s="3335"/>
      <c r="D9" s="3322"/>
      <c r="E9" s="123" t="s">
        <v>1274</v>
      </c>
      <c r="F9" s="1627"/>
      <c r="G9" s="1627"/>
      <c r="H9" s="1627"/>
      <c r="I9" s="1281"/>
    </row>
    <row r="10" spans="1:12" ht="13.2">
      <c r="A10" s="3276" t="s">
        <v>1275</v>
      </c>
      <c r="B10" s="3331">
        <v>15</v>
      </c>
      <c r="C10" s="3334"/>
      <c r="D10" s="3322"/>
      <c r="E10" s="123" t="s">
        <v>1276</v>
      </c>
      <c r="F10" s="1627"/>
      <c r="G10" s="1627"/>
      <c r="H10" s="1627"/>
      <c r="I10" s="1281"/>
    </row>
    <row r="11" spans="1:12" ht="13.2">
      <c r="A11" s="3276"/>
      <c r="B11" s="3331"/>
      <c r="C11" s="3335"/>
      <c r="D11" s="3322"/>
      <c r="E11" s="123" t="s">
        <v>1277</v>
      </c>
      <c r="F11" s="1627"/>
      <c r="G11" s="1627"/>
      <c r="H11" s="1627"/>
      <c r="I11" s="1281"/>
    </row>
    <row r="12" spans="1:12" ht="13.2">
      <c r="A12" s="3276" t="s">
        <v>1278</v>
      </c>
      <c r="B12" s="3331">
        <v>15</v>
      </c>
      <c r="C12" s="3334"/>
      <c r="D12" s="3322"/>
      <c r="E12" s="123" t="s">
        <v>1279</v>
      </c>
      <c r="F12" s="1627"/>
      <c r="G12" s="1627"/>
      <c r="H12" s="1627"/>
      <c r="I12" s="1281"/>
    </row>
    <row r="13" spans="1:12" ht="13.2">
      <c r="A13" s="3276"/>
      <c r="B13" s="3331"/>
      <c r="C13" s="3335"/>
      <c r="D13" s="3322"/>
      <c r="E13" s="123" t="s">
        <v>1280</v>
      </c>
      <c r="F13" s="1627"/>
      <c r="G13" s="1627"/>
      <c r="H13" s="1627"/>
      <c r="I13" s="1281"/>
    </row>
    <row r="14" spans="1:12" ht="13.2">
      <c r="A14" s="3276" t="s">
        <v>1281</v>
      </c>
      <c r="B14" s="3331">
        <v>30</v>
      </c>
      <c r="C14" s="3334">
        <v>7</v>
      </c>
      <c r="D14" s="3322">
        <v>3</v>
      </c>
      <c r="E14" s="123" t="s">
        <v>1282</v>
      </c>
      <c r="F14" s="1627"/>
      <c r="G14" s="1627"/>
      <c r="H14" s="1627"/>
      <c r="I14" s="1281"/>
    </row>
    <row r="15" spans="1:12" ht="13.2">
      <c r="A15" s="3276"/>
      <c r="B15" s="3331"/>
      <c r="C15" s="3336"/>
      <c r="D15" s="3322"/>
      <c r="E15" s="123" t="s">
        <v>1283</v>
      </c>
      <c r="F15" s="1627"/>
      <c r="G15" s="1627"/>
      <c r="H15" s="1627"/>
      <c r="I15" s="1281"/>
    </row>
    <row r="16" spans="1:12" ht="13.2">
      <c r="A16" s="3276"/>
      <c r="B16" s="3331"/>
      <c r="C16" s="3335"/>
      <c r="D16" s="3322"/>
      <c r="E16" s="123" t="s">
        <v>1284</v>
      </c>
      <c r="F16" s="1627"/>
      <c r="G16" s="1627"/>
      <c r="H16" s="1627"/>
      <c r="I16" s="1281"/>
    </row>
    <row r="17" spans="1:36" ht="14.4">
      <c r="A17" s="1628" t="s">
        <v>1285</v>
      </c>
      <c r="B17" s="54"/>
      <c r="C17" s="124">
        <f>SUM(C5:C16)</f>
        <v>7</v>
      </c>
      <c r="D17" s="124">
        <f>SUM(D5:D16)</f>
        <v>3</v>
      </c>
      <c r="E17" s="121"/>
      <c r="F17" s="121"/>
      <c r="G17" s="121"/>
      <c r="H17" s="121"/>
      <c r="I17" s="121"/>
      <c r="K17" s="294"/>
      <c r="L17" s="294" t="s">
        <v>1286</v>
      </c>
      <c r="M17" s="294" t="s">
        <v>1287</v>
      </c>
    </row>
    <row r="18" spans="1:36" ht="31.95" customHeight="1" thickBot="1">
      <c r="A18" s="1629" t="s">
        <v>1288</v>
      </c>
      <c r="B18" s="1542"/>
      <c r="C18" s="125">
        <f>ROUND(C17/SUM(C17:D17),2)</f>
        <v>0.7</v>
      </c>
      <c r="D18" s="125">
        <f>1-C18</f>
        <v>0.30000000000000004</v>
      </c>
      <c r="E18" s="3353" t="s">
        <v>2131</v>
      </c>
      <c r="F18" s="3354"/>
      <c r="G18" s="3354"/>
      <c r="H18" s="3354"/>
      <c r="I18" s="3354"/>
      <c r="K18" s="294" t="s">
        <v>1289</v>
      </c>
      <c r="L18" s="294">
        <f>IF(C1="",'数据-汇总表'!E3,SUMIF(项目类型,C1,'数据-汇总表'!E17:E26)+SUMIF(项目类型,C1,'数据-汇总表'!I17:I26))</f>
        <v>2170.1999999999998</v>
      </c>
      <c r="M18" s="294">
        <f>IF(C1="",'数据-汇总表'!E3,SUMIF(项目类型,C1,'数据-汇总表'!E17:E26))</f>
        <v>2170.1999999999998</v>
      </c>
    </row>
    <row r="19" spans="1:36" ht="14.4">
      <c r="A19" s="1630" t="s">
        <v>1290</v>
      </c>
      <c r="B19" s="1631" t="s">
        <v>1291</v>
      </c>
      <c r="C19" s="126">
        <f ca="1">SUMIF(INDIRECT("'"&amp;C4&amp;"'"&amp;"!A:A"),结果表!B19,INDIRECT("'"&amp;C4&amp;"'"&amp;"!B:B"))</f>
        <v>7246</v>
      </c>
      <c r="D19" s="127">
        <f ca="1">SUMIF(INDIRECT("'"&amp;D4&amp;"'"&amp;"!A:A"),结果表!B19,INDIRECT("'"&amp;D4&amp;"'"&amp;"!B:B"))</f>
        <v>4480</v>
      </c>
      <c r="E19" s="1630" t="s">
        <v>1292</v>
      </c>
      <c r="F19" s="1631" t="s">
        <v>1291</v>
      </c>
      <c r="G19" s="128">
        <f ca="1">ROUND(C19*$C$18+D19*$D$18,0)</f>
        <v>6416</v>
      </c>
      <c r="H19" s="1632" t="s">
        <v>1293</v>
      </c>
      <c r="I19" s="121"/>
      <c r="K19" s="294" t="s">
        <v>1294</v>
      </c>
      <c r="L19" s="294">
        <f>IF(C1="",'数据-汇总表'!D3,SUMIF(项目类型,C1,'数据-汇总表'!D17:D26)+SUMIF(项目类型,C1,'数据-汇总表'!H17:H27))</f>
        <v>1778.06</v>
      </c>
      <c r="M19" s="294">
        <f>IF(C1="",'数据-汇总表'!D3,SUMIF(项目类型,C1,'数据-汇总表'!D17:D26))</f>
        <v>1778.06</v>
      </c>
    </row>
    <row r="20" spans="1:36" ht="14.4">
      <c r="A20" s="1633"/>
      <c r="B20" s="43" t="s">
        <v>1295</v>
      </c>
      <c r="C20" s="129">
        <f ca="1">SUMIF(INDIRECT("'"&amp;C4&amp;"'"&amp;"!A:A"),结果表!B20,INDIRECT("'"&amp;C4&amp;"'"&amp;"!B:B"))</f>
        <v>33389</v>
      </c>
      <c r="D20" s="130">
        <f ca="1">SUMIF(INDIRECT("'"&amp;D4&amp;"'"&amp;"!A:A"),结果表!B20,INDIRECT("'"&amp;D4&amp;"'"&amp;"!B:B"))</f>
        <v>20643</v>
      </c>
      <c r="E20" s="1633"/>
      <c r="F20" s="43" t="s">
        <v>1295</v>
      </c>
      <c r="G20" s="131">
        <f ca="1">ROUND(C20*$C$18+D20*$D$18,0)</f>
        <v>29565</v>
      </c>
      <c r="H20" s="760" t="s">
        <v>1296</v>
      </c>
      <c r="I20" s="121"/>
    </row>
    <row r="21" spans="1:36" ht="15" customHeight="1" thickBot="1">
      <c r="A21" s="449"/>
      <c r="B21" s="93" t="s">
        <v>1297</v>
      </c>
      <c r="C21" s="678">
        <f ca="1">ROUND(C19*10000/L19,0)</f>
        <v>40752</v>
      </c>
      <c r="D21" s="679">
        <f ca="1">ROUND(D19*10000/L19,0)</f>
        <v>25196</v>
      </c>
      <c r="E21" s="449"/>
      <c r="F21" s="93" t="s">
        <v>1297</v>
      </c>
      <c r="G21" s="132">
        <f ca="1">ROUND(G19*10000/L19,0)</f>
        <v>36084</v>
      </c>
      <c r="H21" s="1634" t="s">
        <v>1296</v>
      </c>
      <c r="I21" s="121"/>
    </row>
    <row r="22" spans="1:36" ht="15" thickBot="1">
      <c r="A22" s="1564" t="s">
        <v>1298</v>
      </c>
      <c r="B22" s="1635"/>
      <c r="C22" s="1636"/>
      <c r="D22" s="680">
        <f ca="1">IF(C19&lt;D19,D19/C19-1,C19/D19-1)</f>
        <v>0.61741071428571437</v>
      </c>
      <c r="E22" s="121"/>
      <c r="F22" s="121"/>
      <c r="G22" s="121"/>
      <c r="H22" s="121"/>
      <c r="I22" s="121"/>
    </row>
    <row r="23" spans="1:36" ht="13.8" thickBot="1">
      <c r="A23" s="646"/>
      <c r="B23" s="646"/>
      <c r="C23" s="646"/>
      <c r="D23" s="646"/>
      <c r="E23" s="121"/>
      <c r="F23" s="121"/>
      <c r="G23" s="121"/>
      <c r="H23" s="121"/>
      <c r="I23" s="121"/>
    </row>
    <row r="24" spans="1:36" ht="14.4">
      <c r="A24" s="3346" t="s">
        <v>1299</v>
      </c>
      <c r="B24" s="1631" t="s">
        <v>1291</v>
      </c>
      <c r="C24" s="128">
        <f>IF(B30=0,0,D30)</f>
        <v>0</v>
      </c>
      <c r="D24" s="1637"/>
      <c r="E24" s="121"/>
      <c r="F24" s="121"/>
      <c r="G24" s="121"/>
      <c r="H24" s="121"/>
      <c r="I24" s="121"/>
    </row>
    <row r="25" spans="1:36" ht="14.4">
      <c r="A25" s="3347"/>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1"/>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6416</v>
      </c>
      <c r="D32" s="1641" t="s">
        <v>3458</v>
      </c>
      <c r="E32" s="121"/>
      <c r="F32" s="121"/>
      <c r="G32" s="121"/>
      <c r="H32" s="121"/>
      <c r="I32" s="121"/>
    </row>
    <row r="33" spans="1:15" ht="14.4">
      <c r="A33" s="740" t="s">
        <v>1306</v>
      </c>
      <c r="B33" s="123"/>
      <c r="C33" s="1642" t="s">
        <v>3459</v>
      </c>
      <c r="D33" s="1643" t="s">
        <v>3455</v>
      </c>
      <c r="E33" s="1644" t="s">
        <v>1307</v>
      </c>
      <c r="F33" s="1645" t="str">
        <f>IF(D32="楼面单价","取值（单价）","取值（总价）")</f>
        <v>取值（总价）</v>
      </c>
      <c r="G33" s="121"/>
      <c r="H33" s="121"/>
      <c r="I33" s="121"/>
    </row>
    <row r="34" spans="1:15" ht="14.4">
      <c r="A34" s="1646"/>
      <c r="B34" s="1647" t="s">
        <v>1308</v>
      </c>
      <c r="C34" s="140">
        <f ca="1">IF(C33="自定义",F34,C32-C35)</f>
        <v>5178</v>
      </c>
      <c r="D34" s="808">
        <f ca="1">IF(C33="自定义",ROUND(C34/C32,3),IF(C33="收益比率",SUMIF(INDIRECT("'"&amp;D33&amp;"'"&amp;"!b:b"),"土地收益比率",INDIRECT("'"&amp;D33&amp;"'"&amp;"!c:c")),SUMIF(INDIRECT("'"&amp;D33&amp;"'"&amp;"!b:b"),"土地成本比率",INDIRECT("'"&amp;D33&amp;"'"&amp;"!c:c"))))</f>
        <v>0.80699999999999994</v>
      </c>
      <c r="E34" s="1648" t="s">
        <v>1309</v>
      </c>
      <c r="F34" s="1243"/>
      <c r="G34" s="121"/>
      <c r="H34" s="121"/>
      <c r="I34" s="121"/>
    </row>
    <row r="35" spans="1:15" ht="15" thickBot="1">
      <c r="A35" s="1649"/>
      <c r="B35" s="1650" t="s">
        <v>1310</v>
      </c>
      <c r="C35" s="1090">
        <f ca="1">IF(C33="自定义",F35,ROUND(C32*D35,0))</f>
        <v>1238</v>
      </c>
      <c r="D35" s="1091">
        <f ca="1">IF(C33="自定义",ROUND(C35/C32,3),IF(C33="收益比率",SUMIF(INDIRECT("'"&amp;D33&amp;"'"&amp;"!b:b"),"建筑物收益比率",INDIRECT("'"&amp;D33&amp;"'"&amp;"!c:c")),SUMIF(INDIRECT("'"&amp;D33&amp;"'"&amp;"!b:b"),"建筑物成本比率",INDIRECT("'"&amp;D33&amp;"'"&amp;"!c:c"))))</f>
        <v>0.193</v>
      </c>
      <c r="E35" s="1651" t="s">
        <v>1311</v>
      </c>
      <c r="F35" s="146"/>
      <c r="G35" s="121"/>
      <c r="H35" s="121"/>
      <c r="I35" s="121"/>
    </row>
    <row r="36" spans="1:15" ht="15" thickBot="1">
      <c r="A36" s="3323" t="s">
        <v>1312</v>
      </c>
      <c r="B36" s="1652" t="s">
        <v>1313</v>
      </c>
      <c r="C36" s="137"/>
      <c r="D36" s="1653"/>
      <c r="E36" s="1567"/>
      <c r="F36" s="1654"/>
      <c r="G36" s="121"/>
      <c r="H36" s="121"/>
      <c r="I36" s="121"/>
    </row>
    <row r="37" spans="1:15" ht="15" thickBot="1">
      <c r="A37" s="3324"/>
      <c r="B37" s="1555" t="s">
        <v>1314</v>
      </c>
      <c r="C37" s="139"/>
      <c r="D37" s="1071"/>
      <c r="E37" s="1071"/>
      <c r="F37" s="1654"/>
      <c r="G37" s="121"/>
      <c r="H37" s="121"/>
      <c r="I37" s="121"/>
    </row>
    <row r="38" spans="1:15" ht="15" thickBot="1">
      <c r="A38" s="3325"/>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43" t="s">
        <v>1326</v>
      </c>
      <c r="B45" s="3344"/>
      <c r="C45" s="3345"/>
      <c r="D45" s="147">
        <f ca="1">ROUND(H101*F45,0)</f>
        <v>6416</v>
      </c>
      <c r="E45" s="148" t="s">
        <v>1327</v>
      </c>
      <c r="F45" s="149">
        <v>1</v>
      </c>
      <c r="G45" s="150" t="s">
        <v>1328</v>
      </c>
      <c r="H45" s="121"/>
      <c r="I45" s="121"/>
      <c r="J45" s="3263" t="s">
        <v>1329</v>
      </c>
      <c r="K45" s="3263"/>
      <c r="L45" s="3263"/>
      <c r="M45" s="3263"/>
      <c r="N45" s="3263"/>
      <c r="O45" s="3263"/>
    </row>
    <row r="46" spans="1:15" ht="14.25" customHeight="1">
      <c r="A46" s="3340" t="s">
        <v>1330</v>
      </c>
      <c r="B46" s="3341"/>
      <c r="C46" s="3341"/>
      <c r="D46" s="3341"/>
      <c r="E46" s="3341"/>
      <c r="F46" s="3341"/>
      <c r="G46" s="3342"/>
      <c r="H46" s="1668"/>
      <c r="I46" s="151"/>
      <c r="J46" s="2308">
        <v>1</v>
      </c>
      <c r="K46" s="3264" t="s">
        <v>1331</v>
      </c>
      <c r="L46" s="3264"/>
      <c r="M46" s="3265"/>
      <c r="N46" s="3265"/>
      <c r="O46" s="3265"/>
    </row>
    <row r="47" spans="1:15" ht="12" customHeight="1">
      <c r="A47" s="152" t="s">
        <v>1332</v>
      </c>
      <c r="B47" s="153"/>
      <c r="C47" s="154"/>
      <c r="D47" s="1024" t="s">
        <v>1333</v>
      </c>
      <c r="E47" s="294" t="s">
        <v>1334</v>
      </c>
      <c r="F47" s="155" t="s">
        <v>1335</v>
      </c>
      <c r="G47" s="2331" t="s">
        <v>1336</v>
      </c>
      <c r="H47" s="2332"/>
      <c r="I47" s="151"/>
      <c r="J47" s="2308">
        <v>2</v>
      </c>
      <c r="K47" s="3264" t="s">
        <v>1337</v>
      </c>
      <c r="L47" s="3264"/>
      <c r="M47" s="3266">
        <f>'数据-取费表'!B2</f>
        <v>45772</v>
      </c>
      <c r="N47" s="3266"/>
      <c r="O47" s="3266"/>
    </row>
    <row r="48" spans="1:15" ht="26.4">
      <c r="A48" s="3326" t="s">
        <v>1338</v>
      </c>
      <c r="B48" s="3327"/>
      <c r="C48" s="3327"/>
      <c r="D48" s="12">
        <f ca="1">IF(H48="情况1",0,IF(H48="情况2",D52,IF(H48="情况3",D53,IF(H48="情况4",D54))))</f>
        <v>342</v>
      </c>
      <c r="E48" s="1256" t="str">
        <f>IF(H48="情况4","(销售额-原购置价)×税（费）率","销售额×税（费）率")</f>
        <v>销售额×税（费）率</v>
      </c>
      <c r="F48" s="2333">
        <f>IF(H48="情况1","免征",'数据-取费表'!B41)</f>
        <v>5.6000000000000001E-2</v>
      </c>
      <c r="G48" s="2334" t="s">
        <v>1339</v>
      </c>
      <c r="H48" s="2335" t="s">
        <v>3446</v>
      </c>
      <c r="I48" s="1668"/>
      <c r="J48" s="2308">
        <v>3</v>
      </c>
      <c r="K48" s="3264" t="s">
        <v>1340</v>
      </c>
      <c r="L48" s="3264"/>
      <c r="M48" s="3267">
        <f ca="1">H101</f>
        <v>6416</v>
      </c>
      <c r="N48" s="3267"/>
      <c r="O48" s="3267"/>
    </row>
    <row r="49" spans="1:35" ht="25.5" customHeight="1">
      <c r="A49" s="2152" t="s">
        <v>1341</v>
      </c>
      <c r="B49" s="3312" t="s">
        <v>1342</v>
      </c>
      <c r="C49" s="3312"/>
      <c r="D49" s="1478">
        <v>0</v>
      </c>
      <c r="E49" s="316" t="s">
        <v>1343</v>
      </c>
      <c r="F49" s="2233" t="s">
        <v>28</v>
      </c>
      <c r="G49" s="3295"/>
      <c r="H49" s="2134" t="s">
        <v>2134</v>
      </c>
      <c r="I49" s="2135"/>
      <c r="J49" s="2308">
        <v>4</v>
      </c>
      <c r="K49" s="3264" t="str">
        <f>IF(项目基本情况!E8="房地产抵押价值","房地产抵押价值","抵押担保权已注销时的房地产抵押价值")</f>
        <v>房地产抵押价值</v>
      </c>
      <c r="L49" s="3264"/>
      <c r="M49" s="3267">
        <f ca="1">IF(项目基本情况!E8="房地产抵押价值",H107,H109)</f>
        <v>6416</v>
      </c>
      <c r="N49" s="3267"/>
      <c r="O49" s="3267"/>
    </row>
    <row r="50" spans="1:35" ht="25.5" customHeight="1">
      <c r="A50" s="2336"/>
      <c r="B50" s="3312" t="s">
        <v>1344</v>
      </c>
      <c r="C50" s="3312"/>
      <c r="D50" s="2189"/>
      <c r="E50" s="323"/>
      <c r="F50" s="2233"/>
      <c r="G50" s="3296"/>
      <c r="H50" s="2136" t="s">
        <v>2135</v>
      </c>
      <c r="I50" s="2135"/>
      <c r="J50" s="3263" t="s">
        <v>1345</v>
      </c>
      <c r="K50" s="3263"/>
      <c r="L50" s="3263"/>
      <c r="M50" s="3263"/>
      <c r="N50" s="3263"/>
      <c r="O50" s="3263"/>
    </row>
    <row r="51" spans="1:35" ht="20.399999999999999" customHeight="1">
      <c r="A51" s="2337"/>
      <c r="B51" s="3312" t="s">
        <v>1346</v>
      </c>
      <c r="C51" s="3312"/>
      <c r="D51" s="1024"/>
      <c r="E51" s="319"/>
      <c r="F51" s="2233"/>
      <c r="G51" s="3297"/>
      <c r="H51" s="2136" t="s">
        <v>2136</v>
      </c>
      <c r="I51" s="2135"/>
      <c r="J51" s="2309" t="s">
        <v>1347</v>
      </c>
      <c r="K51" s="3264" t="s">
        <v>1348</v>
      </c>
      <c r="L51" s="3264"/>
      <c r="M51" s="2309" t="s">
        <v>1349</v>
      </c>
      <c r="N51" s="2309" t="s">
        <v>1350</v>
      </c>
      <c r="O51" s="2309" t="s">
        <v>1351</v>
      </c>
    </row>
    <row r="52" spans="1:35" ht="24" customHeight="1">
      <c r="A52" s="2153" t="s">
        <v>1352</v>
      </c>
      <c r="B52" s="3312" t="s">
        <v>1353</v>
      </c>
      <c r="C52" s="3312"/>
      <c r="D52" s="1024">
        <f ca="1">ROUND(D45*'数据-取费表'!B41/(1+'数据-取费表'!C42),0)</f>
        <v>342</v>
      </c>
      <c r="E52" s="1256" t="s">
        <v>1354</v>
      </c>
      <c r="F52" s="2338">
        <f>'数据-取费表'!B41</f>
        <v>5.6000000000000001E-2</v>
      </c>
      <c r="G52" s="2339"/>
      <c r="H52" s="2329"/>
      <c r="I52" s="1669"/>
      <c r="J52" s="2308">
        <v>1</v>
      </c>
      <c r="K52" s="3289" t="s">
        <v>1355</v>
      </c>
      <c r="L52" s="3289"/>
      <c r="M52" s="2310">
        <f ca="1">D48</f>
        <v>342</v>
      </c>
      <c r="N52" s="2308" t="str">
        <f>E48</f>
        <v>销售额×税（费）率</v>
      </c>
      <c r="O52" s="2311">
        <f>F48</f>
        <v>5.6000000000000001E-2</v>
      </c>
    </row>
    <row r="53" spans="1:35" ht="12" customHeight="1">
      <c r="A53" s="2153" t="s">
        <v>1356</v>
      </c>
      <c r="B53" s="3313" t="s">
        <v>2287</v>
      </c>
      <c r="C53" s="3314"/>
      <c r="D53" s="1024">
        <f ca="1">ROUND(D45*'数据-取费表'!B41/(1+'数据-取费表'!C42),0)</f>
        <v>342</v>
      </c>
      <c r="E53" s="1256" t="s">
        <v>1354</v>
      </c>
      <c r="F53" s="2338">
        <f>'数据-取费表'!B41</f>
        <v>5.6000000000000001E-2</v>
      </c>
      <c r="G53" s="2339"/>
      <c r="H53" s="2329"/>
      <c r="I53" s="1669"/>
      <c r="J53" s="2308">
        <v>2</v>
      </c>
      <c r="K53" s="3289" t="s">
        <v>1357</v>
      </c>
      <c r="L53" s="3289"/>
      <c r="M53" s="2310">
        <f t="shared" ref="M53:O54" ca="1" si="0">D55</f>
        <v>3</v>
      </c>
      <c r="N53" s="2308" t="str">
        <f t="shared" si="0"/>
        <v>销售额×税（费）率</v>
      </c>
      <c r="O53" s="2311">
        <f t="shared" si="0"/>
        <v>5.0000000000000001E-4</v>
      </c>
    </row>
    <row r="54" spans="1:35" ht="12" customHeight="1">
      <c r="A54" s="2153" t="s">
        <v>1358</v>
      </c>
      <c r="B54" s="3313" t="s">
        <v>2288</v>
      </c>
      <c r="C54" s="3314"/>
      <c r="D54" s="1024">
        <f ca="1">C68</f>
        <v>0</v>
      </c>
      <c r="E54" s="319" t="s">
        <v>1359</v>
      </c>
      <c r="F54" s="2338">
        <f>'数据-取费表'!B41</f>
        <v>5.6000000000000001E-2</v>
      </c>
      <c r="G54" s="2339"/>
      <c r="H54" s="2340"/>
      <c r="I54" s="1669"/>
      <c r="J54" s="2308">
        <v>3</v>
      </c>
      <c r="K54" s="3289" t="s">
        <v>1360</v>
      </c>
      <c r="L54" s="3289"/>
      <c r="M54" s="2310">
        <f t="shared" ca="1" si="0"/>
        <v>0</v>
      </c>
      <c r="N54" s="2308" t="str">
        <f t="shared" si="0"/>
        <v>增值额×税（费）率</v>
      </c>
      <c r="O54" s="2312" t="str">
        <f t="shared" si="0"/>
        <v>——</v>
      </c>
    </row>
    <row r="55" spans="1:35" ht="24" customHeight="1">
      <c r="A55" s="3349" t="s">
        <v>1361</v>
      </c>
      <c r="B55" s="3327"/>
      <c r="C55" s="3327"/>
      <c r="D55" s="12">
        <f ca="1">IF(H55="个人住宅",0,ROUND(D45*I55,0))</f>
        <v>3</v>
      </c>
      <c r="E55" s="1256" t="s">
        <v>1362</v>
      </c>
      <c r="F55" s="2338">
        <f>IF(H55="正常",I55,"免征")</f>
        <v>5.0000000000000001E-4</v>
      </c>
      <c r="G55" s="2339"/>
      <c r="H55" s="2335" t="s">
        <v>3447</v>
      </c>
      <c r="I55" s="157">
        <f>'数据-取费表'!B49</f>
        <v>5.0000000000000001E-4</v>
      </c>
      <c r="J55" s="2308" t="str">
        <f>IF(H59="非个人房产","",4)</f>
        <v/>
      </c>
      <c r="K55" s="3289" t="str">
        <f>IF(H59="非个人房产","——","个人所得税")</f>
        <v>——</v>
      </c>
      <c r="L55" s="3289"/>
      <c r="M55" s="2313" t="str">
        <f>D59</f>
        <v>——</v>
      </c>
      <c r="N55" s="1883" t="str">
        <f>E59</f>
        <v>——</v>
      </c>
      <c r="O55" s="2314" t="str">
        <f>F59</f>
        <v>——</v>
      </c>
    </row>
    <row r="56" spans="1:35" ht="25.2">
      <c r="A56" s="3349" t="s">
        <v>1363</v>
      </c>
      <c r="B56" s="3327"/>
      <c r="C56" s="3327"/>
      <c r="D56" s="12">
        <f ca="1">IF(H56="个人住宅",D57,D58)</f>
        <v>0</v>
      </c>
      <c r="E56" s="1256" t="s">
        <v>1364</v>
      </c>
      <c r="F56" s="2338" t="str">
        <f>IF(H56="正常",F58,"免征")</f>
        <v>——</v>
      </c>
      <c r="G56" s="2341" t="s">
        <v>1365</v>
      </c>
      <c r="H56" s="2342" t="s">
        <v>3447</v>
      </c>
      <c r="I56" s="1670"/>
      <c r="J56" s="2308" t="str">
        <f>IF(项目基本情况!K6="上海银行",IF(J55="",4,J55+1),"")</f>
        <v/>
      </c>
      <c r="K56" s="3270" t="str">
        <f>IF(项目基本情况!K6="上海银行","其他处置费用","")</f>
        <v/>
      </c>
      <c r="L56" s="3271"/>
      <c r="M56" s="2310" t="str">
        <f>IF(项目基本情况!K6="上海银行",M69,"")</f>
        <v/>
      </c>
      <c r="N56" s="3270" t="str">
        <f>IF(项目基本情况!K6="上海银行","包含处置中涉及的律师、诉讼、拍卖、评估等费用","")</f>
        <v/>
      </c>
      <c r="O56" s="3273"/>
    </row>
    <row r="57" spans="1:35" ht="13.2">
      <c r="A57" s="2153" t="s">
        <v>1341</v>
      </c>
      <c r="B57" s="3313" t="s">
        <v>1366</v>
      </c>
      <c r="C57" s="3314"/>
      <c r="D57" s="1478">
        <v>0</v>
      </c>
      <c r="E57" s="316" t="s">
        <v>1343</v>
      </c>
      <c r="F57" s="294"/>
      <c r="G57" s="2339"/>
      <c r="H57" s="2343"/>
      <c r="I57" s="1670"/>
      <c r="J57" s="3289">
        <f>IF(AND(J55="",J56=""),4,IF(项目基本情况!K6="上海银行",结果表!J56+1,结果表!J55+1))</f>
        <v>4</v>
      </c>
      <c r="K57" s="3289" t="s">
        <v>1367</v>
      </c>
      <c r="L57" s="2315" t="s">
        <v>1368</v>
      </c>
      <c r="M57" s="2316"/>
      <c r="N57" s="2317">
        <f ca="1">SUMIF(M52:M56,"&lt;9e307")</f>
        <v>345</v>
      </c>
      <c r="O57" s="2318"/>
      <c r="P57" s="2462">
        <f ca="1">N57/M49</f>
        <v>5.3771820448877808E-2</v>
      </c>
    </row>
    <row r="58" spans="1:35" ht="25.2">
      <c r="A58" s="2153" t="s">
        <v>1352</v>
      </c>
      <c r="B58" s="3313" t="s">
        <v>1369</v>
      </c>
      <c r="C58" s="3312"/>
      <c r="D58" s="12">
        <f ca="1">IF(H58="转让取得",C81,C97)</f>
        <v>0</v>
      </c>
      <c r="E58" s="1256" t="s">
        <v>1364</v>
      </c>
      <c r="F58" s="294" t="s">
        <v>28</v>
      </c>
      <c r="G58" s="2339"/>
      <c r="H58" s="2342" t="s">
        <v>3448</v>
      </c>
      <c r="I58" s="1670"/>
      <c r="J58" s="3289"/>
      <c r="K58" s="3289"/>
      <c r="L58" s="2315" t="s">
        <v>1370</v>
      </c>
      <c r="M58" s="2319"/>
      <c r="N58" s="2320" t="str">
        <f ca="1">NUMBERSTRING(INT(N57*10000),2)&amp;"元整"</f>
        <v>叁佰肆拾伍万元整</v>
      </c>
      <c r="O58" s="2321"/>
    </row>
    <row r="59" spans="1:35" ht="24.6" thickBot="1">
      <c r="A59" s="3293" t="s">
        <v>1371</v>
      </c>
      <c r="B59" s="3294"/>
      <c r="C59" s="3294"/>
      <c r="D59" s="2344" t="str">
        <f>IF(H59="非个人房产","——",IF(H59="个人住宅（满五唯一有凭证）",0,IF(H59="个人其他（无凭证）",ROUND(D45*F59,0),ROUND(C67*F59,0))))</f>
        <v>——</v>
      </c>
      <c r="E59" s="2345" t="str">
        <f>IF(H59="非个人房产","——",IF(H59="个人其他（无凭证）","销售额×税（费）率",IF(H59="个人住宅（满五唯一有凭证）","免征","差额计税")))</f>
        <v>——</v>
      </c>
      <c r="F59" s="2346" t="str">
        <f>IF(OR(H59="非个人房产",H59="个人住宅（满五唯一有凭证）"),"——",IF(H59="个人其他（有凭证）",20%,1%))</f>
        <v>——</v>
      </c>
      <c r="G59" s="2347" t="s">
        <v>1365</v>
      </c>
      <c r="H59" s="2138" t="s">
        <v>3449</v>
      </c>
      <c r="I59" s="2137" t="s">
        <v>2137</v>
      </c>
      <c r="J59" s="3291">
        <f>J57+1</f>
        <v>5</v>
      </c>
      <c r="K59" s="3289" t="s">
        <v>1372</v>
      </c>
      <c r="L59" s="2308" t="s">
        <v>1368</v>
      </c>
      <c r="M59" s="2322"/>
      <c r="N59" s="2323">
        <f ca="1">M49-N57</f>
        <v>6071</v>
      </c>
      <c r="O59" s="2324"/>
    </row>
    <row r="60" spans="1:35" ht="12" customHeight="1">
      <c r="A60" s="1671"/>
      <c r="B60" s="646"/>
      <c r="C60" s="646"/>
      <c r="D60" s="646"/>
      <c r="E60" s="1466"/>
      <c r="F60" s="1670"/>
      <c r="G60" s="1670"/>
      <c r="H60" s="151"/>
      <c r="I60" s="121"/>
      <c r="J60" s="3292"/>
      <c r="K60" s="3289"/>
      <c r="L60" s="2315" t="s">
        <v>1370</v>
      </c>
      <c r="M60" s="2319"/>
      <c r="N60" s="2320" t="str">
        <f ca="1">NUMBERSTRING(INT(N59*10000),2)&amp;"元整"</f>
        <v>陆仟零柒拾壹万元整</v>
      </c>
      <c r="O60" s="2321"/>
    </row>
    <row r="61" spans="1:35" ht="13.8" thickBot="1">
      <c r="A61" s="3348" t="s">
        <v>1373</v>
      </c>
      <c r="B61" s="3348"/>
      <c r="C61" s="3348"/>
      <c r="D61" s="3348"/>
      <c r="E61" s="3348"/>
      <c r="F61" s="1670"/>
      <c r="G61" s="1670"/>
      <c r="H61" s="151"/>
      <c r="I61" s="121"/>
      <c r="J61" s="2308">
        <f>J59+1</f>
        <v>6</v>
      </c>
      <c r="K61" s="3289" t="s">
        <v>1374</v>
      </c>
      <c r="L61" s="3289"/>
      <c r="M61" s="2325"/>
      <c r="N61" s="2326">
        <f ca="1">ROUND(N59*10000/'数据-汇总表'!E3,0)</f>
        <v>27974</v>
      </c>
      <c r="O61" s="2327"/>
    </row>
    <row r="62" spans="1:35" ht="13.2">
      <c r="A62" s="3308" t="s">
        <v>1375</v>
      </c>
      <c r="B62" s="3309"/>
      <c r="C62" s="1865"/>
      <c r="D62" s="1865" t="s">
        <v>1376</v>
      </c>
      <c r="E62" s="158" t="s">
        <v>1377</v>
      </c>
      <c r="F62" s="1670"/>
      <c r="G62" s="1670"/>
      <c r="H62" s="151"/>
      <c r="I62" s="121"/>
    </row>
    <row r="63" spans="1:35" ht="13.2">
      <c r="A63" s="165" t="s">
        <v>330</v>
      </c>
      <c r="B63" s="159" t="s">
        <v>1378</v>
      </c>
      <c r="C63" s="2348">
        <f ca="1">ROUND((C64+C65)/(1+'数据-取费表'!C42),0)</f>
        <v>6110</v>
      </c>
      <c r="D63" s="159"/>
      <c r="E63" s="160"/>
      <c r="F63" s="1670"/>
      <c r="G63" s="1670"/>
      <c r="H63" s="151"/>
      <c r="I63" s="121"/>
      <c r="J63" s="3272" t="s">
        <v>1379</v>
      </c>
      <c r="K63" s="1245" t="s">
        <v>1380</v>
      </c>
      <c r="L63" s="1245">
        <f ca="1">IF(M49&gt;10000,M49*0.5%,IF(AND(M49&gt;1000,M49&lt;=10000),M49*1%,IF(AND(M49&gt;100,M49&lt;=1000),M49*3%,IF(AND(M49&gt;10,M49&lt;=100),M49*5%,M49*8%))))</f>
        <v>64.16</v>
      </c>
      <c r="M63" s="294">
        <f ca="1">ROUND(L63,1)</f>
        <v>64.2</v>
      </c>
      <c r="N63" s="2328"/>
      <c r="Z63" s="1623"/>
      <c r="AI63" s="1561"/>
    </row>
    <row r="64" spans="1:35" ht="14.25" customHeight="1">
      <c r="A64" s="161" t="s">
        <v>325</v>
      </c>
      <c r="B64" s="162" t="s">
        <v>1381</v>
      </c>
      <c r="C64" s="2349">
        <f ca="1">D45</f>
        <v>6416</v>
      </c>
      <c r="D64" s="162" t="s">
        <v>26</v>
      </c>
      <c r="E64" s="164"/>
      <c r="F64" s="1670"/>
      <c r="G64" s="1670"/>
      <c r="H64" s="151"/>
      <c r="I64" s="121"/>
      <c r="J64" s="3272"/>
      <c r="K64" s="1245" t="s">
        <v>1382</v>
      </c>
      <c r="L64" s="1245">
        <f ca="1">IF(M49&gt;2000,M49*0.5%,IF(AND(M49&gt;1000,M49&lt;=2000),M49*0.6%,IF(AND(M49&gt;500,M49&lt;=1000),M49*0.7%,IF(AND(M49&gt;200,M49&lt;=500),M49*0.8%,IF(AND(M49&gt;100,M49&lt;=200),M49*0.9%,IF(AND(M49&gt;50,M49&lt;=100),M49*1%,IF(AND(M49&gt;20,M49&lt;=50),M49*1.5%,IF(AND(M49&gt;10,M49&lt;=20),M49*2%,IF(AND(M49&gt;1,M49&lt;=10),M49*2.5%)))))))))</f>
        <v>32.08</v>
      </c>
      <c r="M64" s="294">
        <f t="shared" ref="M64:M65" ca="1" si="1">ROUND(L64,1)</f>
        <v>32.1</v>
      </c>
      <c r="N64" s="2329" t="s">
        <v>1383</v>
      </c>
      <c r="Z64" s="1623"/>
      <c r="AI64" s="1561"/>
    </row>
    <row r="65" spans="1:35" ht="14.25" customHeight="1">
      <c r="A65" s="161" t="s">
        <v>326</v>
      </c>
      <c r="B65" s="162" t="s">
        <v>1384</v>
      </c>
      <c r="C65" s="2350"/>
      <c r="D65" s="162"/>
      <c r="E65" s="164"/>
      <c r="F65" s="1670"/>
      <c r="G65" s="1670"/>
      <c r="H65" s="151"/>
      <c r="I65" s="121"/>
      <c r="J65" s="3272"/>
      <c r="K65" s="1245" t="s">
        <v>1385</v>
      </c>
      <c r="L65" s="1245">
        <f ca="1">IF(M49&gt;1000,M49*0.1%,IF(AND(M49&gt;500,M49&lt;=1000),M49*0.5%,IF(AND(M49&gt;50,M49&lt;=500),M49*1%,IF(AND(M49&gt;1,M49&lt;=50),M49*1.5%))))</f>
        <v>6.4160000000000004</v>
      </c>
      <c r="M65" s="294">
        <f t="shared" ca="1" si="1"/>
        <v>6.4</v>
      </c>
      <c r="N65" s="2329" t="s">
        <v>1383</v>
      </c>
      <c r="Z65" s="1623"/>
      <c r="AI65" s="1561"/>
    </row>
    <row r="66" spans="1:35" ht="14.25" customHeight="1">
      <c r="A66" s="165" t="s">
        <v>327</v>
      </c>
      <c r="B66" s="166" t="s">
        <v>1386</v>
      </c>
      <c r="C66" s="2351">
        <f>7800/1.05</f>
        <v>7428.5714285714284</v>
      </c>
      <c r="D66" s="166" t="s">
        <v>26</v>
      </c>
      <c r="E66" s="1251" t="s">
        <v>671</v>
      </c>
      <c r="F66" s="1670"/>
      <c r="G66" s="1670"/>
      <c r="H66" s="151"/>
      <c r="I66" s="121"/>
      <c r="J66" s="3272"/>
      <c r="K66" s="1245" t="s">
        <v>1387</v>
      </c>
      <c r="L66" s="1245">
        <f ca="1">M49*0.5%</f>
        <v>32.08</v>
      </c>
      <c r="M66" s="294">
        <f ca="1">IF(L66&gt;0.5,0.5,ROUND(L66,0))</f>
        <v>0.5</v>
      </c>
      <c r="N66" s="2329" t="s">
        <v>1388</v>
      </c>
      <c r="Z66" s="1623"/>
      <c r="AI66" s="1561"/>
    </row>
    <row r="67" spans="1:35" ht="14.25" customHeight="1">
      <c r="A67" s="165" t="s">
        <v>328</v>
      </c>
      <c r="B67" s="166" t="s">
        <v>1389</v>
      </c>
      <c r="C67" s="2352">
        <f ca="1">C63-C66</f>
        <v>-1318.5714285714284</v>
      </c>
      <c r="D67" s="162" t="s">
        <v>26</v>
      </c>
      <c r="E67" s="164"/>
      <c r="F67" s="1670"/>
      <c r="G67" s="1670"/>
      <c r="H67" s="151"/>
      <c r="I67" s="121"/>
      <c r="J67" s="3272"/>
      <c r="K67" s="1245" t="s">
        <v>1390</v>
      </c>
      <c r="L67" s="1245">
        <f ca="1">IF(M49&gt;=10000,(8.25+(M49-10000)*0.01%),IF(AND(M49&gt;=8000,M49&lt;10000),(7.85+(M49-8000)*0.02%),IF(AND(M49&gt;=5000,M49&lt;8000),(6.65+(M49-5000)*0.04%),IF(AND(M49&gt;=2000,M49&lt;5000),(4.25+(PM49-2000)*0.08%),IF(AND(M49&gt;=1000,M49&lt;2000),(2.75+(M49-1000)*0.15%),IF(AND(M49&gt;=100,M49&lt;1000),(0.5+(M49-100)*0.25%),IF(AND(M49&gt;0,M49&lt;100),M49*0.5%)))))))</f>
        <v>7.2164000000000001</v>
      </c>
      <c r="M67" s="294">
        <f ca="1">ROUND(L67*0.9,1)</f>
        <v>6.5</v>
      </c>
      <c r="N67" s="2328"/>
      <c r="Z67" s="1623"/>
      <c r="AI67" s="1561"/>
    </row>
    <row r="68" spans="1:35" ht="14.25" customHeight="1" thickBot="1">
      <c r="A68" s="168" t="s">
        <v>329</v>
      </c>
      <c r="B68" s="169" t="s">
        <v>1391</v>
      </c>
      <c r="C68" s="2353">
        <f ca="1">IF(C67&lt;=0,0,ROUND(C67*D68,0))</f>
        <v>0</v>
      </c>
      <c r="D68" s="2354">
        <f>'数据-取费表'!B41</f>
        <v>5.6000000000000001E-2</v>
      </c>
      <c r="E68" s="170"/>
      <c r="F68" s="1670"/>
      <c r="G68" s="1670"/>
      <c r="H68" s="151"/>
      <c r="I68" s="121"/>
      <c r="J68" s="3272"/>
      <c r="K68" s="1245" t="s">
        <v>1392</v>
      </c>
      <c r="L68" s="1245">
        <f ca="1">IF(M49&gt;10000,M49*0.5%,IF(AND(M49&gt;5000,M49&lt;=10000),M49*1%,IF(AND(M49&gt;1000,M49&lt;=5000),M49*2%,IF(AND(M49&gt;200,M49&lt;=1000),M49*3%,M49*5%))))</f>
        <v>64.16</v>
      </c>
      <c r="M68" s="294">
        <f ca="1">ROUND(L68,1)</f>
        <v>64.2</v>
      </c>
      <c r="N68" s="2328"/>
      <c r="Z68" s="1623"/>
      <c r="AI68" s="1561"/>
    </row>
    <row r="69" spans="1:35" ht="16.5" customHeight="1">
      <c r="A69" s="1672"/>
      <c r="B69" s="1673"/>
      <c r="C69" s="1674"/>
      <c r="D69" s="1675"/>
      <c r="E69" s="1676"/>
      <c r="F69" s="1466"/>
      <c r="G69" s="1466"/>
      <c r="H69" s="1467"/>
      <c r="I69" s="646"/>
      <c r="J69" s="3272"/>
      <c r="K69" s="1245" t="s">
        <v>1393</v>
      </c>
      <c r="L69" s="1245"/>
      <c r="M69" s="294">
        <f ca="1">ROUND(SUM(M63:M68),0)</f>
        <v>174</v>
      </c>
      <c r="N69" s="2330">
        <f ca="1">M69/M49</f>
        <v>2.7119700748129676E-2</v>
      </c>
      <c r="Z69" s="1623"/>
      <c r="AI69" s="1561"/>
    </row>
    <row r="70" spans="1:35" s="642" customFormat="1" ht="14.4" thickBot="1">
      <c r="A70" s="3316" t="s">
        <v>1394</v>
      </c>
      <c r="B70" s="3317"/>
      <c r="C70" s="3317"/>
      <c r="D70" s="3317"/>
      <c r="E70" s="3317"/>
      <c r="F70" s="3317"/>
      <c r="G70" s="3317"/>
      <c r="H70" s="331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08" t="s">
        <v>1375</v>
      </c>
      <c r="B71" s="3309"/>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2">
        <f ca="1">ROUND(D45/(1+'数据-取费表'!C42),0)</f>
        <v>6110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2">
        <f ca="1">C74+C78</f>
        <v>7328</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7291</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1">
        <f>7800/1.05</f>
        <v>7428.5714285714284</v>
      </c>
      <c r="D75" s="162" t="s">
        <v>26</v>
      </c>
      <c r="E75" s="176" t="s">
        <v>1399</v>
      </c>
      <c r="F75" s="2356" t="s">
        <v>3494</v>
      </c>
      <c r="G75" s="176" t="s">
        <v>1400</v>
      </c>
      <c r="H75" s="2357">
        <v>7800</v>
      </c>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313" t="s">
        <v>1402</v>
      </c>
      <c r="F76" s="3312"/>
      <c r="G76" s="3312"/>
      <c r="H76" s="331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216</v>
      </c>
      <c r="D77" s="2359">
        <f>'数据-取费表'!B48+'数据-取费表'!B49</f>
        <v>3.0499999999999999E-2</v>
      </c>
      <c r="E77" s="12" t="s">
        <v>1404</v>
      </c>
      <c r="F77" s="178"/>
      <c r="G77" s="1682" t="s">
        <v>3495</v>
      </c>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37</v>
      </c>
      <c r="D78" s="2361">
        <f>'数据-取费表'!B43</f>
        <v>6.000000000000001E-3</v>
      </c>
      <c r="E78" s="3305" t="s">
        <v>1406</v>
      </c>
      <c r="F78" s="3306"/>
      <c r="G78" s="3306"/>
      <c r="H78" s="330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2">
        <f ca="1">C72-C73</f>
        <v>-1218</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0</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3">
        <f ca="1">ROUND(IF(C79&lt;=0,0,IF(C80&gt;=200%,C79*60%-C73*35%,IF(C80&gt;=100%,C79*50%-C73*15%,IF(C80&gt;=50%,C79*40%-C73*5%,IF(C80&lt;50%,C79*30%,0))))),0)</f>
        <v>0</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16" t="s">
        <v>1410</v>
      </c>
      <c r="B83" s="3317"/>
      <c r="C83" s="3317"/>
      <c r="D83" s="3317"/>
      <c r="E83" s="3317"/>
      <c r="F83" s="3317"/>
      <c r="G83" s="3317"/>
      <c r="H83" s="331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08" t="s">
        <v>1375</v>
      </c>
      <c r="B84" s="3309"/>
      <c r="C84" s="1865"/>
      <c r="D84" s="1865" t="s">
        <v>1376</v>
      </c>
      <c r="E84" s="171" t="s">
        <v>1377</v>
      </c>
      <c r="F84" s="172"/>
      <c r="G84" s="172"/>
      <c r="H84" s="183"/>
      <c r="I84" s="1681"/>
      <c r="J84" s="1678"/>
      <c r="K84" s="1678">
        <f>'数据-汇总表'!F20</f>
        <v>0</v>
      </c>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2">
        <f ca="1">ROUND(D45/(1+'数据-取费表'!C42),0)</f>
        <v>6110</v>
      </c>
      <c r="D85" s="162" t="s">
        <v>26</v>
      </c>
      <c r="E85" s="1257"/>
      <c r="F85" s="1255"/>
      <c r="G85" s="1255"/>
      <c r="H85" s="184"/>
      <c r="I85" s="1681"/>
      <c r="J85" s="1678"/>
      <c r="K85" s="1678">
        <v>11899.22</v>
      </c>
      <c r="L85" s="3162">
        <v>5000</v>
      </c>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2">
        <f ca="1">IF(H88="仅含出让金",C87+C90+C91+C92+C93+C94,C87+C91+C92+C93+C94)</f>
        <v>8083.15</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0">
        <f>C88+C89</f>
        <v>5100.1499999999996</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26.4">
      <c r="A88" s="161" t="s">
        <v>331</v>
      </c>
      <c r="B88" s="162" t="s">
        <v>1412</v>
      </c>
      <c r="C88" s="2366">
        <f>49491500/10000</f>
        <v>4949.1499999999996</v>
      </c>
      <c r="D88" s="2361"/>
      <c r="E88" s="185" t="s">
        <v>1413</v>
      </c>
      <c r="F88" s="2148"/>
      <c r="G88" s="186" t="s">
        <v>1414</v>
      </c>
      <c r="H88" s="1684" t="s">
        <v>3445</v>
      </c>
      <c r="I88" s="1681"/>
      <c r="J88" s="2306" t="s">
        <v>2284</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0">
        <f>ROUND(C88*D89,0)</f>
        <v>151</v>
      </c>
      <c r="D89" s="2361">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6"/>
      <c r="D90" s="2361"/>
      <c r="E90" s="185" t="str">
        <f>IF(H88="-","土地取得成本中已包含该笔费用"," ")</f>
        <v xml:space="preserve"> </v>
      </c>
      <c r="F90" s="2148"/>
      <c r="G90" s="3274" t="s">
        <v>2129</v>
      </c>
      <c r="H90" s="3275"/>
      <c r="I90" s="1681"/>
      <c r="J90" s="2306" t="s">
        <v>2285</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 ca="1">IF(H91="——",成本法!C33,I91)</f>
        <v>1089</v>
      </c>
      <c r="D91" s="2361"/>
      <c r="E91" s="3305" t="s">
        <v>1419</v>
      </c>
      <c r="F91" s="3306"/>
      <c r="G91" s="3306"/>
      <c r="H91" s="1685" t="s">
        <v>43</v>
      </c>
      <c r="I91" s="1686">
        <f>ROUND(K84*L85/10000,0)</f>
        <v>0</v>
      </c>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 ca="1">ROUND((C87+C90+C91)*D92,0)</f>
        <v>619</v>
      </c>
      <c r="D92" s="2367">
        <v>0.1</v>
      </c>
      <c r="E92" s="3305" t="s">
        <v>1422</v>
      </c>
      <c r="F92" s="3306"/>
      <c r="G92" s="3306"/>
      <c r="H92" s="3307"/>
      <c r="I92" s="1681"/>
      <c r="J92" s="2307" t="s">
        <v>2286</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37</v>
      </c>
      <c r="D93" s="2361">
        <f>'数据-取费表'!B43</f>
        <v>6.000000000000001E-3</v>
      </c>
      <c r="E93" s="3305" t="s">
        <v>1406</v>
      </c>
      <c r="F93" s="3306"/>
      <c r="G93" s="3306"/>
      <c r="H93" s="330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 ca="1">ROUND((C87+C90+C91)*D94,0)</f>
        <v>1238</v>
      </c>
      <c r="D94" s="2361">
        <v>0.2</v>
      </c>
      <c r="E94" s="3350" t="s">
        <v>1426</v>
      </c>
      <c r="F94" s="3351"/>
      <c r="G94" s="3351"/>
      <c r="H94" s="335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2">
        <f ca="1">ROUND(C85-C86,0)</f>
        <v>-1973</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0</v>
      </c>
      <c r="D96" s="162"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3">
        <f ca="1">ROUND(IF(C95&lt;=0,0,IF(C96&gt;=200%,C95*60%-C86*35%,IF(C96&gt;=100%,C95*50%-C86*15%,IF(C96&gt;=50%,C95*40%-C86*5%,IF(C96&lt;50%,C95*30%,0))))),0)</f>
        <v>0</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3" t="s">
        <v>1428</v>
      </c>
      <c r="B100" s="3254"/>
      <c r="C100" s="3254"/>
      <c r="D100" s="3290"/>
      <c r="E100" s="3254" t="s">
        <v>1429</v>
      </c>
      <c r="F100" s="3254"/>
      <c r="G100" s="3254"/>
      <c r="H100" s="3290"/>
      <c r="I100" s="121"/>
    </row>
    <row r="101" spans="1:35" ht="18.75" customHeight="1">
      <c r="A101" s="3298" t="s">
        <v>1430</v>
      </c>
      <c r="B101" s="3299"/>
      <c r="C101" s="2369" t="str">
        <f>C4</f>
        <v>成本法</v>
      </c>
      <c r="D101" s="2370" t="str">
        <f>D4</f>
        <v>收益法</v>
      </c>
      <c r="E101" s="3268" t="s">
        <v>1431</v>
      </c>
      <c r="F101" s="3269"/>
      <c r="G101" s="1687" t="s">
        <v>1432</v>
      </c>
      <c r="H101" s="2379">
        <f ca="1">H118</f>
        <v>6416</v>
      </c>
      <c r="I101" s="121"/>
    </row>
    <row r="102" spans="1:35" ht="18.75" customHeight="1">
      <c r="A102" s="3300" t="s">
        <v>1433</v>
      </c>
      <c r="B102" s="2368" t="s">
        <v>1432</v>
      </c>
      <c r="C102" s="2369">
        <f ca="1">IF(D32="楼面单价",ROUND(C19,0),C19)</f>
        <v>7246</v>
      </c>
      <c r="D102" s="2370">
        <f ca="1">IF(D32="楼面单价",ROUND(D19,0),D19)</f>
        <v>4480</v>
      </c>
      <c r="E102" s="3268"/>
      <c r="F102" s="3269"/>
      <c r="G102" s="1687" t="s">
        <v>1434</v>
      </c>
      <c r="H102" s="2339">
        <f ca="1">I118</f>
        <v>29564</v>
      </c>
      <c r="I102" s="121"/>
    </row>
    <row r="103" spans="1:35" ht="42.75" customHeight="1">
      <c r="A103" s="3300"/>
      <c r="B103" s="2368" t="s">
        <v>1434</v>
      </c>
      <c r="C103" s="2371">
        <f ca="1">C20</f>
        <v>33389</v>
      </c>
      <c r="D103" s="2372">
        <f ca="1">D20</f>
        <v>20643</v>
      </c>
      <c r="E103" s="3261" t="s">
        <v>1435</v>
      </c>
      <c r="F103" s="3262"/>
      <c r="G103" s="1688" t="s">
        <v>1436</v>
      </c>
      <c r="H103" s="2379">
        <f>IF(D36="正常操作",H104+H105+H106,H105+H106)</f>
        <v>0</v>
      </c>
      <c r="I103" s="121"/>
    </row>
    <row r="104" spans="1:35" ht="18.75" customHeight="1">
      <c r="A104" s="3300" t="s">
        <v>1437</v>
      </c>
      <c r="B104" s="2373" t="s">
        <v>1432</v>
      </c>
      <c r="C104" s="2374">
        <f ca="1">H118</f>
        <v>6416</v>
      </c>
      <c r="D104" s="2375"/>
      <c r="E104" s="1555" t="s">
        <v>1438</v>
      </c>
      <c r="F104" s="1548"/>
      <c r="G104" s="1688" t="s">
        <v>1436</v>
      </c>
      <c r="H104" s="2380">
        <f>IF(D36="同一抵押权人同一抵押物续贷",C36&amp;"（续贷，未扣减，详见特别提示）",C36)</f>
        <v>0</v>
      </c>
      <c r="I104" s="121"/>
    </row>
    <row r="105" spans="1:35" ht="18.75" customHeight="1" thickBot="1">
      <c r="A105" s="3310"/>
      <c r="B105" s="2376" t="s">
        <v>1434</v>
      </c>
      <c r="C105" s="2377">
        <f ca="1">I118</f>
        <v>29564</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01" t="str">
        <f>IF(项目基本情况!E8="已注销","——","3.房地产抵押价值")</f>
        <v>3.房地产抵押价值</v>
      </c>
      <c r="F107" s="3269"/>
      <c r="G107" s="1687" t="s">
        <v>1432</v>
      </c>
      <c r="H107" s="2379">
        <f ca="1">IF(E107="——","——",H101-H103)</f>
        <v>6416</v>
      </c>
      <c r="I107" s="121"/>
    </row>
    <row r="108" spans="1:35" ht="18.75" customHeight="1">
      <c r="A108" s="121"/>
      <c r="B108" s="121"/>
      <c r="C108" s="121"/>
      <c r="D108" s="121"/>
      <c r="E108" s="3301"/>
      <c r="F108" s="3269"/>
      <c r="G108" s="1687" t="s">
        <v>1434</v>
      </c>
      <c r="H108" s="2339">
        <f ca="1">IF(H107=H101,H102,ROUND(H107*10000/'数据-汇总表'!E3,0))</f>
        <v>29564</v>
      </c>
      <c r="I108" s="121"/>
    </row>
    <row r="109" spans="1:35" ht="18.75" customHeight="1">
      <c r="A109" s="121"/>
      <c r="B109" s="121"/>
      <c r="C109" s="121"/>
      <c r="D109" s="121"/>
      <c r="E109" s="3301" t="str">
        <f>IF(项目基本情况!E8="已注销及未注销","4.抵押担保权已注销时的房地产抵押价值",IF(项目基本情况!E8="已注销","3.抵押担保权已注销时的房地产抵押价值","——"))</f>
        <v>——</v>
      </c>
      <c r="F109" s="3269"/>
      <c r="G109" s="1687" t="s">
        <v>1432</v>
      </c>
      <c r="H109" s="2382" t="str">
        <f>IF(E109="——","——",H101-H105-H106)</f>
        <v>——</v>
      </c>
      <c r="I109" s="121"/>
    </row>
    <row r="110" spans="1:35" ht="18.75" customHeight="1">
      <c r="A110" s="121"/>
      <c r="B110" s="121"/>
      <c r="C110" s="121"/>
      <c r="D110" s="121"/>
      <c r="E110" s="3301"/>
      <c r="F110" s="3269"/>
      <c r="G110" s="1687" t="s">
        <v>1434</v>
      </c>
      <c r="H110" s="2339" t="str">
        <f>IF(H109="——","——",ROUND(H109*10000/'数据-汇总表'!E3,0))</f>
        <v>——</v>
      </c>
      <c r="I110" s="121"/>
    </row>
    <row r="111" spans="1:35" ht="18.75" customHeight="1">
      <c r="A111" s="121"/>
      <c r="B111" s="121"/>
      <c r="C111" s="121"/>
      <c r="D111" s="121"/>
      <c r="E111" s="3302" t="str">
        <f>IF(项目基本情况!E9="抵押净值",IF(OR(项目基本情况!E8="已注销",项目基本情况!E8="房地产抵押价值"),"4.抵押净值","5.抵押净值"),"——")</f>
        <v>4.抵押净值</v>
      </c>
      <c r="F111" s="3288"/>
      <c r="G111" s="1687" t="s">
        <v>1432</v>
      </c>
      <c r="H111" s="2379">
        <f ca="1">IF(E111="——","——",N59)</f>
        <v>6071</v>
      </c>
      <c r="I111" s="121"/>
      <c r="J111" s="684">
        <f ca="1">H111/L18*10000</f>
        <v>27974.3802414524</v>
      </c>
    </row>
    <row r="112" spans="1:35" ht="18.75" customHeight="1" thickBot="1">
      <c r="A112" s="121"/>
      <c r="B112" s="121"/>
      <c r="C112" s="121"/>
      <c r="D112" s="121"/>
      <c r="E112" s="3303"/>
      <c r="F112" s="3304"/>
      <c r="G112" s="1690" t="s">
        <v>1434</v>
      </c>
      <c r="H112" s="2383">
        <f ca="1">IF(E111="——","——",N61)</f>
        <v>27974</v>
      </c>
      <c r="I112" s="121"/>
    </row>
    <row r="113" spans="1:27" ht="18.75" customHeight="1">
      <c r="A113" s="121"/>
      <c r="B113" s="121"/>
      <c r="C113" s="121"/>
      <c r="D113" s="121"/>
      <c r="E113" s="3311" t="s">
        <v>1440</v>
      </c>
      <c r="F113" s="3311"/>
      <c r="G113" s="3311"/>
      <c r="H113" s="3311"/>
      <c r="I113" s="121"/>
    </row>
    <row r="114" spans="1:27" ht="3.75" customHeight="1">
      <c r="A114" s="646"/>
      <c r="B114" s="646"/>
      <c r="C114" s="646"/>
      <c r="D114" s="646"/>
      <c r="E114" s="1671"/>
      <c r="F114" s="1671"/>
      <c r="G114" s="1671"/>
      <c r="H114" s="1671"/>
      <c r="I114" s="646"/>
    </row>
    <row r="115" spans="1:27" ht="18.75" customHeight="1">
      <c r="A115" s="3319" t="s">
        <v>1442</v>
      </c>
      <c r="B115" s="3320"/>
      <c r="C115" s="3320"/>
      <c r="D115" s="3320"/>
      <c r="E115" s="3320"/>
      <c r="F115" s="3320"/>
      <c r="G115" s="3320"/>
      <c r="H115" s="3320"/>
      <c r="I115" s="3321"/>
    </row>
    <row r="116" spans="1:27" ht="27" customHeight="1">
      <c r="A116" s="3276" t="s">
        <v>1443</v>
      </c>
      <c r="B116" s="3280" t="s">
        <v>1444</v>
      </c>
      <c r="C116" s="3280" t="s">
        <v>1445</v>
      </c>
      <c r="D116" s="3286" t="s">
        <v>1446</v>
      </c>
      <c r="E116" s="3287"/>
      <c r="F116" s="3318" t="s">
        <v>1447</v>
      </c>
      <c r="G116" s="3318"/>
      <c r="H116" s="3276" t="s">
        <v>1448</v>
      </c>
      <c r="I116" s="3276"/>
    </row>
    <row r="117" spans="1:27" ht="18.75" customHeight="1">
      <c r="A117" s="3276"/>
      <c r="B117" s="3281"/>
      <c r="C117" s="3281"/>
      <c r="D117" s="2150" t="s">
        <v>1449</v>
      </c>
      <c r="E117" s="2150" t="s">
        <v>1450</v>
      </c>
      <c r="F117" s="2150" t="s">
        <v>1449</v>
      </c>
      <c r="G117" s="2150" t="s">
        <v>1451</v>
      </c>
      <c r="H117" s="2150" t="s">
        <v>1449</v>
      </c>
      <c r="I117" s="2150" t="s">
        <v>1451</v>
      </c>
    </row>
    <row r="118" spans="1:27" ht="24.75" customHeight="1">
      <c r="A118" s="2384" t="str">
        <f>项目基本情况!S2</f>
        <v>北京市丰台区角门东里11号楼房地产</v>
      </c>
      <c r="B118" s="2150">
        <f>M18</f>
        <v>2170.1999999999998</v>
      </c>
      <c r="C118" s="2150">
        <f>M19</f>
        <v>1778.06</v>
      </c>
      <c r="D118" s="2150">
        <f ca="1">ROUND(IF(D32="总价",C34,E118*B118/10000),0)</f>
        <v>5178</v>
      </c>
      <c r="E118" s="2150">
        <f ca="1">ROUND(IF(C33="自定义",IF(D32="楼面单价",C34,D118*10000/B118),I118-G118),0)</f>
        <v>23859</v>
      </c>
      <c r="F118" s="2150">
        <f ca="1">ROUND(IF(D32="总价",C35,G118*B118/10000),0)</f>
        <v>1238</v>
      </c>
      <c r="G118" s="2150">
        <f ca="1">ROUND(IF(D32="楼面单价",C35,F118*10000/B118),0)</f>
        <v>5705</v>
      </c>
      <c r="H118" s="2150">
        <f ca="1">ROUND(IF(D32="总价",C32,I118*B118/10000),0)</f>
        <v>6416</v>
      </c>
      <c r="I118" s="2150">
        <f ca="1">ROUND(IF(D32="楼面单价",C32,H118*10000/B118),0)</f>
        <v>29564</v>
      </c>
    </row>
    <row r="119" spans="1:27" ht="18.75" customHeight="1">
      <c r="A119" s="3276" t="s">
        <v>1452</v>
      </c>
      <c r="B119" s="3276"/>
      <c r="C119" s="3276"/>
      <c r="D119" s="3282" t="str">
        <f ca="1">NUMBERSTRING(INT(D118*10000),2)&amp;"元整"</f>
        <v>伍仟壹佰柒拾捌万元整</v>
      </c>
      <c r="E119" s="3283"/>
      <c r="F119" s="3282" t="str">
        <f ca="1">NUMBERSTRING(INT(F118*10000),2)&amp;"元整"</f>
        <v>壹仟贰佰叁拾捌万元整</v>
      </c>
      <c r="G119" s="3283"/>
      <c r="H119" s="3282" t="str">
        <f ca="1">NUMBERSTRING(INT(H118*10000),2)&amp;"元整"</f>
        <v>陆仟肆佰壹拾陆万元整</v>
      </c>
      <c r="I119" s="3283"/>
    </row>
    <row r="120" spans="1:27" ht="18.75" customHeight="1">
      <c r="A120" s="3277" t="str">
        <f>IF(项目基本情况!B9="房地产市场价值","",MID(E103,3,LEN(E103)-2))</f>
        <v>估价师知悉的法定优先受偿款</v>
      </c>
      <c r="B120" s="3278"/>
      <c r="C120" s="3279"/>
      <c r="D120" s="3277">
        <f>H103</f>
        <v>0</v>
      </c>
      <c r="E120" s="3278"/>
      <c r="F120" s="3278"/>
      <c r="G120" s="3278"/>
      <c r="H120" s="3278"/>
      <c r="I120" s="327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2" t="s">
        <v>1452</v>
      </c>
      <c r="B121" s="3284"/>
      <c r="C121" s="3283"/>
      <c r="D121" s="3282" t="str">
        <f>IF(D120=0,"零元整",NUMBERSTRING(INT(D120*10000),2)&amp;"元整")</f>
        <v>零元整</v>
      </c>
      <c r="E121" s="3284"/>
      <c r="F121" s="3284"/>
      <c r="G121" s="3284"/>
      <c r="H121" s="3284"/>
      <c r="I121" s="3283"/>
      <c r="AA121" s="684"/>
    </row>
    <row r="122" spans="1:27" ht="18.75" customHeight="1">
      <c r="A122" s="3288" t="str">
        <f>IF(项目基本情况!B9="房地产市场价值","",MID(E107,3,LEN(E107)-2))</f>
        <v>房地产抵押价值</v>
      </c>
      <c r="B122" s="3288"/>
      <c r="C122" s="3288"/>
      <c r="D122" s="3277">
        <f ca="1">H107</f>
        <v>6416</v>
      </c>
      <c r="E122" s="3278"/>
      <c r="F122" s="3278"/>
      <c r="G122" s="3278"/>
      <c r="H122" s="3278"/>
      <c r="I122" s="3279"/>
      <c r="AA122" s="684"/>
    </row>
    <row r="123" spans="1:27" ht="18.75" customHeight="1">
      <c r="A123" s="3276" t="s">
        <v>1452</v>
      </c>
      <c r="B123" s="3276"/>
      <c r="C123" s="3276"/>
      <c r="D123" s="3282" t="str">
        <f ca="1">NUMBERSTRING(INT(D122*10000),2)&amp;"元整"</f>
        <v>陆仟肆佰壹拾陆万元整</v>
      </c>
      <c r="E123" s="3284"/>
      <c r="F123" s="3284"/>
      <c r="G123" s="3284"/>
      <c r="H123" s="3284"/>
      <c r="I123" s="3283"/>
      <c r="AA123" s="684"/>
    </row>
    <row r="124" spans="1:27" ht="18.75" customHeight="1">
      <c r="A124" s="3288" t="str">
        <f>IF(项目基本情况!B9="房地产市场价值","",MID(E109,3,LEN(E109)-2))</f>
        <v/>
      </c>
      <c r="B124" s="3288"/>
      <c r="C124" s="3288"/>
      <c r="D124" s="3277" t="str">
        <f>H109</f>
        <v>——</v>
      </c>
      <c r="E124" s="3278"/>
      <c r="F124" s="3278"/>
      <c r="G124" s="3278"/>
      <c r="H124" s="3278"/>
      <c r="I124" s="3279"/>
      <c r="AA124" s="684"/>
    </row>
    <row r="125" spans="1:27" ht="18.75" customHeight="1">
      <c r="A125" s="3276" t="s">
        <v>1452</v>
      </c>
      <c r="B125" s="3276"/>
      <c r="C125" s="3276"/>
      <c r="D125" s="3282" t="e">
        <f>NUMBERSTRING(INT(D124*10000),2)&amp;"元整"</f>
        <v>#VALUE!</v>
      </c>
      <c r="E125" s="3284"/>
      <c r="F125" s="3284"/>
      <c r="G125" s="3284"/>
      <c r="H125" s="3284"/>
      <c r="I125" s="3283"/>
      <c r="AA125" s="684"/>
    </row>
    <row r="126" spans="1:27" ht="18.75" customHeight="1">
      <c r="A126" s="3288" t="str">
        <f>IF(项目基本情况!B9="房地产市场价值","",MID(E111,3,LEN(E111)-2))</f>
        <v>抵押净值</v>
      </c>
      <c r="B126" s="3288"/>
      <c r="C126" s="3288"/>
      <c r="D126" s="3277">
        <f ca="1">H111</f>
        <v>6071</v>
      </c>
      <c r="E126" s="3278"/>
      <c r="F126" s="3278"/>
      <c r="G126" s="3278"/>
      <c r="H126" s="3278"/>
      <c r="I126" s="3279"/>
      <c r="AA126" s="684"/>
    </row>
    <row r="127" spans="1:27" ht="18.75" customHeight="1">
      <c r="A127" s="3276" t="s">
        <v>1452</v>
      </c>
      <c r="B127" s="3276"/>
      <c r="C127" s="3276"/>
      <c r="D127" s="3282" t="str">
        <f ca="1">NUMBERSTRING(INT(D126*10000),2)&amp;"元整"</f>
        <v>陆仟零柒拾壹万元整</v>
      </c>
      <c r="E127" s="3284"/>
      <c r="F127" s="3284"/>
      <c r="G127" s="3284"/>
      <c r="H127" s="3284"/>
      <c r="I127" s="3283"/>
      <c r="AA127" s="684"/>
    </row>
    <row r="128" spans="1:27" ht="21.75" customHeight="1">
      <c r="A128" s="3285" t="s">
        <v>1453</v>
      </c>
      <c r="B128" s="3285"/>
      <c r="C128" s="3285"/>
      <c r="D128" s="3285"/>
      <c r="E128" s="3285"/>
      <c r="F128" s="3285"/>
      <c r="G128" s="3285"/>
      <c r="H128" s="3285"/>
      <c r="I128" s="3285"/>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148" priority="3" stopIfTrue="1">
      <formula>$H$88&lt;&gt;"仅含出让金"</formula>
    </cfRule>
  </conditionalFormatting>
  <conditionalFormatting sqref="C91">
    <cfRule type="expression" dxfId="147" priority="2" stopIfTrue="1">
      <formula>$H$91="由企业提供"</formula>
    </cfRule>
  </conditionalFormatting>
  <conditionalFormatting sqref="C5:D7">
    <cfRule type="cellIs" dxfId="146" priority="10" stopIfTrue="1" operator="equal">
      <formula>25</formula>
    </cfRule>
  </conditionalFormatting>
  <conditionalFormatting sqref="C8:D13">
    <cfRule type="cellIs" dxfId="145" priority="8" stopIfTrue="1" operator="equal">
      <formula>15</formula>
    </cfRule>
  </conditionalFormatting>
  <conditionalFormatting sqref="C14:D16">
    <cfRule type="cellIs" dxfId="144" priority="6" stopIfTrue="1" operator="equal">
      <formula>30</formula>
    </cfRule>
  </conditionalFormatting>
  <conditionalFormatting sqref="E36">
    <cfRule type="expression" dxfId="143"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71" t="str">
        <f>项目基本情况!B1</f>
        <v>北京市丰台区角门东里11号楼房地产抵押价值预评估</v>
      </c>
      <c r="C37" s="3171"/>
      <c r="D37" s="3171"/>
      <c r="E37" s="3171"/>
      <c r="F37" s="3171"/>
      <c r="G37" s="3171"/>
      <c r="H37" s="3171"/>
      <c r="I37" s="3171"/>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吴薇（注册号：1419970001)、郑燚（注册号：1120070131)</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8" zoomScaleNormal="80" zoomScaleSheetLayoutView="100" workbookViewId="0">
      <selection activeCell="J65" sqref="J65"/>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2170.1999999999998</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4073</v>
      </c>
      <c r="C2" s="1846" t="s">
        <v>1935</v>
      </c>
      <c r="D2" s="162" t="s">
        <v>1936</v>
      </c>
      <c r="E2" s="3118" t="s">
        <v>21</v>
      </c>
      <c r="F2" s="162" t="s">
        <v>1937</v>
      </c>
      <c r="G2" s="163" t="str">
        <f>IF(E2="商业",项目基本情况!B37,IF(E2="办公",项目基本情况!C37,IF(E2="住宅",项目基本情况!D37,IF(E2="工业",项目基本情况!E37,项目基本情况!F37))))</f>
        <v>四级</v>
      </c>
      <c r="H2" s="162" t="s">
        <v>1938</v>
      </c>
      <c r="I2" s="163" t="str">
        <f>IF(E2="商业",项目基本情况!B38,IF(E2="办公",项目基本情况!C38,IF(E2="住宅",项目基本情况!D38,IF(E2="工业",项目基本情况!E38,项目基本情况!F38))))</f>
        <v>Ⅳ-12</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1.5019</v>
      </c>
      <c r="T2" s="3061">
        <f t="shared" ref="T2:T16" si="0">ROUND($C$5*$C$22*$C$23*$C$24*S2*$C$28,0)</f>
        <v>24072</v>
      </c>
      <c r="U2" s="1130"/>
      <c r="V2" s="3061">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18768</v>
      </c>
      <c r="C3" s="1846" t="s">
        <v>1941</v>
      </c>
      <c r="D3" s="162" t="s">
        <v>1942</v>
      </c>
      <c r="E3" s="3116" t="s">
        <v>3441</v>
      </c>
      <c r="F3" s="1848" t="s">
        <v>3428</v>
      </c>
      <c r="G3" s="708">
        <f>IF(F3="宗地容积率",'数据-汇总表'!I4,IF(F3="估价对象容积率",'数据-汇总表'!I6,'数据-汇总表'!I7))</f>
        <v>1.22</v>
      </c>
      <c r="H3" s="162" t="s">
        <v>1943</v>
      </c>
      <c r="I3" s="729">
        <v>1</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1.1838</v>
      </c>
      <c r="T3" s="3061">
        <f t="shared" si="0"/>
        <v>18974</v>
      </c>
      <c r="U3" s="1130"/>
      <c r="V3" s="3061">
        <f t="shared" ref="V3:V16" si="1">ROUND(T3*U3/10000,0)</f>
        <v>0</v>
      </c>
      <c r="W3" s="1133"/>
      <c r="X3" s="1133"/>
      <c r="Y3" s="1133"/>
      <c r="Z3" s="1133"/>
      <c r="AA3" s="1133"/>
      <c r="AB3" s="1133"/>
      <c r="AC3" s="1134"/>
      <c r="AD3" s="1135"/>
      <c r="AE3" s="1135"/>
      <c r="AF3" s="1135"/>
      <c r="AG3" s="1135"/>
      <c r="AH3" s="1135"/>
      <c r="AI3" s="1135"/>
      <c r="AJ3" s="1136"/>
    </row>
    <row r="4" spans="1:36" ht="15.6">
      <c r="A4" s="3362"/>
      <c r="B4" s="3363"/>
      <c r="C4" s="3363"/>
      <c r="D4" s="3364"/>
      <c r="E4" s="3364"/>
      <c r="F4" s="3364"/>
      <c r="G4" s="3364"/>
      <c r="H4" s="3364"/>
      <c r="I4" s="3364"/>
      <c r="J4" s="3365"/>
      <c r="K4" s="1056"/>
      <c r="L4" s="1847" t="s">
        <v>1946</v>
      </c>
      <c r="M4" s="811">
        <f>SUMPRODUCT((区片价!B55:B86=I2)*(区片价!C3:G3=E2)*(区片价!C55:G86))</f>
        <v>18340</v>
      </c>
      <c r="N4" s="813">
        <f>SUMPRODUCT((因素修正幅度!B55:B86=I2)*(因素修正幅度!C3:G3=E2)*(因素修正幅度!C55:G86))</f>
        <v>9.5000000000000001E-2</v>
      </c>
      <c r="O4" s="1056"/>
      <c r="P4" s="1056"/>
      <c r="Q4" s="1056"/>
      <c r="R4" s="1129">
        <v>3</v>
      </c>
      <c r="S4" s="3061">
        <f>ROUND(SUMPRODUCT((B106:B110=R4)*(C105:N105=G2)*(C106:N110)),4)</f>
        <v>1.0004999999999999</v>
      </c>
      <c r="T4" s="3061">
        <f t="shared" si="0"/>
        <v>16036</v>
      </c>
      <c r="U4" s="1130"/>
      <c r="V4" s="3061">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18870</v>
      </c>
      <c r="D5" s="1252">
        <f>ROUND(C6*C17+C20,0)</f>
        <v>18320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0.88239999999999996</v>
      </c>
      <c r="T5" s="3061">
        <f t="shared" si="0"/>
        <v>14143</v>
      </c>
      <c r="U5" s="1130"/>
      <c r="V5" s="3061">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18340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0.84799999999999998</v>
      </c>
      <c r="T6" s="3061">
        <f t="shared" si="0"/>
        <v>13592</v>
      </c>
      <c r="U6" s="1130"/>
      <c r="V6" s="3061">
        <f t="shared" si="1"/>
        <v>0</v>
      </c>
      <c r="W6" s="1133"/>
      <c r="X6" s="1133"/>
      <c r="Y6" s="1133"/>
      <c r="Z6" s="1133"/>
      <c r="AA6" s="1133"/>
      <c r="AB6" s="1133"/>
      <c r="AC6" s="1855"/>
      <c r="AD6" s="1856"/>
      <c r="AE6" s="1856"/>
      <c r="AF6" s="1856"/>
      <c r="AG6" s="1856"/>
      <c r="AH6" s="1856"/>
      <c r="AI6" s="1856"/>
      <c r="AJ6" s="1857"/>
    </row>
    <row r="7" spans="1:36" ht="24.6" thickBot="1">
      <c r="A7" s="3010" t="s">
        <v>3233</v>
      </c>
      <c r="B7" s="1865" t="s">
        <v>1952</v>
      </c>
      <c r="C7" s="711">
        <f>IF(C8="不临65条商业街",1,ROUND(1+(1.6*E8+1.2*E9+0.8*E10+0.4*E11)*C9,4))</f>
        <v>1</v>
      </c>
      <c r="D7" s="1866" t="s">
        <v>1953</v>
      </c>
      <c r="E7" s="730">
        <v>100</v>
      </c>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f t="shared" si="0"/>
        <v>0</v>
      </c>
      <c r="U7" s="1130"/>
      <c r="V7" s="3061">
        <f t="shared" si="1"/>
        <v>0</v>
      </c>
      <c r="W7" s="1267" t="s">
        <v>1955</v>
      </c>
      <c r="X7" s="1131" t="str">
        <f>G2</f>
        <v>四级</v>
      </c>
      <c r="Y7" s="1131" t="s">
        <v>1956</v>
      </c>
      <c r="Z7" s="1132">
        <f>G3</f>
        <v>1.22</v>
      </c>
      <c r="AA7" s="1133"/>
      <c r="AB7" s="1133"/>
      <c r="AC7" s="1134"/>
      <c r="AD7" s="1135"/>
      <c r="AE7" s="1135"/>
      <c r="AF7" s="1135"/>
      <c r="AG7" s="1135"/>
      <c r="AH7" s="1135"/>
      <c r="AI7" s="1135"/>
      <c r="AJ7" s="1136"/>
    </row>
    <row r="8" spans="1:36" ht="26.4">
      <c r="A8" s="3007"/>
      <c r="B8" s="162" t="s">
        <v>1957</v>
      </c>
      <c r="C8" s="1870" t="s">
        <v>3453</v>
      </c>
      <c r="D8" s="712" t="s">
        <v>112</v>
      </c>
      <c r="E8" s="713">
        <f>ROUND(C11/E7,4)</f>
        <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f t="shared" si="0"/>
        <v>0</v>
      </c>
      <c r="U8" s="1130"/>
      <c r="V8" s="3061">
        <f t="shared" si="1"/>
        <v>0</v>
      </c>
      <c r="W8" s="3359" t="s">
        <v>1960</v>
      </c>
      <c r="X8" s="3360"/>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SUMIF(修正!C71:C138,C8,修正!E71:E138)</f>
        <v>0</v>
      </c>
      <c r="D9" s="163" t="s">
        <v>113</v>
      </c>
      <c r="E9" s="163">
        <f>ROUND(C11/E7,4)</f>
        <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f t="shared" si="0"/>
        <v>0</v>
      </c>
      <c r="U9" s="1130"/>
      <c r="V9" s="3061">
        <f t="shared" si="1"/>
        <v>0</v>
      </c>
      <c r="W9" s="3361"/>
      <c r="X9" s="3062" t="s">
        <v>3264</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f>ROUND(C11/E7,4)</f>
        <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361"/>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4" t="s">
        <v>1979</v>
      </c>
      <c r="C11" s="715">
        <f>C10/4</f>
        <v>0</v>
      </c>
      <c r="D11" s="715" t="s">
        <v>115</v>
      </c>
      <c r="E11" s="715">
        <f>ROUND(C11/E7,4)</f>
        <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5.8" thickBot="1">
      <c r="A12" s="3010" t="s">
        <v>3234</v>
      </c>
      <c r="B12" s="3011" t="s">
        <v>3235</v>
      </c>
      <c r="C12" s="3012">
        <v>1.03</v>
      </c>
      <c r="D12" s="3013" t="s">
        <v>3236</v>
      </c>
      <c r="E12" s="3014" t="s">
        <v>3237</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24.6" thickBot="1">
      <c r="A13" s="3010" t="s">
        <v>3238</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24">
      <c r="A14" s="3006"/>
      <c r="B14" s="1883" t="s">
        <v>1985</v>
      </c>
      <c r="C14" s="1884" t="s">
        <v>1986</v>
      </c>
      <c r="D14" s="1261" t="s">
        <v>1987</v>
      </c>
      <c r="E14" s="27" t="s">
        <v>1988</v>
      </c>
      <c r="F14" s="3018" t="s">
        <v>3239</v>
      </c>
      <c r="G14" s="3018" t="s">
        <v>3239</v>
      </c>
      <c r="H14" s="3018" t="s">
        <v>3239</v>
      </c>
      <c r="I14" s="3018" t="s">
        <v>3239</v>
      </c>
      <c r="J14" s="3018" t="s">
        <v>3239</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3240</v>
      </c>
      <c r="G15" s="1928"/>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ht="24">
      <c r="A17" s="3033" t="s">
        <v>3241</v>
      </c>
      <c r="B17" s="3025" t="s">
        <v>3242</v>
      </c>
      <c r="C17" s="3034">
        <f>ROUND(IF(OR(E2="工业",E2="公共服务"),1,IF(AND(E18=0,E19=0),1,IF(AND(E18=J24,E19=G19),0.8,IF(E19=0,1+E17*(-0.2),1+E17*G17*(-0.2))))),4)</f>
        <v>1</v>
      </c>
      <c r="D17" s="3026" t="s">
        <v>3243</v>
      </c>
      <c r="E17" s="3034">
        <f>ROUND(G18/I18,2)</f>
        <v>0</v>
      </c>
      <c r="F17" s="3026" t="s">
        <v>3246</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6"/>
      <c r="B18" s="2308"/>
      <c r="C18" s="3032"/>
      <c r="D18" s="3027" t="s">
        <v>3244</v>
      </c>
      <c r="E18" s="2355"/>
      <c r="F18" s="3028" t="s">
        <v>3247</v>
      </c>
      <c r="G18" s="3032">
        <f>ROUND(1-(1/(POWER(1+G24,E18))),4)</f>
        <v>0</v>
      </c>
      <c r="H18" s="3028" t="s">
        <v>3249</v>
      </c>
      <c r="I18" s="3032">
        <f>ROUND(1-(1/(POWER(1+G24,J24))),4)</f>
        <v>0.93120000000000003</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4.4" thickBot="1">
      <c r="A19" s="3038"/>
      <c r="B19" s="3039"/>
      <c r="C19" s="3040"/>
      <c r="D19" s="3040" t="s">
        <v>3245</v>
      </c>
      <c r="E19" s="3041"/>
      <c r="F19" s="3042" t="s">
        <v>3248</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3.8">
      <c r="A20" s="3366" t="s">
        <v>3250</v>
      </c>
      <c r="B20" s="159" t="s">
        <v>1994</v>
      </c>
      <c r="C20" s="3029">
        <f>ROUND(IF(F21="与级别开发程度一致",0,(G21-E21)/C21),0)</f>
        <v>-20</v>
      </c>
      <c r="D20" s="3044" t="s">
        <v>1998</v>
      </c>
      <c r="E20" s="3045"/>
      <c r="F20" s="3372" t="s">
        <v>1995</v>
      </c>
      <c r="G20" s="3373"/>
      <c r="H20" s="3030" t="s">
        <v>3414</v>
      </c>
      <c r="I20" s="3030" t="s">
        <v>3415</v>
      </c>
      <c r="J20" s="3031" t="s">
        <v>3416</v>
      </c>
      <c r="K20" s="1889" t="s">
        <v>3417</v>
      </c>
      <c r="L20" s="1889" t="s">
        <v>3418</v>
      </c>
      <c r="M20" s="1889" t="s">
        <v>3420</v>
      </c>
      <c r="N20" s="1889" t="s">
        <v>3419</v>
      </c>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7" thickBot="1">
      <c r="A21" s="3367"/>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3430</v>
      </c>
      <c r="G21" s="1995">
        <f>SUM(H21:O21)</f>
        <v>265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40</v>
      </c>
      <c r="N21" s="2003">
        <f>SUMPRODUCT((七通一平=N20)*(修正!B1:M1=G2)*(修正!B8:M16))</f>
        <v>15</v>
      </c>
      <c r="O21" s="2005">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 thickBot="1">
      <c r="A22" s="1996" t="s">
        <v>363</v>
      </c>
      <c r="B22" s="1997" t="s">
        <v>2000</v>
      </c>
      <c r="C22" s="1998">
        <f>SUMIF(修正!C20:C51,E3,修正!E20:E51)</f>
        <v>1</v>
      </c>
      <c r="D22" s="1999"/>
      <c r="E22" s="2000"/>
      <c r="F22" s="2000"/>
      <c r="G22" s="2000"/>
      <c r="H22" s="2000"/>
      <c r="I22" s="2000"/>
      <c r="J22" s="2001"/>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1896" t="s">
        <v>2002</v>
      </c>
      <c r="E23" s="717">
        <v>44197</v>
      </c>
      <c r="F23" s="1896" t="s">
        <v>2003</v>
      </c>
      <c r="G23" s="718">
        <f>'数据-取费表'!B2</f>
        <v>45772</v>
      </c>
      <c r="H23" s="3046" t="s">
        <v>3252</v>
      </c>
      <c r="I23" s="3047" t="str">
        <f>IF(H23="季度增幅（自定义）",SUMIF(N25:N28,E2,O25:O28),"")</f>
        <v/>
      </c>
      <c r="J23" s="3139" t="s">
        <v>3251</v>
      </c>
      <c r="K23" s="1061"/>
      <c r="L23" s="1897" t="s">
        <v>2004</v>
      </c>
      <c r="M23" s="1241">
        <f>ROUND(SUMIF(地价!B2:G2,E2,地价!B16:G16),0)</f>
        <v>350</v>
      </c>
      <c r="N23" s="1898" t="s">
        <v>2005</v>
      </c>
      <c r="O23" s="719">
        <f>ROUNDDOWN(DATEDIF(E23,G23,"M")/3,0)</f>
        <v>17</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0.81510000000000005</v>
      </c>
      <c r="D24" s="1902" t="s">
        <v>2007</v>
      </c>
      <c r="E24" s="1248">
        <f>存贷款利率!E27/100</f>
        <v>4.3499999999999997E-2</v>
      </c>
      <c r="F24" s="1902" t="s">
        <v>1999</v>
      </c>
      <c r="G24" s="724">
        <f>SUMIF(M30:Q30,E2,M33:Q33)</f>
        <v>5.5E-2</v>
      </c>
      <c r="H24" s="1902" t="s">
        <v>2008</v>
      </c>
      <c r="I24" s="725">
        <f>SUMIF('数据-取费表'!C6:C15,E2,'数据-取费表'!F6:F15)/COUNTIF('数据-取费表'!C6:C15,E2)</f>
        <v>26.58</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4.4">
      <c r="A25" s="1907" t="s">
        <v>366</v>
      </c>
      <c r="B25" s="1908" t="s">
        <v>3331</v>
      </c>
      <c r="C25" s="461">
        <f>IF(B25="容积率修正",IF(G3&lt;10,D26,J26),C27)</f>
        <v>1.171</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3253</v>
      </c>
      <c r="D26" s="1263">
        <f>IF(E26=G26,F26,IF(G3&lt;10,ROUND(F26+(H26-F26)*(G3-E26)/(G26-E26),4),"——"))</f>
        <v>1.171</v>
      </c>
      <c r="E26" s="708">
        <f>ROUNDDOWN(G3,1)</f>
        <v>1.2</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1.1748000000000001</v>
      </c>
      <c r="G26" s="708">
        <f>ROUNDUP(G3,1)</f>
        <v>1.3</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1.1559999999999999</v>
      </c>
      <c r="I26" s="1912" t="s">
        <v>3254</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1.5019</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1.0511999999999999</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4073</v>
      </c>
      <c r="D30" s="1925"/>
      <c r="E30" s="1842"/>
      <c r="F30" s="1926"/>
      <c r="G30" s="1842"/>
      <c r="H30" s="1842"/>
      <c r="I30" s="1842"/>
      <c r="J30" s="1927"/>
      <c r="K30" s="1056"/>
      <c r="L30" s="3053" t="s">
        <v>1936</v>
      </c>
      <c r="M30" s="3054" t="s">
        <v>1990</v>
      </c>
      <c r="N30" s="3054" t="s">
        <v>1991</v>
      </c>
      <c r="O30" s="3054" t="s">
        <v>1992</v>
      </c>
      <c r="P30" s="3054" t="s">
        <v>1993</v>
      </c>
      <c r="Q30" s="3057" t="s">
        <v>3258</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18769</v>
      </c>
      <c r="D33" s="1940">
        <f>'数据-汇总表'!F19</f>
        <v>2170.1999999999998</v>
      </c>
      <c r="E33" s="727">
        <f>ROUND(C33*D33/10000,0)</f>
        <v>4073</v>
      </c>
      <c r="F33" s="3048" t="s">
        <v>3256</v>
      </c>
      <c r="G33" s="1941"/>
      <c r="H33" s="1941"/>
      <c r="I33" s="1941"/>
      <c r="J33" s="1942"/>
      <c r="K33" s="1056"/>
      <c r="L33" s="3051" t="s">
        <v>3259</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4692</v>
      </c>
      <c r="D34" s="1945"/>
      <c r="E34" s="727">
        <f>ROUND(IF(B25="楼层修正",SUM(V2:V16)*M40,C34*D34/10000),0)</f>
        <v>0</v>
      </c>
      <c r="F34" s="1946" t="s">
        <v>2032</v>
      </c>
      <c r="G34" s="1947"/>
      <c r="H34" s="1947"/>
      <c r="I34" s="1947"/>
      <c r="J34" s="1948"/>
      <c r="K34" s="1056"/>
      <c r="L34" s="3051" t="s">
        <v>3260</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3257</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3261</v>
      </c>
      <c r="L36" s="3140">
        <f ca="1">'数据-取费表'!B40</f>
        <v>3.1E-2</v>
      </c>
      <c r="M36" s="2364">
        <f ca="1">ROUND($L$36*(1+M31),3)</f>
        <v>3.9E-2</v>
      </c>
      <c r="N36" s="2364">
        <f ca="1">ROUND($L$36*(1+N31),3)</f>
        <v>3.6999999999999998E-2</v>
      </c>
      <c r="O36" s="2364">
        <f ca="1">ROUND($L$36*(1+O31),3)</f>
        <v>3.5999999999999997E-2</v>
      </c>
      <c r="P36" s="2364">
        <f ca="1">ROUND($L$36*(1+P31),3)</f>
        <v>3.4000000000000002E-2</v>
      </c>
      <c r="Q36" s="2364">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370"/>
      <c r="B37" s="1955" t="s">
        <v>2036</v>
      </c>
      <c r="C37" s="167">
        <f>ROUND(D5*C22*C23*C24*C28*F37,0)</f>
        <v>9336</v>
      </c>
      <c r="D37" s="1940">
        <f>'数据-汇总表'!F20</f>
        <v>0</v>
      </c>
      <c r="E37" s="163">
        <f>ROUND(C37*D37/10000,0)</f>
        <v>0</v>
      </c>
      <c r="F37" s="163">
        <f>SUMIF(修正!A57:A68,G2,修正!B57:B68)</f>
        <v>0.6</v>
      </c>
      <c r="G37" s="163">
        <f>ROUND(IF(E2="工业",C37*$M$42,C37*$M$41),0)</f>
        <v>2334</v>
      </c>
      <c r="H37" s="163">
        <f>D37</f>
        <v>0</v>
      </c>
      <c r="I37" s="163">
        <f>ROUND(G37*H37/10000,0)</f>
        <v>0</v>
      </c>
      <c r="J37" s="2752"/>
      <c r="K37" s="3059" t="s">
        <v>3262</v>
      </c>
      <c r="L37" s="1964">
        <f ca="1">L36+K38</f>
        <v>3.5999999999999997E-2</v>
      </c>
      <c r="M37" s="2364">
        <f ca="1">ROUND($L$37*(1+M31),3)</f>
        <v>4.4999999999999998E-2</v>
      </c>
      <c r="N37" s="2364">
        <f t="shared" ref="N37:Q37" ca="1" si="3">ROUND($L$37*(1+N31),3)</f>
        <v>4.2999999999999997E-2</v>
      </c>
      <c r="O37" s="2364">
        <f t="shared" ca="1" si="3"/>
        <v>4.1000000000000002E-2</v>
      </c>
      <c r="P37" s="2364">
        <f t="shared" ca="1" si="3"/>
        <v>0.04</v>
      </c>
      <c r="Q37" s="2364">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71"/>
      <c r="B38" s="1884" t="s">
        <v>2037</v>
      </c>
      <c r="C38" s="167">
        <f>ROUND(D5*C22*C23*C24*C28*F38,0)</f>
        <v>4668</v>
      </c>
      <c r="D38" s="1940"/>
      <c r="E38" s="163">
        <f t="shared" ref="E38:E42" si="4">ROUND(C38*D38/10000,0)</f>
        <v>0</v>
      </c>
      <c r="F38" s="163">
        <f>SUMIF(修正!A57:A68,G2,修正!C57:C68)</f>
        <v>0.3</v>
      </c>
      <c r="G38" s="163">
        <f>ROUND(IF(E2="工业",C38*$M$42,C38*$M$41),0)</f>
        <v>1167</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371"/>
      <c r="B39" s="1884" t="s">
        <v>3255</v>
      </c>
      <c r="C39" s="167">
        <f>ROUND(D5*C22*C23*C24*C28*F39,0)</f>
        <v>3890</v>
      </c>
      <c r="D39" s="1940"/>
      <c r="E39" s="163">
        <f t="shared" si="4"/>
        <v>0</v>
      </c>
      <c r="F39" s="163">
        <f>SUMIF(修正!A57:A68,G2,修正!D57:D68)</f>
        <v>0.25</v>
      </c>
      <c r="G39" s="163">
        <f>ROUND(IF(E2="工业",C39*$M$42,C39*$M$41),0)</f>
        <v>973</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3890</v>
      </c>
      <c r="D40" s="1940"/>
      <c r="E40" s="163">
        <f t="shared" si="4"/>
        <v>0</v>
      </c>
      <c r="F40" s="167">
        <f>SUMIF(修正!A57:A68,G2,修正!E57:E68)</f>
        <v>0.25</v>
      </c>
      <c r="G40" s="163">
        <f>ROUND(IF(E2="工业",C40*$M$42,C40*$M$41),0)</f>
        <v>973</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0" t="s">
        <v>3263</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1.0434000000000001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8" thickBot="1">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66" hidden="1">
      <c r="A50" s="1970" t="s">
        <v>2052</v>
      </c>
      <c r="B50" s="1973">
        <f>估价对象房地状况!C4</f>
        <v>0</v>
      </c>
      <c r="C50" s="1887" t="s">
        <v>3431</v>
      </c>
      <c r="D50" s="1002">
        <f t="shared" ref="D50:D58" si="7">SUMIF($J$49:$N$49,C50,J50:N50)</f>
        <v>1.21E-2</v>
      </c>
      <c r="E50" s="702">
        <f>ROUND(SUM(D50:D58),4)</f>
        <v>4.3400000000000001E-2</v>
      </c>
      <c r="F50" s="1675" t="str">
        <f>IF(E2="商业",SUMIF(L1:L12,G2,N1:N12),"——")</f>
        <v>——</v>
      </c>
      <c r="G50" s="1000">
        <v>1.21E-2</v>
      </c>
      <c r="H50" s="1003" t="str">
        <f t="shared" ref="H50:H58" si="8">IFERROR(ROUNDDOWN($F$50*I50/2,4),"——")</f>
        <v>——</v>
      </c>
      <c r="I50" s="3066">
        <v>0.3</v>
      </c>
      <c r="J50" s="1001">
        <f t="shared" ref="J50:J58" si="9">K50+$G50</f>
        <v>2.4199999999999999E-2</v>
      </c>
      <c r="K50" s="1001">
        <f t="shared" ref="K50:K58" si="10">$L50+$G50</f>
        <v>1.21E-2</v>
      </c>
      <c r="L50" s="1001">
        <v>0</v>
      </c>
      <c r="M50" s="1001">
        <f t="shared" ref="M50:N58" si="11">L50-$G50</f>
        <v>-1.21E-2</v>
      </c>
      <c r="N50" s="1001">
        <f t="shared" si="11"/>
        <v>-2.4199999999999999E-2</v>
      </c>
      <c r="AA50" s="1057"/>
      <c r="AB50" s="1057"/>
      <c r="AC50" s="1057"/>
      <c r="AD50" s="1057"/>
      <c r="AE50" s="1057"/>
      <c r="AF50" s="1057"/>
      <c r="AG50" s="1057"/>
      <c r="AH50" s="1057"/>
      <c r="AI50" s="1057"/>
      <c r="AJ50" s="1057"/>
      <c r="AK50" s="1057"/>
    </row>
    <row r="51" spans="1:37" s="1056" customFormat="1" ht="52.8" hidden="1">
      <c r="A51" s="1970" t="s">
        <v>2053</v>
      </c>
      <c r="B51" s="1262" t="str">
        <f>估价对象房地状况!C18</f>
        <v>较好</v>
      </c>
      <c r="C51" s="1887" t="s">
        <v>3431</v>
      </c>
      <c r="D51" s="1002">
        <f t="shared" si="7"/>
        <v>8.8999999999999999E-3</v>
      </c>
      <c r="E51" s="703"/>
      <c r="F51" s="1675"/>
      <c r="G51" s="1000">
        <v>8.8999999999999999E-3</v>
      </c>
      <c r="H51" s="1003" t="str">
        <f t="shared" si="8"/>
        <v>——</v>
      </c>
      <c r="I51" s="3066">
        <v>0.22</v>
      </c>
      <c r="J51" s="1001">
        <f t="shared" si="9"/>
        <v>1.78E-2</v>
      </c>
      <c r="K51" s="1001">
        <f t="shared" si="10"/>
        <v>8.8999999999999999E-3</v>
      </c>
      <c r="L51" s="1001">
        <v>0</v>
      </c>
      <c r="M51" s="1001">
        <f t="shared" si="11"/>
        <v>-8.8999999999999999E-3</v>
      </c>
      <c r="N51" s="1001">
        <f t="shared" si="11"/>
        <v>-1.78E-2</v>
      </c>
      <c r="AA51" s="1057"/>
      <c r="AB51" s="1057"/>
      <c r="AC51" s="1057"/>
      <c r="AD51" s="1057"/>
      <c r="AE51" s="1057"/>
      <c r="AF51" s="1057"/>
      <c r="AG51" s="1057"/>
      <c r="AH51" s="1057"/>
      <c r="AI51" s="1057"/>
      <c r="AJ51" s="1057"/>
      <c r="AK51" s="1057"/>
    </row>
    <row r="52" spans="1:37" s="1056" customFormat="1" ht="48" hidden="1">
      <c r="A52" s="3068" t="s">
        <v>3265</v>
      </c>
      <c r="B52" s="1262">
        <f>估价对象房地状况!C19</f>
        <v>0</v>
      </c>
      <c r="C52" s="1887" t="s">
        <v>3431</v>
      </c>
      <c r="D52" s="1002">
        <f t="shared" si="7"/>
        <v>4.7999999999999996E-3</v>
      </c>
      <c r="E52" s="703"/>
      <c r="F52" s="1675"/>
      <c r="G52" s="1000">
        <v>4.7999999999999996E-3</v>
      </c>
      <c r="H52" s="1003" t="str">
        <f t="shared" si="8"/>
        <v>——</v>
      </c>
      <c r="I52" s="3066">
        <v>0.12</v>
      </c>
      <c r="J52" s="1001">
        <f t="shared" si="9"/>
        <v>9.5999999999999992E-3</v>
      </c>
      <c r="K52" s="1001">
        <f t="shared" si="10"/>
        <v>4.7999999999999996E-3</v>
      </c>
      <c r="L52" s="1001">
        <v>0</v>
      </c>
      <c r="M52" s="1001">
        <f t="shared" si="11"/>
        <v>-4.7999999999999996E-3</v>
      </c>
      <c r="N52" s="1001">
        <f t="shared" si="11"/>
        <v>-9.5999999999999992E-3</v>
      </c>
      <c r="AA52" s="1057"/>
      <c r="AB52" s="1057"/>
      <c r="AC52" s="1057"/>
      <c r="AD52" s="1057"/>
      <c r="AE52" s="1057"/>
      <c r="AF52" s="1057"/>
      <c r="AG52" s="1057"/>
      <c r="AH52" s="1057"/>
      <c r="AI52" s="1057"/>
      <c r="AJ52" s="1057"/>
      <c r="AK52" s="1057"/>
    </row>
    <row r="53" spans="1:37" s="1056" customFormat="1" ht="37.200000000000003" hidden="1">
      <c r="A53" s="1970" t="s">
        <v>2054</v>
      </c>
      <c r="B53" s="1974" t="s">
        <v>2055</v>
      </c>
      <c r="C53" s="1887" t="s">
        <v>3431</v>
      </c>
      <c r="D53" s="1002">
        <f t="shared" si="7"/>
        <v>2E-3</v>
      </c>
      <c r="E53" s="703"/>
      <c r="F53" s="1675"/>
      <c r="G53" s="1000">
        <v>2E-3</v>
      </c>
      <c r="H53" s="1003" t="str">
        <f t="shared" si="8"/>
        <v>——</v>
      </c>
      <c r="I53" s="3066">
        <v>0.05</v>
      </c>
      <c r="J53" s="1001">
        <f t="shared" si="9"/>
        <v>4.0000000000000001E-3</v>
      </c>
      <c r="K53" s="1001">
        <f t="shared" si="10"/>
        <v>2E-3</v>
      </c>
      <c r="L53" s="1001">
        <v>0</v>
      </c>
      <c r="M53" s="1001">
        <f t="shared" si="11"/>
        <v>-2E-3</v>
      </c>
      <c r="N53" s="1001">
        <f t="shared" si="11"/>
        <v>-4.0000000000000001E-3</v>
      </c>
      <c r="AA53" s="1057"/>
      <c r="AB53" s="1057"/>
      <c r="AC53" s="1057"/>
      <c r="AD53" s="1057"/>
      <c r="AE53" s="1057"/>
      <c r="AF53" s="1057"/>
      <c r="AG53" s="1057"/>
      <c r="AH53" s="1057"/>
      <c r="AI53" s="1057"/>
      <c r="AJ53" s="1057"/>
      <c r="AK53" s="1057"/>
    </row>
    <row r="54" spans="1:37" s="1056" customFormat="1" ht="26.4" hidden="1">
      <c r="A54" s="1970" t="s">
        <v>2056</v>
      </c>
      <c r="B54" s="1262" t="str">
        <f>估价对象房地状况!C24</f>
        <v>城市主干道——马家堡东路</v>
      </c>
      <c r="C54" s="1887" t="s">
        <v>3431</v>
      </c>
      <c r="D54" s="1002">
        <f t="shared" si="7"/>
        <v>3.2000000000000002E-3</v>
      </c>
      <c r="E54" s="703"/>
      <c r="F54" s="1675"/>
      <c r="G54" s="1000">
        <v>3.2000000000000002E-3</v>
      </c>
      <c r="H54" s="1003" t="str">
        <f t="shared" si="8"/>
        <v>——</v>
      </c>
      <c r="I54" s="3066">
        <v>0.08</v>
      </c>
      <c r="J54" s="1001">
        <f t="shared" si="9"/>
        <v>6.4000000000000003E-3</v>
      </c>
      <c r="K54" s="1001">
        <f t="shared" si="10"/>
        <v>3.2000000000000002E-3</v>
      </c>
      <c r="L54" s="1001">
        <v>0</v>
      </c>
      <c r="M54" s="1001">
        <f t="shared" si="11"/>
        <v>-3.2000000000000002E-3</v>
      </c>
      <c r="N54" s="1001">
        <f t="shared" si="11"/>
        <v>-6.4000000000000003E-3</v>
      </c>
      <c r="AA54" s="1057"/>
      <c r="AB54" s="1057"/>
      <c r="AC54" s="1057"/>
      <c r="AD54" s="1057"/>
      <c r="AE54" s="1057"/>
      <c r="AF54" s="1057"/>
      <c r="AG54" s="1057"/>
      <c r="AH54" s="1057"/>
      <c r="AI54" s="1057"/>
      <c r="AJ54" s="1057"/>
      <c r="AK54" s="1057"/>
    </row>
    <row r="55" spans="1:37" s="1056" customFormat="1" ht="36" hidden="1">
      <c r="A55" s="1970" t="s">
        <v>2057</v>
      </c>
      <c r="B55" s="1975" t="s">
        <v>2058</v>
      </c>
      <c r="C55" s="1887" t="s">
        <v>3431</v>
      </c>
      <c r="D55" s="1002">
        <f t="shared" si="7"/>
        <v>2E-3</v>
      </c>
      <c r="E55" s="703"/>
      <c r="F55" s="1675"/>
      <c r="G55" s="1000">
        <v>2E-3</v>
      </c>
      <c r="H55" s="1003" t="str">
        <f t="shared" si="8"/>
        <v>——</v>
      </c>
      <c r="I55" s="3066">
        <v>0.05</v>
      </c>
      <c r="J55" s="1001">
        <f t="shared" si="9"/>
        <v>4.0000000000000001E-3</v>
      </c>
      <c r="K55" s="1001">
        <f t="shared" si="10"/>
        <v>2E-3</v>
      </c>
      <c r="L55" s="1001">
        <v>0</v>
      </c>
      <c r="M55" s="1001">
        <f t="shared" si="11"/>
        <v>-2E-3</v>
      </c>
      <c r="N55" s="1001">
        <f t="shared" si="11"/>
        <v>-4.0000000000000001E-3</v>
      </c>
      <c r="AA55" s="1057"/>
      <c r="AB55" s="1057"/>
      <c r="AC55" s="1057"/>
      <c r="AD55" s="1057"/>
      <c r="AE55" s="1057"/>
      <c r="AF55" s="1057"/>
      <c r="AG55" s="1057"/>
      <c r="AH55" s="1057"/>
      <c r="AI55" s="1057"/>
      <c r="AJ55" s="1057"/>
      <c r="AK55" s="1057"/>
    </row>
    <row r="56" spans="1:37" s="1056" customFormat="1" ht="52.8" hidden="1">
      <c r="A56" s="1976" t="s">
        <v>2059</v>
      </c>
      <c r="B56" s="1240" t="str">
        <f>估价对象房地状况!C21</f>
        <v>较好</v>
      </c>
      <c r="C56" s="1887" t="s">
        <v>3431</v>
      </c>
      <c r="D56" s="1002">
        <f t="shared" si="7"/>
        <v>2E-3</v>
      </c>
      <c r="E56" s="703"/>
      <c r="F56" s="1675"/>
      <c r="G56" s="1000">
        <v>2E-3</v>
      </c>
      <c r="H56" s="1003" t="str">
        <f t="shared" si="8"/>
        <v>——</v>
      </c>
      <c r="I56" s="3066">
        <v>0.05</v>
      </c>
      <c r="J56" s="1001">
        <f t="shared" si="9"/>
        <v>4.0000000000000001E-3</v>
      </c>
      <c r="K56" s="1001">
        <f t="shared" si="10"/>
        <v>2E-3</v>
      </c>
      <c r="L56" s="1001">
        <v>0</v>
      </c>
      <c r="M56" s="1001">
        <f t="shared" si="11"/>
        <v>-2E-3</v>
      </c>
      <c r="N56" s="1001">
        <f t="shared" si="11"/>
        <v>-4.0000000000000001E-3</v>
      </c>
      <c r="AA56" s="1057"/>
      <c r="AB56" s="1057"/>
      <c r="AC56" s="1057"/>
      <c r="AD56" s="1057"/>
      <c r="AE56" s="1057"/>
      <c r="AF56" s="1057"/>
      <c r="AG56" s="1057"/>
      <c r="AH56" s="1057"/>
      <c r="AI56" s="1057"/>
      <c r="AJ56" s="1057"/>
      <c r="AK56" s="1057"/>
    </row>
    <row r="57" spans="1:37" s="1056" customFormat="1" ht="26.4" hidden="1">
      <c r="A57" s="1976" t="s">
        <v>2060</v>
      </c>
      <c r="B57" s="1262" t="str">
        <f>估价对象房地状况!C22</f>
        <v>估价对象所在区域基础设施水平“七通一平</v>
      </c>
      <c r="C57" s="1887" t="s">
        <v>3433</v>
      </c>
      <c r="D57" s="1002">
        <f t="shared" si="7"/>
        <v>6.4000000000000003E-3</v>
      </c>
      <c r="E57" s="703"/>
      <c r="F57" s="1675"/>
      <c r="G57" s="1000">
        <v>3.2000000000000002E-3</v>
      </c>
      <c r="H57" s="1003" t="str">
        <f t="shared" si="8"/>
        <v>——</v>
      </c>
      <c r="I57" s="3066">
        <v>0.08</v>
      </c>
      <c r="J57" s="1001">
        <f t="shared" si="9"/>
        <v>6.4000000000000003E-3</v>
      </c>
      <c r="K57" s="1001">
        <f t="shared" si="10"/>
        <v>3.2000000000000002E-3</v>
      </c>
      <c r="L57" s="1001">
        <v>0</v>
      </c>
      <c r="M57" s="1001">
        <f t="shared" si="11"/>
        <v>-3.2000000000000002E-3</v>
      </c>
      <c r="N57" s="1001">
        <f t="shared" si="11"/>
        <v>-6.4000000000000003E-3</v>
      </c>
      <c r="AA57" s="1057"/>
      <c r="AB57" s="1057"/>
      <c r="AC57" s="1057"/>
      <c r="AD57" s="1057"/>
      <c r="AE57" s="1057"/>
      <c r="AF57" s="1057"/>
      <c r="AG57" s="1057"/>
      <c r="AH57" s="1057"/>
      <c r="AI57" s="1057"/>
      <c r="AJ57" s="1057"/>
      <c r="AK57" s="1057"/>
    </row>
    <row r="58" spans="1:37" s="1056" customFormat="1" ht="66.599999999999994" hidden="1" thickBot="1">
      <c r="A58" s="1977" t="s">
        <v>2061</v>
      </c>
      <c r="B58" s="1978" t="str">
        <f>估价对象房地状况!C20</f>
        <v>较好</v>
      </c>
      <c r="C58" s="1887" t="s">
        <v>3431</v>
      </c>
      <c r="D58" s="1002">
        <f t="shared" si="7"/>
        <v>2E-3</v>
      </c>
      <c r="E58" s="704"/>
      <c r="F58" s="1675"/>
      <c r="G58" s="1000">
        <v>2E-3</v>
      </c>
      <c r="H58" s="1003" t="str">
        <f t="shared" si="8"/>
        <v>——</v>
      </c>
      <c r="I58" s="3067">
        <v>0.05</v>
      </c>
      <c r="J58" s="1001">
        <f t="shared" si="9"/>
        <v>4.0000000000000001E-3</v>
      </c>
      <c r="K58" s="1001">
        <f t="shared" si="10"/>
        <v>2E-3</v>
      </c>
      <c r="L58" s="1001">
        <v>0</v>
      </c>
      <c r="M58" s="1001">
        <f t="shared" si="11"/>
        <v>-2E-3</v>
      </c>
      <c r="N58" s="1001">
        <f t="shared" si="11"/>
        <v>-4.0000000000000001E-3</v>
      </c>
      <c r="AA58" s="1057"/>
      <c r="AB58" s="1057"/>
      <c r="AC58" s="1057"/>
      <c r="AD58" s="1057"/>
      <c r="AE58" s="1057"/>
      <c r="AF58" s="1057"/>
      <c r="AG58" s="1057"/>
      <c r="AH58" s="1057"/>
      <c r="AI58" s="1057"/>
      <c r="AJ58" s="1057"/>
      <c r="AK58" s="1057"/>
    </row>
    <row r="59" spans="1:37" s="1056" customFormat="1" ht="14.4">
      <c r="A59" s="1967" t="s">
        <v>2062</v>
      </c>
      <c r="B59" s="1968">
        <f>1+E61</f>
        <v>1.0511999999999999</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t="str">
        <f>估价对象房地状况!C17</f>
        <v>较好</v>
      </c>
      <c r="C61" s="1887" t="s">
        <v>3431</v>
      </c>
      <c r="D61" s="1002">
        <f t="shared" ref="D61:D69" si="12">SUMIF($J$60:$N$60,C61,J61:N61)</f>
        <v>1.18E-2</v>
      </c>
      <c r="E61" s="702">
        <f>ROUND(SUM(D61:D69),4)</f>
        <v>5.1200000000000002E-2</v>
      </c>
      <c r="F61" s="1675">
        <f>IF(E2="办公",SUMIF(L1:L12,G2,N1:N12),"——")</f>
        <v>9.5000000000000001E-2</v>
      </c>
      <c r="G61" s="1000">
        <v>1.18E-2</v>
      </c>
      <c r="H61" s="1003">
        <f t="shared" ref="H61:H69" si="13">IFERROR(ROUNDDOWN($F$61*I61/2,4),"——")</f>
        <v>1.18E-2</v>
      </c>
      <c r="I61" s="3066">
        <v>0.25</v>
      </c>
      <c r="J61" s="1001">
        <f t="shared" ref="J61:J69" si="14">K61+$G61</f>
        <v>2.3599999999999999E-2</v>
      </c>
      <c r="K61" s="1001">
        <f t="shared" ref="K61:K69" si="15">$L61+$G61</f>
        <v>1.18E-2</v>
      </c>
      <c r="L61" s="1001">
        <v>0</v>
      </c>
      <c r="M61" s="1001">
        <f t="shared" ref="M61:N69" si="16">L61-$G61</f>
        <v>-1.18E-2</v>
      </c>
      <c r="N61" s="1001">
        <f t="shared" si="16"/>
        <v>-2.3599999999999999E-2</v>
      </c>
      <c r="AA61" s="1057"/>
      <c r="AB61" s="1057"/>
      <c r="AC61" s="1057"/>
      <c r="AD61" s="1057"/>
      <c r="AE61" s="1057"/>
      <c r="AF61" s="1057"/>
      <c r="AG61" s="1057"/>
      <c r="AH61" s="1057"/>
      <c r="AI61" s="1057"/>
      <c r="AJ61" s="1057"/>
      <c r="AK61" s="1057"/>
    </row>
    <row r="62" spans="1:37" s="1056" customFormat="1" ht="24">
      <c r="A62" s="1970" t="s">
        <v>2053</v>
      </c>
      <c r="B62" s="1262" t="str">
        <f>估价对象房地状况!C18</f>
        <v>较好</v>
      </c>
      <c r="C62" s="1887" t="s">
        <v>3431</v>
      </c>
      <c r="D62" s="1002">
        <f t="shared" si="12"/>
        <v>1.23E-2</v>
      </c>
      <c r="E62" s="703"/>
      <c r="F62" s="1675"/>
      <c r="G62" s="1000">
        <v>1.23E-2</v>
      </c>
      <c r="H62" s="1003">
        <f t="shared" si="13"/>
        <v>1.23E-2</v>
      </c>
      <c r="I62" s="3066">
        <v>0.26</v>
      </c>
      <c r="J62" s="1001">
        <f t="shared" si="14"/>
        <v>2.46E-2</v>
      </c>
      <c r="K62" s="1001">
        <f t="shared" si="15"/>
        <v>1.23E-2</v>
      </c>
      <c r="L62" s="1001">
        <v>0</v>
      </c>
      <c r="M62" s="1001">
        <f t="shared" si="16"/>
        <v>-1.23E-2</v>
      </c>
      <c r="N62" s="1001">
        <f t="shared" si="16"/>
        <v>-2.46E-2</v>
      </c>
      <c r="AA62" s="1057"/>
      <c r="AB62" s="1057"/>
      <c r="AC62" s="1057"/>
      <c r="AD62" s="1057"/>
      <c r="AE62" s="1057"/>
      <c r="AF62" s="1057"/>
      <c r="AG62" s="1057"/>
      <c r="AH62" s="1057"/>
      <c r="AI62" s="1057"/>
      <c r="AJ62" s="1057"/>
      <c r="AK62" s="1057"/>
    </row>
    <row r="63" spans="1:37" s="1056" customFormat="1" ht="48">
      <c r="A63" s="3068" t="s">
        <v>3265</v>
      </c>
      <c r="B63" s="1262">
        <f>估价对象房地状况!C19</f>
        <v>0</v>
      </c>
      <c r="C63" s="1887" t="s">
        <v>3431</v>
      </c>
      <c r="D63" s="1002">
        <f t="shared" si="12"/>
        <v>5.1999999999999998E-3</v>
      </c>
      <c r="E63" s="703"/>
      <c r="F63" s="1675"/>
      <c r="G63" s="1000">
        <v>5.1999999999999998E-3</v>
      </c>
      <c r="H63" s="1003">
        <f t="shared" si="13"/>
        <v>5.1999999999999998E-3</v>
      </c>
      <c r="I63" s="3066">
        <v>0.11</v>
      </c>
      <c r="J63" s="1001">
        <f t="shared" si="14"/>
        <v>1.04E-2</v>
      </c>
      <c r="K63" s="1001">
        <f t="shared" si="15"/>
        <v>5.1999999999999998E-3</v>
      </c>
      <c r="L63" s="1001">
        <v>0</v>
      </c>
      <c r="M63" s="1001">
        <f t="shared" si="16"/>
        <v>-5.1999999999999998E-3</v>
      </c>
      <c r="N63" s="1001">
        <f t="shared" si="16"/>
        <v>-1.04E-2</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t="s">
        <v>3431</v>
      </c>
      <c r="D64" s="1002">
        <f t="shared" si="12"/>
        <v>2.3E-3</v>
      </c>
      <c r="E64" s="703"/>
      <c r="F64" s="1675"/>
      <c r="G64" s="1000">
        <v>2.3E-3</v>
      </c>
      <c r="H64" s="1003">
        <f t="shared" si="13"/>
        <v>2.3E-3</v>
      </c>
      <c r="I64" s="3066">
        <v>0.05</v>
      </c>
      <c r="J64" s="1001">
        <f t="shared" si="14"/>
        <v>4.5999999999999999E-3</v>
      </c>
      <c r="K64" s="1001">
        <f t="shared" si="15"/>
        <v>2.3E-3</v>
      </c>
      <c r="L64" s="1001">
        <v>0</v>
      </c>
      <c r="M64" s="1001">
        <f t="shared" si="16"/>
        <v>-2.3E-3</v>
      </c>
      <c r="N64" s="1001">
        <f t="shared" si="16"/>
        <v>-4.5999999999999999E-3</v>
      </c>
      <c r="AA64" s="1057"/>
      <c r="AB64" s="1057"/>
      <c r="AC64" s="1057"/>
      <c r="AD64" s="1057"/>
      <c r="AE64" s="1057"/>
      <c r="AF64" s="1057"/>
      <c r="AG64" s="1057"/>
      <c r="AH64" s="1057"/>
      <c r="AI64" s="1057"/>
      <c r="AJ64" s="1057"/>
      <c r="AK64" s="1057"/>
    </row>
    <row r="65" spans="1:37" s="1056" customFormat="1" ht="26.4">
      <c r="A65" s="1970" t="s">
        <v>2056</v>
      </c>
      <c r="B65" s="1262" t="str">
        <f>估价对象房地状况!C24</f>
        <v>城市主干道——马家堡东路</v>
      </c>
      <c r="C65" s="1887" t="s">
        <v>3431</v>
      </c>
      <c r="D65" s="1002">
        <f t="shared" si="12"/>
        <v>2.3E-3</v>
      </c>
      <c r="E65" s="703"/>
      <c r="F65" s="1675"/>
      <c r="G65" s="1000">
        <v>2.3E-3</v>
      </c>
      <c r="H65" s="1003">
        <f t="shared" si="13"/>
        <v>2.3E-3</v>
      </c>
      <c r="I65" s="3066">
        <v>0.05</v>
      </c>
      <c r="J65" s="1001">
        <f t="shared" si="14"/>
        <v>4.5999999999999999E-3</v>
      </c>
      <c r="K65" s="1001">
        <f t="shared" si="15"/>
        <v>2.3E-3</v>
      </c>
      <c r="L65" s="1001">
        <v>0</v>
      </c>
      <c r="M65" s="1001">
        <f t="shared" si="16"/>
        <v>-2.3E-3</v>
      </c>
      <c r="N65" s="1001">
        <f t="shared" si="16"/>
        <v>-4.5999999999999999E-3</v>
      </c>
      <c r="AA65" s="1057"/>
      <c r="AB65" s="1057"/>
      <c r="AC65" s="1057"/>
      <c r="AD65" s="1057"/>
      <c r="AE65" s="1057"/>
      <c r="AF65" s="1057"/>
      <c r="AG65" s="1057"/>
      <c r="AH65" s="1057"/>
      <c r="AI65" s="1057"/>
      <c r="AJ65" s="1057"/>
      <c r="AK65" s="1057"/>
    </row>
    <row r="66" spans="1:37" s="1056" customFormat="1" ht="36">
      <c r="A66" s="1970" t="s">
        <v>2057</v>
      </c>
      <c r="B66" s="1975" t="s">
        <v>2058</v>
      </c>
      <c r="C66" s="1887" t="s">
        <v>3431</v>
      </c>
      <c r="D66" s="1002">
        <f t="shared" si="12"/>
        <v>2.8E-3</v>
      </c>
      <c r="E66" s="703"/>
      <c r="F66" s="1675"/>
      <c r="G66" s="1000">
        <v>2.8E-3</v>
      </c>
      <c r="H66" s="1003">
        <f t="shared" si="13"/>
        <v>2.8E-3</v>
      </c>
      <c r="I66" s="3066">
        <v>0.06</v>
      </c>
      <c r="J66" s="1001">
        <f t="shared" si="14"/>
        <v>5.5999999999999999E-3</v>
      </c>
      <c r="K66" s="1001">
        <f t="shared" si="15"/>
        <v>2.8E-3</v>
      </c>
      <c r="L66" s="1001">
        <v>0</v>
      </c>
      <c r="M66" s="1001">
        <f t="shared" si="16"/>
        <v>-2.8E-3</v>
      </c>
      <c r="N66" s="1001">
        <f t="shared" si="16"/>
        <v>-5.5999999999999999E-3</v>
      </c>
      <c r="AA66" s="1057"/>
      <c r="AB66" s="1057"/>
      <c r="AC66" s="1057"/>
      <c r="AD66" s="1057"/>
      <c r="AE66" s="1057"/>
      <c r="AF66" s="1057"/>
      <c r="AG66" s="1057"/>
      <c r="AH66" s="1057"/>
      <c r="AI66" s="1057"/>
      <c r="AJ66" s="1057"/>
      <c r="AK66" s="1057"/>
    </row>
    <row r="67" spans="1:37" s="1056" customFormat="1" ht="24">
      <c r="A67" s="1970" t="s">
        <v>2059</v>
      </c>
      <c r="B67" s="1240" t="str">
        <f>估价对象房地状况!C21</f>
        <v>较好</v>
      </c>
      <c r="C67" s="1887" t="s">
        <v>3431</v>
      </c>
      <c r="D67" s="1002">
        <f t="shared" si="12"/>
        <v>2.8E-3</v>
      </c>
      <c r="E67" s="703"/>
      <c r="F67" s="1675"/>
      <c r="G67" s="1000">
        <v>2.8E-3</v>
      </c>
      <c r="H67" s="1003">
        <f t="shared" si="13"/>
        <v>2.8E-3</v>
      </c>
      <c r="I67" s="3066">
        <v>0.06</v>
      </c>
      <c r="J67" s="1001">
        <f t="shared" si="14"/>
        <v>5.5999999999999999E-3</v>
      </c>
      <c r="K67" s="1001">
        <f t="shared" si="15"/>
        <v>2.8E-3</v>
      </c>
      <c r="L67" s="1001">
        <v>0</v>
      </c>
      <c r="M67" s="1001">
        <f t="shared" si="16"/>
        <v>-2.8E-3</v>
      </c>
      <c r="N67" s="1001">
        <f t="shared" si="16"/>
        <v>-5.5999999999999999E-3</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估价对象所在区域基础设施水平“七通一平</v>
      </c>
      <c r="C68" s="1887" t="s">
        <v>3433</v>
      </c>
      <c r="D68" s="1002">
        <f t="shared" si="12"/>
        <v>8.3999999999999995E-3</v>
      </c>
      <c r="E68" s="703"/>
      <c r="F68" s="1675"/>
      <c r="G68" s="1000">
        <v>4.1999999999999997E-3</v>
      </c>
      <c r="H68" s="1003">
        <f t="shared" si="13"/>
        <v>4.1999999999999997E-3</v>
      </c>
      <c r="I68" s="3066">
        <v>0.09</v>
      </c>
      <c r="J68" s="1001">
        <f t="shared" si="14"/>
        <v>8.3999999999999995E-3</v>
      </c>
      <c r="K68" s="1001">
        <f t="shared" si="15"/>
        <v>4.1999999999999997E-3</v>
      </c>
      <c r="L68" s="1001">
        <v>0</v>
      </c>
      <c r="M68" s="1001">
        <f t="shared" si="16"/>
        <v>-4.1999999999999997E-3</v>
      </c>
      <c r="N68" s="1001">
        <f t="shared" si="16"/>
        <v>-8.3999999999999995E-3</v>
      </c>
      <c r="AA68" s="1057"/>
      <c r="AB68" s="1057"/>
      <c r="AC68" s="1057"/>
      <c r="AD68" s="1057"/>
      <c r="AE68" s="1057"/>
      <c r="AF68" s="1057"/>
      <c r="AG68" s="1057"/>
      <c r="AH68" s="1057"/>
      <c r="AI68" s="1057"/>
      <c r="AJ68" s="1057"/>
      <c r="AK68" s="1057"/>
    </row>
    <row r="69" spans="1:37" s="1056" customFormat="1" ht="36.6" thickBot="1">
      <c r="A69" s="1977" t="s">
        <v>2061</v>
      </c>
      <c r="B69" s="1979" t="str">
        <f>估价对象房地状况!C20</f>
        <v>较好</v>
      </c>
      <c r="C69" s="1887" t="s">
        <v>3431</v>
      </c>
      <c r="D69" s="1002">
        <f t="shared" si="12"/>
        <v>3.3E-3</v>
      </c>
      <c r="E69" s="704"/>
      <c r="F69" s="1675"/>
      <c r="G69" s="1000">
        <v>3.3E-3</v>
      </c>
      <c r="H69" s="1003">
        <f t="shared" si="13"/>
        <v>3.3E-3</v>
      </c>
      <c r="I69" s="3067">
        <v>7.0000000000000007E-2</v>
      </c>
      <c r="J69" s="1001">
        <f t="shared" si="14"/>
        <v>6.6E-3</v>
      </c>
      <c r="K69" s="1001">
        <f t="shared" si="15"/>
        <v>3.3E-3</v>
      </c>
      <c r="L69" s="1001">
        <v>0</v>
      </c>
      <c r="M69" s="1001">
        <f t="shared" si="16"/>
        <v>-3.3E-3</v>
      </c>
      <c r="N69" s="1001">
        <f t="shared" si="16"/>
        <v>-6.6E-3</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8" t="s">
        <v>3265</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26.4">
      <c r="A75" s="1970" t="s">
        <v>2067</v>
      </c>
      <c r="B75" s="1262" t="str">
        <f>估价对象房地状况!C24</f>
        <v>城市主干道——马家堡东路</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52.8">
      <c r="A76" s="1970" t="s">
        <v>2059</v>
      </c>
      <c r="B76" s="1240" t="str">
        <f>估价对象房地状况!C21</f>
        <v>较好</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估价对象所在区域基础设施水平“七通一平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66">
      <c r="A79" s="1970" t="s">
        <v>2061</v>
      </c>
      <c r="B79" s="1973" t="str">
        <f>估价对象房地状况!C20</f>
        <v>较好</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48">
      <c r="A85" s="3068" t="s">
        <v>3266</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3.8">
      <c r="A91" s="3076" t="s">
        <v>2608</v>
      </c>
      <c r="B91" s="3077">
        <f>1+E93</f>
        <v>1</v>
      </c>
      <c r="C91" s="3070"/>
      <c r="D91" s="3071"/>
      <c r="E91" s="1675"/>
      <c r="F91" s="1675"/>
      <c r="G91" s="3072"/>
      <c r="H91" s="3073"/>
      <c r="I91" s="3074"/>
      <c r="J91" s="3075"/>
      <c r="K91" s="3075"/>
      <c r="L91" s="3075"/>
      <c r="M91" s="3075"/>
      <c r="N91" s="3075"/>
    </row>
    <row r="92" spans="1:37" ht="25.2">
      <c r="A92" s="3078" t="s">
        <v>3267</v>
      </c>
      <c r="B92" s="2308"/>
      <c r="C92" s="2308" t="s">
        <v>3276</v>
      </c>
      <c r="D92" s="2308" t="s">
        <v>3277</v>
      </c>
      <c r="E92" s="3050" t="s">
        <v>3278</v>
      </c>
      <c r="F92" s="3080" t="s">
        <v>3279</v>
      </c>
      <c r="G92" s="2308" t="s">
        <v>3280</v>
      </c>
      <c r="H92" s="3087" t="s">
        <v>3283</v>
      </c>
      <c r="I92" s="2308" t="s">
        <v>3284</v>
      </c>
      <c r="J92" s="2150" t="s">
        <v>3285</v>
      </c>
      <c r="K92" s="2150" t="s">
        <v>3286</v>
      </c>
      <c r="L92" s="2150" t="s">
        <v>3287</v>
      </c>
      <c r="M92" s="2150" t="s">
        <v>3288</v>
      </c>
      <c r="N92" s="2150" t="s">
        <v>3289</v>
      </c>
    </row>
    <row r="93" spans="1:37" ht="24">
      <c r="A93" s="3068" t="s">
        <v>3268</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52.8">
      <c r="A94" s="3078" t="s">
        <v>3269</v>
      </c>
      <c r="B94" s="3069" t="str">
        <f>估价对象房地状况!C18</f>
        <v>较好</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48">
      <c r="A95" s="3068" t="s">
        <v>3265</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7.200000000000003">
      <c r="A96" s="3078" t="s">
        <v>3270</v>
      </c>
      <c r="B96" s="3084" t="s">
        <v>3281</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6.4">
      <c r="A97" s="3078" t="s">
        <v>3271</v>
      </c>
      <c r="B97" s="3069" t="str">
        <f>估价对象房地状况!C24</f>
        <v>城市主干道——马家堡东路</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36">
      <c r="A98" s="3078" t="s">
        <v>3272</v>
      </c>
      <c r="B98" s="3085" t="s">
        <v>3282</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52.8">
      <c r="A99" s="3078" t="s">
        <v>3273</v>
      </c>
      <c r="B99" s="3069" t="str">
        <f>估价对象房地状况!C21</f>
        <v>较好</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6.4">
      <c r="A100" s="3078" t="s">
        <v>3274</v>
      </c>
      <c r="B100" s="3069" t="str">
        <f>估价对象房地状况!C22</f>
        <v>估价对象所在区域基础设施水平“七通一平</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66.599999999999994" thickBot="1">
      <c r="A101" s="3079" t="s">
        <v>3275</v>
      </c>
      <c r="B101" s="3086" t="str">
        <f>估价对象房地状况!C20</f>
        <v>较好</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c r="A103" s="3368" t="s">
        <v>3290</v>
      </c>
      <c r="B103" s="3368"/>
      <c r="C103" s="3368"/>
      <c r="D103" s="3368"/>
      <c r="E103" s="3368"/>
      <c r="F103" s="3368"/>
      <c r="G103" s="3368"/>
      <c r="H103" s="3368"/>
      <c r="I103" s="3368"/>
      <c r="J103" s="3368"/>
      <c r="K103" s="1667"/>
      <c r="L103" s="1667"/>
      <c r="M103" s="1667"/>
      <c r="N103" s="1667"/>
    </row>
    <row r="104" spans="1:14">
      <c r="A104" s="3369" t="s">
        <v>3291</v>
      </c>
      <c r="B104" s="3369" t="s">
        <v>3292</v>
      </c>
      <c r="C104" s="3088" t="s">
        <v>3293</v>
      </c>
      <c r="D104" s="3089"/>
      <c r="E104" s="3089"/>
      <c r="F104" s="3089"/>
      <c r="G104" s="3089"/>
      <c r="H104" s="3089"/>
      <c r="I104" s="3089"/>
      <c r="J104" s="3090"/>
      <c r="K104" s="3091"/>
      <c r="L104" s="3091"/>
      <c r="M104" s="3091"/>
      <c r="N104" s="3091"/>
    </row>
    <row r="105" spans="1:14">
      <c r="A105" s="3369"/>
      <c r="B105" s="3369"/>
      <c r="C105" s="3092" t="s">
        <v>3294</v>
      </c>
      <c r="D105" s="3092" t="s">
        <v>3295</v>
      </c>
      <c r="E105" s="3092" t="s">
        <v>3296</v>
      </c>
      <c r="F105" s="3092" t="s">
        <v>3297</v>
      </c>
      <c r="G105" s="3092" t="s">
        <v>3298</v>
      </c>
      <c r="H105" s="3092" t="s">
        <v>3299</v>
      </c>
      <c r="I105" s="3092" t="s">
        <v>3300</v>
      </c>
      <c r="J105" s="3092" t="s">
        <v>3301</v>
      </c>
      <c r="K105" s="3092" t="s">
        <v>3302</v>
      </c>
      <c r="L105" s="3092" t="s">
        <v>3303</v>
      </c>
      <c r="M105" s="3092" t="s">
        <v>3304</v>
      </c>
      <c r="N105" s="3092" t="s">
        <v>3305</v>
      </c>
    </row>
    <row r="106" spans="1:14">
      <c r="A106" s="3355" t="s">
        <v>3306</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356"/>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356"/>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356"/>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356"/>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356"/>
      <c r="B111" s="3092" t="s">
        <v>3264</v>
      </c>
      <c r="C111" s="3093">
        <f>$I$3</f>
        <v>1</v>
      </c>
      <c r="D111" s="3093">
        <f t="shared" ref="D111:M111" si="32">$I$3</f>
        <v>1</v>
      </c>
      <c r="E111" s="3093">
        <f t="shared" si="32"/>
        <v>1</v>
      </c>
      <c r="F111" s="3093">
        <f t="shared" si="32"/>
        <v>1</v>
      </c>
      <c r="G111" s="3093">
        <f t="shared" si="32"/>
        <v>1</v>
      </c>
      <c r="H111" s="3093">
        <f t="shared" si="32"/>
        <v>1</v>
      </c>
      <c r="I111" s="3093">
        <f t="shared" si="32"/>
        <v>1</v>
      </c>
      <c r="J111" s="3093">
        <f t="shared" si="32"/>
        <v>1</v>
      </c>
      <c r="K111" s="3093">
        <f t="shared" si="32"/>
        <v>1</v>
      </c>
      <c r="L111" s="3093">
        <f t="shared" si="32"/>
        <v>1</v>
      </c>
      <c r="M111" s="3093">
        <f t="shared" si="32"/>
        <v>1</v>
      </c>
      <c r="N111" s="3093">
        <f>$I$3</f>
        <v>1</v>
      </c>
    </row>
    <row r="112" spans="1:14">
      <c r="A112" s="3357"/>
      <c r="B112" s="3092">
        <v>6</v>
      </c>
      <c r="C112" s="3087">
        <f>(-0.5556*(C111^2)-0.2719*C111+8944)*(10^(-4))</f>
        <v>0.89431725000000006</v>
      </c>
      <c r="D112" s="3087">
        <f>(-0.5556*(D111^2)-0.2719*D111+8944)*(10^(-4))</f>
        <v>0.89431725000000006</v>
      </c>
      <c r="E112" s="3087">
        <f>(-0.7912*(E111^2)-11.3794*E111+8482)*(10^(-4))</f>
        <v>0.84698294000000007</v>
      </c>
      <c r="F112" s="3087">
        <f t="shared" ref="F112:I112" si="33">(-0.7912*(F111^2)-11.3794*F111+8482)*(10^(-4))</f>
        <v>0.84698294000000007</v>
      </c>
      <c r="G112" s="3087">
        <f t="shared" si="33"/>
        <v>0.84698294000000007</v>
      </c>
      <c r="H112" s="3087">
        <f t="shared" si="33"/>
        <v>0.84698294000000007</v>
      </c>
      <c r="I112" s="3087">
        <f t="shared" si="33"/>
        <v>0.84698294000000007</v>
      </c>
      <c r="J112" s="3087">
        <f>(-0.989*(J111^2)-63.78*J111+7771)*(10^(-4))</f>
        <v>0.77062310000000001</v>
      </c>
      <c r="K112" s="3087">
        <f t="shared" ref="K112:N112" si="34">(-0.989*(K111^2)-63.78*K111+7771)*(10^(-4))</f>
        <v>0.77062310000000001</v>
      </c>
      <c r="L112" s="3087">
        <f t="shared" si="34"/>
        <v>0.77062310000000001</v>
      </c>
      <c r="M112" s="3087">
        <f t="shared" si="34"/>
        <v>0.77062310000000001</v>
      </c>
      <c r="N112" s="3087">
        <f t="shared" si="34"/>
        <v>0.77062310000000001</v>
      </c>
    </row>
    <row r="113" spans="1:14">
      <c r="A113" s="3358" t="s">
        <v>3307</v>
      </c>
      <c r="B113" s="3358"/>
      <c r="C113" s="3358"/>
      <c r="D113" s="3358"/>
      <c r="E113" s="3358"/>
      <c r="F113" s="3358"/>
      <c r="G113" s="3358"/>
      <c r="H113" s="3358"/>
      <c r="I113" s="3358"/>
      <c r="J113" s="3358"/>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8" thickBot="1">
      <c r="A115" s="3095"/>
      <c r="B115" s="3095"/>
      <c r="C115" s="3095"/>
      <c r="D115" s="3095"/>
      <c r="E115" s="3095"/>
      <c r="F115" s="3095"/>
      <c r="G115" s="3095"/>
      <c r="H115" s="3095"/>
      <c r="I115" s="3095"/>
      <c r="J115" s="3095"/>
      <c r="K115" s="1964"/>
      <c r="L115" s="3095"/>
      <c r="M115" s="3095"/>
      <c r="N115" s="3095"/>
    </row>
    <row r="116" spans="1:14" ht="25.8" thickBot="1">
      <c r="A116" s="3096" t="s">
        <v>3308</v>
      </c>
      <c r="B116" s="3112">
        <f>G3</f>
        <v>1.22</v>
      </c>
      <c r="C116" s="3097" t="s">
        <v>3309</v>
      </c>
      <c r="D116" s="3098">
        <f>SUMPRODUCT((A118:A122=F116)*(B117:M117=H116)*B118:M122)</f>
        <v>0.92420000000000002</v>
      </c>
      <c r="E116" s="162" t="s">
        <v>3310</v>
      </c>
      <c r="F116" s="3099" t="str">
        <f>E2</f>
        <v>办公</v>
      </c>
      <c r="G116" s="162" t="s">
        <v>3311</v>
      </c>
      <c r="H116" s="3099" t="str">
        <f>G2</f>
        <v>四级</v>
      </c>
      <c r="I116" s="162"/>
      <c r="J116" s="3100"/>
      <c r="K116" s="3100"/>
      <c r="L116" s="3100"/>
      <c r="M116" s="3100"/>
      <c r="N116" s="3095"/>
    </row>
    <row r="117" spans="1:14">
      <c r="A117" s="3101"/>
      <c r="B117" s="3102" t="s">
        <v>3312</v>
      </c>
      <c r="C117" s="3102" t="s">
        <v>3313</v>
      </c>
      <c r="D117" s="3102" t="s">
        <v>3314</v>
      </c>
      <c r="E117" s="3103" t="s">
        <v>3315</v>
      </c>
      <c r="F117" s="3103" t="s">
        <v>3316</v>
      </c>
      <c r="G117" s="3103" t="s">
        <v>3317</v>
      </c>
      <c r="H117" s="3104" t="s">
        <v>3318</v>
      </c>
      <c r="I117" s="3104" t="s">
        <v>3319</v>
      </c>
      <c r="J117" s="3105" t="s">
        <v>3320</v>
      </c>
      <c r="K117" s="3105" t="s">
        <v>3321</v>
      </c>
      <c r="L117" s="3105" t="s">
        <v>3322</v>
      </c>
      <c r="M117" s="3106" t="s">
        <v>3323</v>
      </c>
      <c r="N117" s="3095"/>
    </row>
    <row r="118" spans="1:14">
      <c r="A118" s="3055" t="s">
        <v>3324</v>
      </c>
      <c r="B118" s="3087">
        <f>ROUND(0.9968-0.011*B116,4)</f>
        <v>0.98340000000000005</v>
      </c>
      <c r="C118" s="3087">
        <f>B118</f>
        <v>0.98340000000000005</v>
      </c>
      <c r="D118" s="3087">
        <f>ROUND(0.949-0.014*B116,4)</f>
        <v>0.93189999999999995</v>
      </c>
      <c r="E118" s="3087">
        <f>D118</f>
        <v>0.93189999999999995</v>
      </c>
      <c r="F118" s="3087">
        <f>E118</f>
        <v>0.93189999999999995</v>
      </c>
      <c r="G118" s="3087">
        <f>F118</f>
        <v>0.93189999999999995</v>
      </c>
      <c r="H118" s="3087">
        <f>G118</f>
        <v>0.93189999999999995</v>
      </c>
      <c r="I118" s="3087">
        <f>ROUND(0.8486-0.018*B116,4)</f>
        <v>0.8266</v>
      </c>
      <c r="J118" s="3087">
        <f t="shared" ref="J118:M122" si="35">I118</f>
        <v>0.8266</v>
      </c>
      <c r="K118" s="3087">
        <f t="shared" si="35"/>
        <v>0.8266</v>
      </c>
      <c r="L118" s="3087">
        <f t="shared" si="35"/>
        <v>0.8266</v>
      </c>
      <c r="M118" s="3107">
        <f t="shared" si="35"/>
        <v>0.8266</v>
      </c>
      <c r="N118" s="3095"/>
    </row>
    <row r="119" spans="1:14">
      <c r="A119" s="3055" t="s">
        <v>3325</v>
      </c>
      <c r="B119" s="3087">
        <f>ROUND(0.993-0.0112*B116,4)</f>
        <v>0.97929999999999995</v>
      </c>
      <c r="C119" s="3087">
        <f>B119</f>
        <v>0.97929999999999995</v>
      </c>
      <c r="D119" s="3087">
        <f>ROUND(0.9415-0.0142*B116,4)</f>
        <v>0.92420000000000002</v>
      </c>
      <c r="E119" s="3087">
        <f t="shared" ref="E119:H120" si="36">D119</f>
        <v>0.92420000000000002</v>
      </c>
      <c r="F119" s="3087">
        <f t="shared" si="36"/>
        <v>0.92420000000000002</v>
      </c>
      <c r="G119" s="3087">
        <f t="shared" si="36"/>
        <v>0.92420000000000002</v>
      </c>
      <c r="H119" s="3087">
        <f t="shared" si="36"/>
        <v>0.92420000000000002</v>
      </c>
      <c r="I119" s="3087">
        <f>ROUND(0.838-0.0182*B116,4)</f>
        <v>0.81579999999999997</v>
      </c>
      <c r="J119" s="3087">
        <f t="shared" si="35"/>
        <v>0.81579999999999997</v>
      </c>
      <c r="K119" s="3087">
        <f t="shared" si="35"/>
        <v>0.81579999999999997</v>
      </c>
      <c r="L119" s="3087">
        <f t="shared" si="35"/>
        <v>0.81579999999999997</v>
      </c>
      <c r="M119" s="3107">
        <f t="shared" si="35"/>
        <v>0.81579999999999997</v>
      </c>
      <c r="N119" s="3095"/>
    </row>
    <row r="120" spans="1:14">
      <c r="A120" s="3055" t="s">
        <v>3326</v>
      </c>
      <c r="B120" s="3087">
        <f>ROUND(0.9448-0.0115*B116,4)</f>
        <v>0.93079999999999996</v>
      </c>
      <c r="C120" s="3087">
        <f>B120</f>
        <v>0.93079999999999996</v>
      </c>
      <c r="D120" s="3087">
        <f>ROUND(0.937-0.0145*B116,4)</f>
        <v>0.91930000000000001</v>
      </c>
      <c r="E120" s="3087">
        <f t="shared" si="36"/>
        <v>0.91930000000000001</v>
      </c>
      <c r="F120" s="3087">
        <f t="shared" si="36"/>
        <v>0.91930000000000001</v>
      </c>
      <c r="G120" s="3087">
        <f t="shared" si="36"/>
        <v>0.91930000000000001</v>
      </c>
      <c r="H120" s="3087">
        <f t="shared" si="36"/>
        <v>0.91930000000000001</v>
      </c>
      <c r="I120" s="3087">
        <f>ROUND(0.7965-0.0185*B116,4)</f>
        <v>0.77390000000000003</v>
      </c>
      <c r="J120" s="3087">
        <f t="shared" si="35"/>
        <v>0.77390000000000003</v>
      </c>
      <c r="K120" s="3087">
        <f t="shared" si="35"/>
        <v>0.77390000000000003</v>
      </c>
      <c r="L120" s="3087">
        <f t="shared" si="35"/>
        <v>0.77390000000000003</v>
      </c>
      <c r="M120" s="3107">
        <f t="shared" si="35"/>
        <v>0.77390000000000003</v>
      </c>
      <c r="N120" s="3095"/>
    </row>
    <row r="121" spans="1:14" ht="13.8" thickBot="1">
      <c r="A121" s="3108" t="s">
        <v>3327</v>
      </c>
      <c r="B121" s="3109">
        <f>ROUND(0.7836-0.012*B116,4)</f>
        <v>0.76900000000000002</v>
      </c>
      <c r="C121" s="3109">
        <f>B121</f>
        <v>0.76900000000000002</v>
      </c>
      <c r="D121" s="3109">
        <f>ROUND(0.753-0.015*B116,4)</f>
        <v>0.73470000000000002</v>
      </c>
      <c r="E121" s="3109">
        <f>D121</f>
        <v>0.73470000000000002</v>
      </c>
      <c r="F121" s="3109">
        <f>E121</f>
        <v>0.73470000000000002</v>
      </c>
      <c r="G121" s="3109">
        <f>ROUND(0.6612-0.018*B116,4)</f>
        <v>0.63919999999999999</v>
      </c>
      <c r="H121" s="3109">
        <f>G121</f>
        <v>0.63919999999999999</v>
      </c>
      <c r="I121" s="3109">
        <f>ROUND(0.5905-0.019*B116,4)</f>
        <v>0.56730000000000003</v>
      </c>
      <c r="J121" s="3109">
        <f t="shared" si="35"/>
        <v>0.56730000000000003</v>
      </c>
      <c r="K121" s="3109">
        <f t="shared" si="35"/>
        <v>0.56730000000000003</v>
      </c>
      <c r="L121" s="3109">
        <f t="shared" si="35"/>
        <v>0.56730000000000003</v>
      </c>
      <c r="M121" s="3110">
        <f t="shared" si="35"/>
        <v>0.56730000000000003</v>
      </c>
      <c r="N121" s="3095"/>
    </row>
    <row r="122" spans="1:14">
      <c r="A122" s="3111" t="s">
        <v>2608</v>
      </c>
      <c r="B122" s="3087">
        <f>ROUND(0.9404-0.0106*B116,4)</f>
        <v>0.92749999999999999</v>
      </c>
      <c r="C122" s="3087">
        <f>B122</f>
        <v>0.92749999999999999</v>
      </c>
      <c r="D122" s="3087">
        <f>ROUND(0.8955-0.0135*B116,4)</f>
        <v>0.879</v>
      </c>
      <c r="E122" s="3087">
        <f t="shared" ref="E122:H122" si="37">D122</f>
        <v>0.879</v>
      </c>
      <c r="F122" s="3087">
        <f t="shared" si="37"/>
        <v>0.879</v>
      </c>
      <c r="G122" s="3087">
        <f t="shared" si="37"/>
        <v>0.879</v>
      </c>
      <c r="H122" s="3087">
        <f t="shared" si="37"/>
        <v>0.879</v>
      </c>
      <c r="I122" s="3087">
        <f>ROUND(0.7632-0.0166*B116,4)</f>
        <v>0.7429</v>
      </c>
      <c r="J122" s="3087">
        <f t="shared" si="35"/>
        <v>0.7429</v>
      </c>
      <c r="K122" s="3087">
        <f t="shared" si="35"/>
        <v>0.7429</v>
      </c>
      <c r="L122" s="3087">
        <f t="shared" si="35"/>
        <v>0.7429</v>
      </c>
      <c r="M122" s="3107">
        <f t="shared" si="35"/>
        <v>0.7429</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42" priority="6" stopIfTrue="1" operator="notEqual">
      <formula>"——"</formula>
    </cfRule>
  </conditionalFormatting>
  <conditionalFormatting sqref="F61">
    <cfRule type="cellIs" dxfId="141" priority="5" stopIfTrue="1" operator="notEqual">
      <formula>"——"</formula>
    </cfRule>
  </conditionalFormatting>
  <conditionalFormatting sqref="F72">
    <cfRule type="cellIs" dxfId="140" priority="4" stopIfTrue="1" operator="notEqual">
      <formula>"——"</formula>
    </cfRule>
  </conditionalFormatting>
  <conditionalFormatting sqref="F83">
    <cfRule type="cellIs" dxfId="139" priority="3" stopIfTrue="1" operator="notEqual">
      <formula>"——"</formula>
    </cfRule>
  </conditionalFormatting>
  <conditionalFormatting sqref="H50:H58 H61:H69 H72:H80 H83:H91">
    <cfRule type="cellIs" dxfId="138" priority="2" operator="notEqual">
      <formula>"——"</formula>
    </cfRule>
  </conditionalFormatting>
  <conditionalFormatting sqref="H93:H101">
    <cfRule type="cellIs" dxfId="137"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G20" sqref="G20"/>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3421</v>
      </c>
      <c r="C1" s="1717" t="s">
        <v>1563</v>
      </c>
      <c r="D1" s="190"/>
      <c r="E1" s="190"/>
      <c r="F1" s="190"/>
      <c r="G1" s="1062" t="e">
        <f>MATCH(B1,'数据-取费表'!A6:A16,0)+5</f>
        <v>#N/A</v>
      </c>
      <c r="H1" s="998" t="str">
        <f>IF(ISERROR(FIND("住宅",B1)),"非住宅","住宅")</f>
        <v>非住宅</v>
      </c>
    </row>
    <row r="2" spans="1:8" s="192" customFormat="1" ht="18" customHeight="1">
      <c r="A2" s="193" t="s">
        <v>1462</v>
      </c>
      <c r="B2" s="3120" t="e">
        <f ca="1">ROUND(IF(D2="——",C52/10000,C52/10000-E2),4)</f>
        <v>#N/A</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#N/A</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t="e">
        <f ca="1">C6+C7+C8</f>
        <v>#N/A</v>
      </c>
      <c r="D5" s="203" t="s">
        <v>1469</v>
      </c>
      <c r="E5" s="204" t="s">
        <v>1470</v>
      </c>
      <c r="F5" s="204" t="s">
        <v>1471</v>
      </c>
      <c r="G5" s="205"/>
    </row>
    <row r="6" spans="1:8" s="206" customFormat="1" ht="13.5" customHeight="1">
      <c r="A6" s="732" t="s">
        <v>1472</v>
      </c>
      <c r="B6" s="207" t="s">
        <v>1473</v>
      </c>
      <c r="C6" s="208">
        <f>ROUND(基准地价修正!D37*基准地价修正!C37,0)</f>
        <v>0</v>
      </c>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t="e">
        <f ca="1">IF(G8="已包含在土地购买价格中",0,C9+C10)</f>
        <v>#N/A</v>
      </c>
      <c r="D8" s="214"/>
      <c r="E8" s="212"/>
      <c r="F8" s="213"/>
      <c r="G8" s="1714" t="s">
        <v>3434</v>
      </c>
    </row>
    <row r="9" spans="1:8" s="206" customFormat="1" ht="13.5" customHeight="1">
      <c r="A9" s="733" t="s">
        <v>355</v>
      </c>
      <c r="B9" s="216" t="s">
        <v>1478</v>
      </c>
      <c r="C9" s="217" t="e">
        <f ca="1">ROUND(D9*E9,0)</f>
        <v>#N/A</v>
      </c>
      <c r="D9" s="795" t="e">
        <f ca="1">IF(B1="",'数据-汇总表'!E5,IF(INDIRECT("'数据-取费表'!c"&amp;$G$1)="住宅",INDIRECT("'数据-取费表'!k"&amp;$G$1),0))</f>
        <v>#N/A</v>
      </c>
      <c r="E9" s="217">
        <f>'数据-取费表'!B27</f>
        <v>160</v>
      </c>
      <c r="F9" s="213"/>
      <c r="G9" s="218"/>
    </row>
    <row r="10" spans="1:8" s="206" customFormat="1" ht="13.5" customHeight="1">
      <c r="A10" s="733" t="s">
        <v>356</v>
      </c>
      <c r="B10" s="216" t="s">
        <v>1480</v>
      </c>
      <c r="C10" s="217" t="e">
        <f ca="1">ROUND(D10*E10,0)</f>
        <v>#N/A</v>
      </c>
      <c r="D10" s="795" t="e">
        <f ca="1">IF(B1="",'数据-汇总表'!E6,IF(INDIRECT("'数据-取费表'!c"&amp;$G$1)="住宅",INDIRECT("'数据-取费表'!s"&amp;$G$1),INDIRECT("'数据-取费表'!k"&amp;$G$1)+INDIRECT("'数据-取费表'!s"&amp;$G$1)))</f>
        <v>#N/A</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t="e">
        <f ca="1">D9+D10</f>
        <v>#N/A</v>
      </c>
      <c r="E19" s="203">
        <f>'数据-取费表'!B31</f>
        <v>200</v>
      </c>
      <c r="F19" s="223"/>
      <c r="G19" s="1714" t="s">
        <v>3435</v>
      </c>
    </row>
    <row r="20" spans="1:7" s="206" customFormat="1" ht="13.5" customHeight="1">
      <c r="A20" s="247" t="s">
        <v>1574</v>
      </c>
      <c r="B20" s="202" t="s">
        <v>1575</v>
      </c>
      <c r="C20" s="224" t="e">
        <f ca="1">ROUND((C5+C19)*F20,0)</f>
        <v>#N/A</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t="e">
        <f ca="1">ROUND(SUM(C23:C25),0)</f>
        <v>#N/A</v>
      </c>
      <c r="D22" s="227">
        <f ca="1">C26</f>
        <v>5.0000000000000001E-4</v>
      </c>
      <c r="E22" s="228" t="s">
        <v>1579</v>
      </c>
      <c r="F22" s="229">
        <f ca="1">'数据-取费表'!B40</f>
        <v>3.1E-2</v>
      </c>
      <c r="G22" s="226" t="str">
        <f>IF('数据-取费表'!B22&lt;=1,"单利计息","复利计息")</f>
        <v>复利计息</v>
      </c>
    </row>
    <row r="23" spans="1:7" s="206" customFormat="1" ht="13.5" customHeight="1">
      <c r="A23" s="734" t="s">
        <v>1472</v>
      </c>
      <c r="B23" s="207" t="s">
        <v>1583</v>
      </c>
      <c r="C23" s="230" t="e">
        <f ca="1">ROUND(IF('数据-取费表'!B22&lt;=1,C5*F22*'数据-取费表'!B22,C5*(POWER((1+F22),'数据-取费表'!B22)-1)),0)</f>
        <v>#N/A</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t="e">
        <f ca="1">ROUND(IF('数据-取费表'!B22&lt;=1,C20*F22*'数据-取费表'!B22/2,C20*(POWER((1+F22),'数据-取费表'!B22/2)-1)),0)</f>
        <v>#N/A</v>
      </c>
      <c r="D25" s="230"/>
      <c r="E25" s="233"/>
      <c r="F25" s="231"/>
      <c r="G25" s="234" t="s">
        <v>1588</v>
      </c>
    </row>
    <row r="26" spans="1:7" s="206" customFormat="1">
      <c r="A26" s="734" t="s">
        <v>350</v>
      </c>
      <c r="B26" s="207" t="s">
        <v>1511</v>
      </c>
      <c r="C26" s="230">
        <f ca="1">ROUND(IF('数据-取费表'!B22&lt;=1,F21*F22*'数据-取费表'!B22/2,F21*(POWER((1+F22),'数据-取费表'!B22/2)-1)),4)</f>
        <v>5.0000000000000001E-4</v>
      </c>
      <c r="D26" s="230"/>
      <c r="E26" s="233"/>
      <c r="F26" s="231"/>
      <c r="G26" s="235"/>
    </row>
    <row r="27" spans="1:7" s="206" customFormat="1" ht="26.4">
      <c r="A27" s="247" t="s">
        <v>1512</v>
      </c>
      <c r="B27" s="236" t="s">
        <v>1513</v>
      </c>
      <c r="C27" s="237" t="e">
        <f ca="1">C28</f>
        <v>#N/A</v>
      </c>
      <c r="D27" s="227" t="e">
        <f ca="1">C29</f>
        <v>#N/A</v>
      </c>
      <c r="E27" s="228" t="s">
        <v>1514</v>
      </c>
      <c r="F27" s="238" t="e">
        <f ca="1">IF(B1="",'数据-取费表'!Q16,INDIRECT("'数据-取费表'!q"&amp;$G$1))</f>
        <v>#N/A</v>
      </c>
      <c r="G27" s="239" t="s">
        <v>1515</v>
      </c>
    </row>
    <row r="28" spans="1:7" s="206" customFormat="1" ht="13.5" customHeight="1">
      <c r="A28" s="734" t="s">
        <v>346</v>
      </c>
      <c r="B28" s="240" t="s">
        <v>1516</v>
      </c>
      <c r="C28" s="241" t="e">
        <f ca="1">ROUND((C5+C19+C20)*F27,0)</f>
        <v>#N/A</v>
      </c>
      <c r="D28" s="227"/>
      <c r="E28" s="228"/>
      <c r="F28" s="238"/>
      <c r="G28" s="239"/>
    </row>
    <row r="29" spans="1:7" s="206" customFormat="1" ht="13.5" customHeight="1">
      <c r="A29" s="734" t="s">
        <v>347</v>
      </c>
      <c r="B29" s="240" t="s">
        <v>1517</v>
      </c>
      <c r="C29" s="230" t="e">
        <f ca="1">ROUND(C21*F27,4)</f>
        <v>#N/A</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t="e">
        <f ca="1">ROUND((C5+C19+C20+C22+C27)/(1-C21-D22-D27-C30),0)</f>
        <v>#N/A</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t="e">
        <f ca="1">SUM(C34:C38)</f>
        <v>#N/A</v>
      </c>
      <c r="D33" s="224"/>
      <c r="E33" s="204"/>
      <c r="F33" s="233"/>
      <c r="G33" s="226"/>
    </row>
    <row r="34" spans="1:7" s="250" customFormat="1" ht="13.5" customHeight="1">
      <c r="A34" s="734" t="s">
        <v>346</v>
      </c>
      <c r="B34" s="207" t="s">
        <v>1525</v>
      </c>
      <c r="C34" s="212" t="e">
        <f ca="1">ROUND(IF(B1="",SUMPRODUCT('数据-取费表'!K6:K14,'数据-取费表'!L6:L14),INDIRECT("'数据-取费表'!l"&amp;$G$1)*INDIRECT("'数据-取费表'!k"&amp;$G$1)+'数据-取费表'!L14*INDIRECT("'数据-取费表'!S"&amp;$G$1)),0)</f>
        <v>#N/A</v>
      </c>
      <c r="D34" s="209"/>
      <c r="E34" s="212"/>
      <c r="F34" s="249"/>
      <c r="G34" s="211"/>
    </row>
    <row r="35" spans="1:7" ht="13.5" customHeight="1">
      <c r="A35" s="734" t="s">
        <v>351</v>
      </c>
      <c r="B35" s="207" t="s">
        <v>1527</v>
      </c>
      <c r="C35" s="212" t="e">
        <f ca="1">ROUND(C34*F35,0)</f>
        <v>#N/A</v>
      </c>
      <c r="D35" s="212"/>
      <c r="E35" s="212"/>
      <c r="F35" s="251">
        <f>'数据-取费表'!B33</f>
        <v>0.05</v>
      </c>
      <c r="G35" s="211" t="s">
        <v>1528</v>
      </c>
    </row>
    <row r="36" spans="1:7" ht="24">
      <c r="A36" s="734" t="s">
        <v>352</v>
      </c>
      <c r="B36" s="207" t="s">
        <v>1529</v>
      </c>
      <c r="C36" s="212" t="e">
        <f ca="1">ROUND(IF(B1="",SUM('数据-取费表'!AP6:AP13)*F36,IF(INDIRECT("'数据-取费表'!c"&amp;$G$1)="住宅",INDIRECT("'数据-取费表'!k"&amp;$G$1)*INDIRECT("'数据-取费表'!l"&amp;$G$1)*F36,0)),0)</f>
        <v>#N/A</v>
      </c>
      <c r="D36" s="212"/>
      <c r="E36" s="212"/>
      <c r="F36" s="251">
        <f>'数据-取费表'!B34</f>
        <v>0</v>
      </c>
      <c r="G36" s="252" t="s">
        <v>1530</v>
      </c>
    </row>
    <row r="37" spans="1:7" s="250" customFormat="1" ht="13.5" customHeight="1">
      <c r="A37" s="734" t="s">
        <v>353</v>
      </c>
      <c r="B37" s="207" t="s">
        <v>1531</v>
      </c>
      <c r="C37" s="241" t="e">
        <f ca="1">ROUND(E37*D37,0)</f>
        <v>#N/A</v>
      </c>
      <c r="D37" s="209" t="e">
        <f ca="1">D19</f>
        <v>#N/A</v>
      </c>
      <c r="E37" s="241">
        <f>'数据-取费表'!B35</f>
        <v>200</v>
      </c>
      <c r="F37" s="251"/>
      <c r="G37" s="253"/>
    </row>
    <row r="38" spans="1:7" ht="13.5" customHeight="1">
      <c r="A38" s="734" t="s">
        <v>354</v>
      </c>
      <c r="B38" s="207" t="s">
        <v>1533</v>
      </c>
      <c r="C38" s="212" t="e">
        <f ca="1">ROUND(C34*F38,0)</f>
        <v>#N/A</v>
      </c>
      <c r="D38" s="212"/>
      <c r="E38" s="212"/>
      <c r="F38" s="251">
        <f>'数据-取费表'!B36</f>
        <v>0.02</v>
      </c>
      <c r="G38" s="211" t="s">
        <v>1528</v>
      </c>
    </row>
    <row r="39" spans="1:7" s="206" customFormat="1" ht="13.5" customHeight="1">
      <c r="A39" s="247" t="s">
        <v>1534</v>
      </c>
      <c r="B39" s="202" t="s">
        <v>1535</v>
      </c>
      <c r="C39" s="224" t="e">
        <f ca="1">ROUND(C33*F20,0)</f>
        <v>#N/A</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t="e">
        <f ca="1">ROUND(SUM(C42:C43),0)</f>
        <v>#N/A</v>
      </c>
      <c r="D41" s="227">
        <f ca="1">C44</f>
        <v>5.0000000000000001E-4</v>
      </c>
      <c r="E41" s="228" t="s">
        <v>1539</v>
      </c>
      <c r="F41" s="229">
        <f ca="1">F22</f>
        <v>3.1E-2</v>
      </c>
      <c r="G41" s="226" t="str">
        <f>IF('数据-取费表'!B22&lt;=1,"单利计息","复利计息")</f>
        <v>复利计息</v>
      </c>
    </row>
    <row r="42" spans="1:7" ht="13.5" customHeight="1">
      <c r="A42" s="734" t="s">
        <v>346</v>
      </c>
      <c r="B42" s="207" t="s">
        <v>1543</v>
      </c>
      <c r="C42" s="230" t="e">
        <f ca="1">ROUND(IF('数据-取费表'!B22&lt;=1,C33*F22*'数据-取费表'!B20/2,C33*(POWER((1+F22),'数据-取费表'!B20/2)-1)),0)</f>
        <v>#N/A</v>
      </c>
      <c r="D42" s="230"/>
      <c r="E42" s="230"/>
      <c r="F42" s="231"/>
      <c r="G42" s="3374" t="s">
        <v>1591</v>
      </c>
    </row>
    <row r="43" spans="1:7" ht="13.5" customHeight="1">
      <c r="A43" s="734" t="s">
        <v>347</v>
      </c>
      <c r="B43" s="207" t="s">
        <v>1545</v>
      </c>
      <c r="C43" s="230" t="e">
        <f ca="1">ROUND(IF('数据-取费表'!B22&lt;=1,C39*F22*'数据-取费表'!B20/2,C39*(POWER((1+F22),'数据-取费表'!B20/2)-1)),0)</f>
        <v>#N/A</v>
      </c>
      <c r="D43" s="230"/>
      <c r="E43" s="230"/>
      <c r="F43" s="231"/>
      <c r="G43" s="3375"/>
    </row>
    <row r="44" spans="1:7" ht="13.5" customHeight="1">
      <c r="A44" s="734" t="s">
        <v>348</v>
      </c>
      <c r="B44" s="207" t="s">
        <v>1546</v>
      </c>
      <c r="C44" s="230">
        <f ca="1">ROUND(IF('数据-取费表'!B22&lt;=1,C40*F22*'数据-取费表'!B20/2,C40*(POWER((1+F22),'数据-取费表'!B20/2)-1)),4)</f>
        <v>5.0000000000000001E-4</v>
      </c>
      <c r="D44" s="230"/>
      <c r="E44" s="230"/>
      <c r="F44" s="231"/>
      <c r="G44" s="3376"/>
    </row>
    <row r="45" spans="1:7" s="206" customFormat="1" ht="13.5" customHeight="1">
      <c r="A45" s="247" t="s">
        <v>1547</v>
      </c>
      <c r="B45" s="236" t="s">
        <v>1513</v>
      </c>
      <c r="C45" s="237" t="e">
        <f ca="1">C46</f>
        <v>#N/A</v>
      </c>
      <c r="D45" s="227" t="e">
        <f ca="1">C47</f>
        <v>#N/A</v>
      </c>
      <c r="E45" s="228" t="s">
        <v>1539</v>
      </c>
      <c r="F45" s="238" t="e">
        <f ca="1">F27</f>
        <v>#N/A</v>
      </c>
      <c r="G45" s="239" t="s">
        <v>1548</v>
      </c>
    </row>
    <row r="46" spans="1:7" s="206" customFormat="1" ht="13.5" customHeight="1">
      <c r="A46" s="734" t="s">
        <v>346</v>
      </c>
      <c r="B46" s="240" t="s">
        <v>1549</v>
      </c>
      <c r="C46" s="241" t="e">
        <f ca="1">ROUND((C33+C39)*F27,0)</f>
        <v>#N/A</v>
      </c>
      <c r="D46" s="255"/>
      <c r="E46" s="228"/>
      <c r="F46" s="238"/>
      <c r="G46" s="239"/>
    </row>
    <row r="47" spans="1:7" s="206" customFormat="1" ht="13.5" customHeight="1">
      <c r="A47" s="734" t="s">
        <v>347</v>
      </c>
      <c r="B47" s="240" t="s">
        <v>1550</v>
      </c>
      <c r="C47" s="230" t="e">
        <f ca="1">ROUND(C40*F27,4)</f>
        <v>#N/A</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t="e">
        <f ca="1">ROUND((C33+C39+C41+C45)/(1-C40-D41-D45-C48),0)</f>
        <v>#N/A</v>
      </c>
      <c r="D49" s="224"/>
      <c r="E49" s="224"/>
      <c r="F49" s="256"/>
      <c r="G49" s="226" t="s">
        <v>1554</v>
      </c>
    </row>
    <row r="50" spans="1:7" s="250" customFormat="1">
      <c r="A50" s="247" t="s">
        <v>1555</v>
      </c>
      <c r="B50" s="202" t="s">
        <v>1556</v>
      </c>
      <c r="C50" s="224"/>
      <c r="D50" s="224"/>
      <c r="E50" s="224"/>
      <c r="F50" s="256">
        <f>IF('数据-取费表'!B24=0,'数据-取费表'!N16,1)</f>
        <v>0.95</v>
      </c>
      <c r="G50" s="239"/>
    </row>
    <row r="51" spans="1:7" ht="16.5" customHeight="1">
      <c r="A51" s="247" t="s">
        <v>1558</v>
      </c>
      <c r="B51" s="202" t="s">
        <v>1593</v>
      </c>
      <c r="C51" s="224" t="e">
        <f ca="1">ROUND(C49*F50,0)</f>
        <v>#N/A</v>
      </c>
      <c r="D51" s="224"/>
      <c r="E51" s="224"/>
      <c r="F51" s="256"/>
      <c r="G51" s="226" t="s">
        <v>1560</v>
      </c>
    </row>
    <row r="52" spans="1:7" s="200" customFormat="1" ht="16.8" thickBot="1">
      <c r="A52" s="257" t="s">
        <v>1561</v>
      </c>
      <c r="B52" s="258"/>
      <c r="C52" s="259" t="e">
        <f ca="1">C31+C51</f>
        <v>#N/A</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G20" sqref="G20"/>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3421</v>
      </c>
      <c r="D1" s="1271" t="s">
        <v>43</v>
      </c>
      <c r="E1" s="1272" t="s">
        <v>678</v>
      </c>
      <c r="F1" s="999" t="e">
        <f ca="1">J53</f>
        <v>#N/A</v>
      </c>
      <c r="G1" s="1286" t="e">
        <f>MATCH(C1,'数据-取费表'!A6:A16,0)+5</f>
        <v>#N/A</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t="e">
        <f ca="1">ROUND(D2/10000,4)</f>
        <v>#N/A</v>
      </c>
      <c r="C2" s="1289" t="s">
        <v>879</v>
      </c>
      <c r="D2" s="1375" t="e">
        <f ca="1">C40+J29+L46</f>
        <v>#N/A</v>
      </c>
      <c r="E2" s="1295" t="s">
        <v>880</v>
      </c>
      <c r="F2" s="1296"/>
      <c r="G2" s="2476"/>
      <c r="H2" s="2466"/>
      <c r="I2" s="2466"/>
      <c r="J2" s="2466"/>
      <c r="K2" s="2467"/>
      <c r="L2" s="2466"/>
      <c r="M2" s="2466"/>
    </row>
    <row r="3" spans="1:37" ht="18" customHeight="1" thickBot="1">
      <c r="A3" s="1297" t="s">
        <v>881</v>
      </c>
      <c r="B3" s="1298">
        <f ca="1">IF(ISERROR(D2/F43),0,ROUND(D2/F43,0))</f>
        <v>0</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t="e">
        <f ca="1">C6+C10+C12</f>
        <v>#N/A</v>
      </c>
      <c r="D5" s="1273" t="s">
        <v>889</v>
      </c>
      <c r="E5" s="1008"/>
      <c r="F5" s="1009"/>
      <c r="G5" s="1292"/>
      <c r="H5" s="291">
        <v>1</v>
      </c>
      <c r="I5" s="292" t="s">
        <v>888</v>
      </c>
      <c r="J5" s="1007" t="e">
        <f ca="1">J6+J10+J12</f>
        <v>#N/A</v>
      </c>
      <c r="K5" s="1273" t="s">
        <v>889</v>
      </c>
      <c r="L5" s="1008"/>
      <c r="M5" s="1009"/>
    </row>
    <row r="6" spans="1:37" ht="18" customHeight="1">
      <c r="A6" s="1006" t="s">
        <v>398</v>
      </c>
      <c r="B6" s="3377" t="s">
        <v>694</v>
      </c>
      <c r="C6" s="1011" t="e">
        <f ca="1">ROUND(F6*F8*F7*(1-F9),0)</f>
        <v>#N/A</v>
      </c>
      <c r="D6" s="147" t="s">
        <v>2106</v>
      </c>
      <c r="E6" s="294" t="s">
        <v>696</v>
      </c>
      <c r="F6" s="295" t="e">
        <f ca="1">INDIRECT("'数据-取费表'!u"&amp;$G$1)</f>
        <v>#N/A</v>
      </c>
      <c r="G6" s="1292"/>
      <c r="H6" s="1006" t="s">
        <v>398</v>
      </c>
      <c r="I6" s="3377" t="s">
        <v>694</v>
      </c>
      <c r="J6" s="293" t="e">
        <f ca="1">ROUND(M6*M8*M7*(1-M9),0)</f>
        <v>#N/A</v>
      </c>
      <c r="K6" s="1284" t="s">
        <v>2107</v>
      </c>
      <c r="L6" s="294" t="s">
        <v>696</v>
      </c>
      <c r="M6" s="295" t="e">
        <f ca="1">INDIRECT("'数据-取费表'!z"&amp;$G$1)</f>
        <v>#N/A</v>
      </c>
    </row>
    <row r="7" spans="1:37" ht="18" customHeight="1">
      <c r="A7" s="1010"/>
      <c r="B7" s="3378"/>
      <c r="C7" s="1012"/>
      <c r="D7" s="299"/>
      <c r="E7" s="1013" t="s">
        <v>697</v>
      </c>
      <c r="F7" s="295" t="e">
        <f ca="1">IF(INDIRECT("'数据-取费表'!ah"&amp;$G$1)="",INDIRECT("'数据-取费表'!k"&amp;$G$1),INDIRECT("'数据-取费表'!ah"&amp;$G$1))</f>
        <v>#N/A</v>
      </c>
      <c r="G7" s="1292"/>
      <c r="H7" s="296"/>
      <c r="I7" s="3378"/>
      <c r="J7" s="298"/>
      <c r="K7" s="299"/>
      <c r="L7" s="294" t="s">
        <v>697</v>
      </c>
      <c r="M7" s="295" t="e">
        <f ca="1">F7</f>
        <v>#N/A</v>
      </c>
    </row>
    <row r="8" spans="1:37" ht="18" customHeight="1">
      <c r="A8" s="296"/>
      <c r="B8" s="3378"/>
      <c r="C8" s="298"/>
      <c r="D8" s="299"/>
      <c r="E8" s="294" t="s">
        <v>698</v>
      </c>
      <c r="F8" s="295" t="e">
        <f ca="1">INDIRECT("'数据-取费表'!ai"&amp;$G$1)</f>
        <v>#N/A</v>
      </c>
      <c r="G8" s="1292"/>
      <c r="H8" s="296"/>
      <c r="I8" s="3378"/>
      <c r="J8" s="298"/>
      <c r="K8" s="299"/>
      <c r="L8" s="294" t="s">
        <v>698</v>
      </c>
      <c r="M8" s="295" t="e">
        <f ca="1">INDIRECT("'数据-取费表'!ai"&amp;$G$1)</f>
        <v>#N/A</v>
      </c>
    </row>
    <row r="9" spans="1:37" ht="18" customHeight="1">
      <c r="A9" s="296"/>
      <c r="B9" s="3379"/>
      <c r="C9" s="298"/>
      <c r="D9" s="299"/>
      <c r="E9" s="294" t="s">
        <v>699</v>
      </c>
      <c r="F9" s="304" t="e">
        <f ca="1">INDIRECT("'数据-取费表'!w"&amp;$G$1)</f>
        <v>#N/A</v>
      </c>
      <c r="G9" s="1292"/>
      <c r="H9" s="296"/>
      <c r="I9" s="3379"/>
      <c r="J9" s="298"/>
      <c r="K9" s="299"/>
      <c r="L9" s="305" t="s">
        <v>699</v>
      </c>
      <c r="M9" s="306" t="e">
        <f ca="1">INDIRECT("'数据-取费表'!ab"&amp;$G$1)</f>
        <v>#N/A</v>
      </c>
    </row>
    <row r="10" spans="1:37" ht="18" customHeight="1">
      <c r="A10" s="1006" t="s">
        <v>402</v>
      </c>
      <c r="B10" s="1274" t="s">
        <v>700</v>
      </c>
      <c r="C10" s="308" t="e">
        <f ca="1">ROUND(IF(F10="押一",C6/12*F11,IF(F10="押二",C6/12*2*F11,IF(F10="押三",C6/12*3*F11,C11*F11))),0)</f>
        <v>#N/A</v>
      </c>
      <c r="D10" s="150" t="s">
        <v>2116</v>
      </c>
      <c r="E10" s="305" t="s">
        <v>701</v>
      </c>
      <c r="F10" s="1053" t="s">
        <v>3436</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#N/A</v>
      </c>
      <c r="D13" s="1018" t="s">
        <v>705</v>
      </c>
      <c r="E13" s="1018" t="s">
        <v>706</v>
      </c>
      <c r="F13" s="1019" t="e">
        <f ca="1">INDIRECT("'数据-取费表'!y"&amp;$G$1)</f>
        <v>#N/A</v>
      </c>
      <c r="G13" s="1292"/>
      <c r="H13" s="1016">
        <v>2</v>
      </c>
      <c r="I13" s="1017" t="s">
        <v>704</v>
      </c>
      <c r="J13" s="1005" t="e">
        <f ca="1">ROUND(J14*J15,0)</f>
        <v>#N/A</v>
      </c>
      <c r="K13" s="1024" t="s">
        <v>705</v>
      </c>
      <c r="L13" s="1299"/>
      <c r="M13" s="1300"/>
    </row>
    <row r="14" spans="1:37" ht="18" customHeight="1">
      <c r="A14" s="928" t="s">
        <v>397</v>
      </c>
      <c r="B14" s="294" t="s">
        <v>707</v>
      </c>
      <c r="C14" s="310" t="e">
        <f ca="1">ROUND(INDIRECT("'数据-取费表'!l"&amp;$G$1)*F43+'数据-取费表'!L14*INDIRECT("'数据-取费表'!S"&amp;$G$1),0)</f>
        <v>#N/A</v>
      </c>
      <c r="D14" s="1257" t="s">
        <v>708</v>
      </c>
      <c r="E14" s="1255"/>
      <c r="F14" s="311"/>
      <c r="G14" s="1292"/>
      <c r="H14" s="928" t="s">
        <v>398</v>
      </c>
      <c r="I14" s="294" t="s">
        <v>709</v>
      </c>
      <c r="J14" s="21" t="e">
        <f ca="1">C29</f>
        <v>#N/A</v>
      </c>
      <c r="K14" s="12"/>
      <c r="L14" s="759"/>
      <c r="M14" s="760"/>
    </row>
    <row r="15" spans="1:37" s="1304" customFormat="1" ht="18" customHeight="1" thickBot="1">
      <c r="A15" s="928" t="s">
        <v>399</v>
      </c>
      <c r="B15" s="294" t="s">
        <v>710</v>
      </c>
      <c r="C15" s="21" t="e">
        <f ca="1">ROUND(C14*F15,0)</f>
        <v>#N/A</v>
      </c>
      <c r="D15" s="312" t="s">
        <v>711</v>
      </c>
      <c r="E15" s="312" t="s">
        <v>712</v>
      </c>
      <c r="F15" s="313">
        <f>'数据-取费表'!B33</f>
        <v>0.05</v>
      </c>
      <c r="G15" s="1303"/>
      <c r="H15" s="1026" t="s">
        <v>402</v>
      </c>
      <c r="I15" s="1027" t="s">
        <v>706</v>
      </c>
      <c r="J15" s="1036" t="e">
        <f ca="1">INDIRECT("'数据-取费表'!ad"&amp;$G$1)</f>
        <v>#N/A</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t="e">
        <f ca="1">ROUND(INDIRECT("'数据-取费表'!l"&amp;$G$1)*F43*F16,0)</f>
        <v>#N/A</v>
      </c>
      <c r="D16" s="294" t="s">
        <v>711</v>
      </c>
      <c r="E16" s="294" t="s">
        <v>712</v>
      </c>
      <c r="F16" s="314" t="e">
        <f ca="1">IF(INDIRECT("'数据-取费表'!c"&amp;$G$1)="住宅",'数据-取费表'!B34,0)</f>
        <v>#N/A</v>
      </c>
      <c r="G16" s="1292"/>
      <c r="H16" s="1016" t="s">
        <v>393</v>
      </c>
      <c r="I16" s="1017" t="s">
        <v>714</v>
      </c>
      <c r="J16" s="302" t="e">
        <f ca="1">ROUND(J17+J22+J23+J24,0)</f>
        <v>#N/A</v>
      </c>
      <c r="K16" s="1024" t="s">
        <v>715</v>
      </c>
      <c r="L16" s="1025"/>
      <c r="M16" s="1009"/>
    </row>
    <row r="17" spans="1:37" s="1304" customFormat="1" ht="18" customHeight="1">
      <c r="A17" s="928" t="s">
        <v>681</v>
      </c>
      <c r="B17" s="294" t="s">
        <v>716</v>
      </c>
      <c r="C17" s="21" t="e">
        <f ca="1">ROUND(F17*(F43+INDIRECT("'数据-取费表'!S"&amp;$G$1)),0)</f>
        <v>#N/A</v>
      </c>
      <c r="D17" s="294" t="s">
        <v>717</v>
      </c>
      <c r="E17" s="294" t="s">
        <v>718</v>
      </c>
      <c r="F17" s="23">
        <f>'数据-取费表'!B35</f>
        <v>200</v>
      </c>
      <c r="G17" s="1303"/>
      <c r="H17" s="928" t="s">
        <v>398</v>
      </c>
      <c r="I17" s="294" t="s">
        <v>719</v>
      </c>
      <c r="J17" s="2140" t="e">
        <f ca="1">ROUND(IF(AND(项目基本情况!B11="自然人",项目基本情况!B10="北京市"),J6*M17/(1+'数据-取费表'!C42),J18+J19+J20),0)</f>
        <v>#N/A</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t="e">
        <f ca="1">ROUND(C14*F18,0)</f>
        <v>#N/A</v>
      </c>
      <c r="D18" s="294" t="s">
        <v>711</v>
      </c>
      <c r="E18" s="294" t="s">
        <v>712</v>
      </c>
      <c r="F18" s="314">
        <f>'数据-取费表'!B36</f>
        <v>0.02</v>
      </c>
      <c r="G18" s="1303"/>
      <c r="H18" s="928" t="s">
        <v>397</v>
      </c>
      <c r="I18" s="294" t="s">
        <v>723</v>
      </c>
      <c r="J18" s="21" t="e">
        <f ca="1">ROUND(J6*M18/(1+'数据-取费表'!C42),0)</f>
        <v>#N/A</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t="e">
        <f ca="1">SUM(C14:C18)</f>
        <v>#N/A</v>
      </c>
      <c r="D19" s="123" t="s">
        <v>726</v>
      </c>
      <c r="E19" s="1269"/>
      <c r="F19" s="23"/>
      <c r="G19" s="1292"/>
      <c r="H19" s="928" t="s">
        <v>399</v>
      </c>
      <c r="I19" s="294" t="s">
        <v>727</v>
      </c>
      <c r="J19" s="21" t="e">
        <f ca="1">IF(K19="按租金收入计税",ROUND(J6*M19/(1+'数据-取费表'!C42),0),ROUND(C29*M19*0.7,0))</f>
        <v>#N/A</v>
      </c>
      <c r="K19" s="1278" t="s">
        <v>3332</v>
      </c>
      <c r="L19" s="294" t="s">
        <v>712</v>
      </c>
      <c r="M19" s="314">
        <f>IF(K19="按租金收入计税",'数据-取费表'!B51,'数据-取费表'!B50)</f>
        <v>0.12</v>
      </c>
    </row>
    <row r="20" spans="1:37" s="1304" customFormat="1" ht="18" customHeight="1">
      <c r="A20" s="928" t="s">
        <v>402</v>
      </c>
      <c r="B20" s="294" t="s">
        <v>728</v>
      </c>
      <c r="C20" s="21" t="e">
        <f ca="1">ROUND(C19*F20,0)</f>
        <v>#N/A</v>
      </c>
      <c r="D20" s="315" t="s">
        <v>729</v>
      </c>
      <c r="E20" s="294" t="s">
        <v>712</v>
      </c>
      <c r="F20" s="314">
        <f>'数据-取费表'!B37</f>
        <v>0.02</v>
      </c>
      <c r="G20" s="1303"/>
      <c r="H20" s="928" t="s">
        <v>680</v>
      </c>
      <c r="I20" s="147" t="s">
        <v>730</v>
      </c>
      <c r="J20" s="22" t="e">
        <f ca="1">ROUND(M20*M21,0)</f>
        <v>#N/A</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t="e">
        <f ca="1">INDIRECT("'数据-取费表'!r"&amp;$G$1)</f>
        <v>#N/A</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t="e">
        <f ca="1">ROUND(J14*M22,0)</f>
        <v>#N/A</v>
      </c>
      <c r="K22" s="1256" t="s">
        <v>739</v>
      </c>
      <c r="L22" s="294" t="s">
        <v>712</v>
      </c>
      <c r="M22" s="320" t="e">
        <f ca="1">INDIRECT("'数据-取费表'!Ak"&amp;$G$1)</f>
        <v>#N/A</v>
      </c>
    </row>
    <row r="23" spans="1:37" s="1304" customFormat="1" ht="18" customHeight="1">
      <c r="A23" s="928" t="s">
        <v>397</v>
      </c>
      <c r="B23" s="294" t="s">
        <v>740</v>
      </c>
      <c r="C23" s="21" t="e">
        <f ca="1">IF('数据-取费表'!B22&lt;=1,ROUND(C19*F24*F23/2,0)+ROUND(C20*F24*F23/2,0),ROUND(C19*(POWER((1+F24),F23/2)-1),0)+ROUND(C20*(POWER((1+F24),F23/2)-1),0))</f>
        <v>#N/A</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t="e">
        <f ca="1">ROUND(J13*M23,0)</f>
        <v>#N/A</v>
      </c>
      <c r="K23" s="1256" t="s">
        <v>743</v>
      </c>
      <c r="L23" s="294" t="s">
        <v>744</v>
      </c>
      <c r="M23" s="321" t="e">
        <f ca="1">INDIRECT("'数据-取费表'!Al"&amp;$G$1)</f>
        <v>#N/A</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3.1E-2</v>
      </c>
      <c r="G24" s="1303"/>
      <c r="H24" s="1026" t="s">
        <v>684</v>
      </c>
      <c r="I24" s="1027" t="s">
        <v>728</v>
      </c>
      <c r="J24" s="1028" t="e">
        <f ca="1">ROUND(J5*M24,0)</f>
        <v>#N/A</v>
      </c>
      <c r="K24" s="1029" t="s">
        <v>748</v>
      </c>
      <c r="L24" s="1027" t="s">
        <v>744</v>
      </c>
      <c r="M24" s="1023" t="e">
        <f ca="1">INDIRECT("'数据-取费表'!Am"&amp;$G$1)</f>
        <v>#N/A</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#N/A</v>
      </c>
      <c r="K25" s="1032" t="s">
        <v>753</v>
      </c>
      <c r="L25" s="1033"/>
      <c r="M25" s="1034"/>
    </row>
    <row r="26" spans="1:37" ht="18" customHeight="1">
      <c r="A26" s="928" t="s">
        <v>397</v>
      </c>
      <c r="B26" s="294" t="s">
        <v>754</v>
      </c>
      <c r="C26" s="21" t="e">
        <f ca="1">ROUND((C19+C20)*F26,0)</f>
        <v>#N/A</v>
      </c>
      <c r="D26" s="315" t="s">
        <v>755</v>
      </c>
      <c r="E26" s="305" t="s">
        <v>756</v>
      </c>
      <c r="F26" s="304" t="e">
        <f ca="1">INDIRECT("'数据-取费表'!q"&amp;$G$1)</f>
        <v>#N/A</v>
      </c>
      <c r="G26" s="1292"/>
      <c r="H26" s="291" t="s">
        <v>395</v>
      </c>
      <c r="I26" s="292" t="s">
        <v>757</v>
      </c>
      <c r="J26" s="293" t="e">
        <f ca="1">IF(J5&lt;&gt;0,ROUND(J25*(1-((1+M28)/(1+M26))^M27)/(M26-M28),0),0)</f>
        <v>#N/A</v>
      </c>
      <c r="K26" s="316" t="s">
        <v>758</v>
      </c>
      <c r="L26" s="294" t="s">
        <v>759</v>
      </c>
      <c r="M26" s="304" t="e">
        <f ca="1">INDIRECT("'数据-取费表'!I"&amp;$G$1)</f>
        <v>#N/A</v>
      </c>
    </row>
    <row r="27" spans="1:37" ht="18" customHeight="1">
      <c r="A27" s="928" t="s">
        <v>399</v>
      </c>
      <c r="B27" s="294" t="s">
        <v>760</v>
      </c>
      <c r="C27" s="21" t="e">
        <f ca="1">ROUND(F21*F26,4)</f>
        <v>#N/A</v>
      </c>
      <c r="D27" s="315" t="s">
        <v>761</v>
      </c>
      <c r="E27" s="312"/>
      <c r="F27" s="313"/>
      <c r="G27" s="1292"/>
      <c r="H27" s="296"/>
      <c r="I27" s="297"/>
      <c r="J27" s="298"/>
      <c r="K27" s="323" t="s">
        <v>762</v>
      </c>
      <c r="L27" s="294" t="s">
        <v>763</v>
      </c>
      <c r="M27" s="324" t="e">
        <f ca="1">INDIRECT("'数据-取费表'!ag"&amp;$G$1)</f>
        <v>#N/A</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t="e">
        <f ca="1">INDIRECT("'数据-取费表'!aa"&amp;$G$1)</f>
        <v>#N/A</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#N/A</v>
      </c>
      <c r="D29" s="1029"/>
      <c r="E29" s="1027"/>
      <c r="F29" s="1030"/>
      <c r="G29" s="1303"/>
      <c r="H29" s="325" t="s">
        <v>396</v>
      </c>
      <c r="I29" s="326" t="s">
        <v>768</v>
      </c>
      <c r="J29" s="327" t="e">
        <f ca="1">ROUND(J26/(1+F40)^F41,0)</f>
        <v>#N/A</v>
      </c>
      <c r="K29" s="328" t="s">
        <v>769</v>
      </c>
      <c r="L29" s="329"/>
      <c r="M29" s="330" t="e">
        <f ca="1">INDIRECT("'数据-取费表'!k"&amp;$G$1)</f>
        <v>#N/A</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#N/A</v>
      </c>
      <c r="D30" s="1024" t="s">
        <v>715</v>
      </c>
      <c r="E30" s="1025"/>
      <c r="F30" s="1009"/>
      <c r="G30" s="1292"/>
      <c r="H30" s="2468"/>
      <c r="I30" s="1305"/>
      <c r="J30" s="1306"/>
      <c r="K30" s="121"/>
      <c r="L30" s="2469"/>
      <c r="M30" s="2470"/>
    </row>
    <row r="31" spans="1:37" ht="18" customHeight="1">
      <c r="A31" s="928" t="s">
        <v>398</v>
      </c>
      <c r="B31" s="294" t="s">
        <v>719</v>
      </c>
      <c r="C31" s="2140" t="e">
        <f ca="1">ROUND(IF(AND(项目基本情况!B11="自然人",项目基本情况!B10="北京市"),C6*F31/(1+'数据-取费表'!C42),C32+C33+C34),0)</f>
        <v>#N/A</v>
      </c>
      <c r="D31" s="1257" t="s">
        <v>720</v>
      </c>
      <c r="E31" s="1256" t="s">
        <v>770</v>
      </c>
      <c r="F31" s="2139" t="str">
        <f>IF(项目基本情况!B11="企业","——",IF(M47="住宅",IF(F6*F7*F8/12/(1+'数据-取费表'!F30)&gt;100000,4%,2.5%),IF(F6*F7*F8/12/(1+'数据-取费表'!F30)&gt;100000,12%,7%)))</f>
        <v>——</v>
      </c>
      <c r="G31" s="1292"/>
      <c r="H31" s="2567" t="s">
        <v>2302</v>
      </c>
      <c r="I31" s="1305"/>
      <c r="J31" s="1306"/>
      <c r="K31" s="121"/>
      <c r="L31" s="2469"/>
      <c r="M31" s="2470"/>
    </row>
    <row r="32" spans="1:37" ht="18" customHeight="1">
      <c r="A32" s="928" t="s">
        <v>397</v>
      </c>
      <c r="B32" s="294" t="s">
        <v>723</v>
      </c>
      <c r="C32" s="21" t="e">
        <f ca="1">IF(项目基本情况!B11="自然人","——",ROUND(C6*F32/(1+'数据-取费表'!C42),0))</f>
        <v>#N/A</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t="e">
        <f ca="1">IF(项目基本情况!B11="自然人","——",IF(D33="按租金收入计税",ROUND(C6*F33/(1+'数据-取费表'!C42),0),IF(D33="按房产原值计税",ROUND(C29*F33*0.7,0),INDIRECT("'数据-取费表'!Aj"&amp;$G$1))))</f>
        <v>#N/A</v>
      </c>
      <c r="D33" s="1278" t="s">
        <v>3332</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e">
        <f ca="1">IF(项目基本情况!B11="自然人","——",ROUND(F34*F35,0))</f>
        <v>#N/A</v>
      </c>
      <c r="D34" s="316" t="s">
        <v>731</v>
      </c>
      <c r="E34" s="294" t="s">
        <v>732</v>
      </c>
      <c r="F34" s="317">
        <f>'数据-取费表'!B52</f>
        <v>3</v>
      </c>
      <c r="G34" s="1292"/>
      <c r="H34" s="2468"/>
      <c r="I34" s="1305"/>
      <c r="J34" s="1306"/>
      <c r="K34" s="2473"/>
      <c r="L34" s="2474"/>
      <c r="M34" s="2474"/>
    </row>
    <row r="35" spans="1:18" ht="18" customHeight="1">
      <c r="A35" s="1040"/>
      <c r="B35" s="1038"/>
      <c r="C35" s="26"/>
      <c r="D35" s="319"/>
      <c r="E35" s="294" t="s">
        <v>736</v>
      </c>
      <c r="F35" s="295" t="e">
        <f ca="1">INDIRECT("'数据-取费表'!r"&amp;$G$1)</f>
        <v>#N/A</v>
      </c>
      <c r="G35" s="1292"/>
      <c r="H35" s="2468"/>
      <c r="I35" s="1305"/>
      <c r="J35" s="1306"/>
      <c r="K35" s="2472"/>
      <c r="L35" s="2471"/>
      <c r="M35" s="2471"/>
    </row>
    <row r="36" spans="1:18" ht="18" customHeight="1">
      <c r="A36" s="1039" t="s">
        <v>402</v>
      </c>
      <c r="B36" s="294" t="s">
        <v>738</v>
      </c>
      <c r="C36" s="21" t="e">
        <f ca="1">ROUND(C29*F36,0)</f>
        <v>#N/A</v>
      </c>
      <c r="D36" s="1256" t="s">
        <v>771</v>
      </c>
      <c r="E36" s="294" t="s">
        <v>712</v>
      </c>
      <c r="F36" s="320" t="e">
        <f ca="1">INDIRECT("'数据-取费表'!Ak"&amp;$G$1)</f>
        <v>#N/A</v>
      </c>
      <c r="G36" s="1292"/>
      <c r="H36" s="2471"/>
      <c r="I36" s="1305"/>
      <c r="J36" s="1306"/>
      <c r="K36" s="2329"/>
      <c r="L36" s="2471"/>
      <c r="M36" s="2471"/>
    </row>
    <row r="37" spans="1:18" ht="18" customHeight="1">
      <c r="A37" s="928" t="s">
        <v>437</v>
      </c>
      <c r="B37" s="294" t="s">
        <v>742</v>
      </c>
      <c r="C37" s="21" t="e">
        <f ca="1">ROUND(C13*F37,0)</f>
        <v>#N/A</v>
      </c>
      <c r="D37" s="1256" t="s">
        <v>743</v>
      </c>
      <c r="E37" s="294" t="s">
        <v>744</v>
      </c>
      <c r="F37" s="321" t="e">
        <f ca="1">INDIRECT("'数据-取费表'!Al"&amp;$G$1)</f>
        <v>#N/A</v>
      </c>
      <c r="G37" s="1292"/>
      <c r="H37" s="2471"/>
      <c r="I37" s="1305"/>
      <c r="J37" s="1306"/>
      <c r="K37" s="2329"/>
      <c r="L37" s="2471"/>
      <c r="M37" s="2471"/>
    </row>
    <row r="38" spans="1:18" ht="18" customHeight="1" thickBot="1">
      <c r="A38" s="1026" t="s">
        <v>684</v>
      </c>
      <c r="B38" s="1027" t="s">
        <v>728</v>
      </c>
      <c r="C38" s="1028" t="e">
        <f ca="1">ROUND(C5*F38,0)</f>
        <v>#N/A</v>
      </c>
      <c r="D38" s="1029" t="s">
        <v>748</v>
      </c>
      <c r="E38" s="1027" t="s">
        <v>744</v>
      </c>
      <c r="F38" s="1023" t="e">
        <f ca="1">INDIRECT("'数据-取费表'!Am"&amp;$G$1)</f>
        <v>#N/A</v>
      </c>
      <c r="G38" s="1292"/>
      <c r="H38" s="2471"/>
      <c r="I38" s="1305"/>
      <c r="J38" s="1306"/>
      <c r="K38" s="2469"/>
      <c r="L38" s="2471"/>
      <c r="M38" s="2471"/>
    </row>
    <row r="39" spans="1:18" ht="24.6" customHeight="1" thickTop="1">
      <c r="A39" s="1016" t="s">
        <v>394</v>
      </c>
      <c r="B39" s="1031" t="s">
        <v>772</v>
      </c>
      <c r="C39" s="302" t="e">
        <f ca="1">C5-C30</f>
        <v>#N/A</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#N/A</v>
      </c>
      <c r="D40" s="316" t="s">
        <v>758</v>
      </c>
      <c r="E40" s="294" t="s">
        <v>759</v>
      </c>
      <c r="F40" s="304" t="e">
        <f ca="1">INDIRECT("'数据-取费表'!I"&amp;$G$1)</f>
        <v>#N/A</v>
      </c>
      <c r="G40" s="1292"/>
      <c r="H40" s="1366"/>
      <c r="I40" s="1305"/>
      <c r="J40" s="1306"/>
      <c r="K40" s="2469"/>
      <c r="L40" s="1366"/>
      <c r="M40" s="1366"/>
    </row>
    <row r="41" spans="1:18" ht="18" customHeight="1">
      <c r="A41" s="296"/>
      <c r="B41" s="297"/>
      <c r="C41" s="298"/>
      <c r="D41" s="323" t="s">
        <v>775</v>
      </c>
      <c r="E41" s="294" t="s">
        <v>763</v>
      </c>
      <c r="F41" s="324" t="e">
        <f ca="1">IF(INDIRECT("'数据-取费表'!af"&amp;$G$1)=0,INDIRECT("'数据-取费表'!ae"&amp;$G$1),INDIRECT("'数据-取费表'!af"&amp;$G$1))</f>
        <v>#N/A</v>
      </c>
      <c r="G41" s="1292"/>
      <c r="H41" s="121"/>
      <c r="I41" s="1305"/>
      <c r="J41" s="1306"/>
      <c r="K41" s="2329"/>
      <c r="L41" s="121"/>
      <c r="M41" s="121"/>
    </row>
    <row r="42" spans="1:18" ht="18" customHeight="1">
      <c r="A42" s="300"/>
      <c r="B42" s="301"/>
      <c r="C42" s="302"/>
      <c r="D42" s="319"/>
      <c r="E42" s="294" t="s">
        <v>766</v>
      </c>
      <c r="F42" s="304" t="e">
        <f ca="1">INDIRECT("'数据-取费表'!v"&amp;$G$1)</f>
        <v>#N/A</v>
      </c>
      <c r="G42" s="1292"/>
      <c r="H42" s="121"/>
      <c r="I42" s="1305"/>
      <c r="J42" s="1306"/>
      <c r="K42" s="2329"/>
      <c r="L42" s="121"/>
      <c r="M42" s="121"/>
    </row>
    <row r="43" spans="1:18" ht="18" customHeight="1" thickBot="1">
      <c r="A43" s="325" t="s">
        <v>396</v>
      </c>
      <c r="B43" s="326" t="s">
        <v>776</v>
      </c>
      <c r="C43" s="327" t="e">
        <f ca="1">ROUND(C40/F43,0)</f>
        <v>#N/A</v>
      </c>
      <c r="D43" s="328" t="s">
        <v>777</v>
      </c>
      <c r="E43" s="329" t="s">
        <v>778</v>
      </c>
      <c r="F43" s="330" t="e">
        <f ca="1">INDIRECT("'数据-取费表'!k"&amp;$G$1)</f>
        <v>#N/A</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3348</v>
      </c>
      <c r="B45" s="1307"/>
      <c r="C45" s="1376" t="e">
        <f ca="1">ROUND((C68-C40)/10000,4)</f>
        <v>#N/A</v>
      </c>
      <c r="D45" s="3128" t="s">
        <v>3349</v>
      </c>
      <c r="E45" s="1307"/>
      <c r="F45" s="1307"/>
      <c r="O45" s="1310" t="s">
        <v>808</v>
      </c>
      <c r="P45" s="1366"/>
      <c r="Q45" s="1366"/>
      <c r="R45" s="1366"/>
    </row>
    <row r="46" spans="1:18" s="1292" customFormat="1" ht="13.8" thickBot="1">
      <c r="A46" s="1311" t="s">
        <v>809</v>
      </c>
      <c r="C46" s="1312" t="e">
        <f ca="1">ROUND(C45,0)</f>
        <v>#N/A</v>
      </c>
      <c r="D46" s="1313" t="str">
        <f>C2</f>
        <v>万元</v>
      </c>
      <c r="I46" s="1314" t="s">
        <v>810</v>
      </c>
      <c r="J46" s="1315"/>
      <c r="K46" s="1316"/>
      <c r="L46" s="1317" t="e">
        <f ca="1">IF(M47="住宅",0,IF(L48&gt;J51,L60,J60))</f>
        <v>#N/A</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3437</v>
      </c>
      <c r="K47" s="1323" t="s">
        <v>816</v>
      </c>
      <c r="L47" s="1324" t="e">
        <f ca="1">INDIRECT("'数据-取费表'!d"&amp;$G$1)</f>
        <v>#N/A</v>
      </c>
      <c r="M47" s="1288" t="str">
        <f>IF(ISNUMBER(FIND("住宅",C1)),"住宅","非住宅")</f>
        <v>非住宅</v>
      </c>
      <c r="O47" s="1325" t="s">
        <v>403</v>
      </c>
      <c r="P47" s="1326" t="s">
        <v>817</v>
      </c>
      <c r="Q47" s="1327" t="e">
        <f ca="1">C40+J29</f>
        <v>#N/A</v>
      </c>
      <c r="R47" s="1327" t="s">
        <v>818</v>
      </c>
    </row>
    <row r="48" spans="1:18" s="1292" customFormat="1" ht="40.200000000000003" thickBot="1">
      <c r="A48" s="1047" t="s">
        <v>438</v>
      </c>
      <c r="B48" s="292" t="s">
        <v>692</v>
      </c>
      <c r="C48" s="1268" t="e">
        <f ca="1">C49+C53+C55</f>
        <v>#N/A</v>
      </c>
      <c r="D48" s="1049"/>
      <c r="E48" s="1050"/>
      <c r="F48" s="908"/>
      <c r="G48" s="681"/>
      <c r="H48" s="682"/>
      <c r="I48" s="1328" t="s">
        <v>819</v>
      </c>
      <c r="J48" s="1329" t="s">
        <v>3438</v>
      </c>
      <c r="K48" s="1330" t="s">
        <v>820</v>
      </c>
      <c r="L48" s="1331" t="e">
        <f ca="1">INDIRECT("'数据-取费表'!f"&amp;$G$1)</f>
        <v>#N/A</v>
      </c>
      <c r="O48" s="1325" t="s">
        <v>404</v>
      </c>
      <c r="P48" s="1326" t="s">
        <v>821</v>
      </c>
      <c r="Q48" s="1327" t="e">
        <f ca="1">J60</f>
        <v>#N/A</v>
      </c>
      <c r="R48" s="1327" t="s">
        <v>822</v>
      </c>
    </row>
    <row r="49" spans="1:18" s="1292" customFormat="1" ht="13.8" thickBot="1">
      <c r="A49" s="921" t="s">
        <v>439</v>
      </c>
      <c r="B49" s="1279" t="s">
        <v>779</v>
      </c>
      <c r="C49" s="1051" t="e">
        <f ca="1">ROUND(F49*F51*F50*(1-F52),0)</f>
        <v>#N/A</v>
      </c>
      <c r="D49" s="992" t="s">
        <v>695</v>
      </c>
      <c r="E49" s="1280" t="s">
        <v>780</v>
      </c>
      <c r="F49" s="997"/>
      <c r="H49" s="682"/>
      <c r="I49" s="1328" t="s">
        <v>823</v>
      </c>
      <c r="J49" s="1332">
        <f>'数据-取费表'!O19</f>
        <v>1992</v>
      </c>
      <c r="K49" s="1330" t="s">
        <v>824</v>
      </c>
      <c r="L49" s="1333"/>
      <c r="O49" s="1334" t="s">
        <v>405</v>
      </c>
      <c r="P49" s="1326" t="s">
        <v>825</v>
      </c>
      <c r="Q49" s="1327" t="e">
        <f ca="1">C29</f>
        <v>#N/A</v>
      </c>
      <c r="R49" s="1327" t="s">
        <v>818</v>
      </c>
    </row>
    <row r="50" spans="1:18" s="1292" customFormat="1" ht="13.8" thickBot="1">
      <c r="A50" s="922"/>
      <c r="B50" s="925"/>
      <c r="C50" s="926"/>
      <c r="D50" s="899"/>
      <c r="E50" s="993" t="s">
        <v>697</v>
      </c>
      <c r="F50" s="994" t="e">
        <f ca="1">F7</f>
        <v>#N/A</v>
      </c>
      <c r="H50" s="682"/>
      <c r="I50" s="1328" t="s">
        <v>826</v>
      </c>
      <c r="J50" s="1335">
        <f>SUMPRODUCT((I63:I65=J47)*(J62:L62=J48)*(J63:L65))</f>
        <v>60</v>
      </c>
      <c r="K50" s="1330" t="s">
        <v>827</v>
      </c>
      <c r="L50" s="1333"/>
      <c r="M50" s="1336"/>
      <c r="O50" s="1334" t="s">
        <v>406</v>
      </c>
      <c r="P50" s="1326" t="s">
        <v>828</v>
      </c>
      <c r="Q50" s="1337" t="e">
        <f ca="1">J58</f>
        <v>#N/A</v>
      </c>
      <c r="R50" s="1327"/>
    </row>
    <row r="51" spans="1:18" s="1292" customFormat="1" ht="13.8" thickBot="1">
      <c r="A51" s="923"/>
      <c r="B51" s="925"/>
      <c r="C51" s="926"/>
      <c r="D51" s="899"/>
      <c r="E51" s="927" t="s">
        <v>698</v>
      </c>
      <c r="F51" s="295" t="e">
        <f ca="1">F8</f>
        <v>#N/A</v>
      </c>
      <c r="I51" s="1338" t="s">
        <v>829</v>
      </c>
      <c r="J51" s="1331">
        <f>IF(J49="",J50,J49+J50-YEAR('数据-取费表'!B2))</f>
        <v>27</v>
      </c>
      <c r="K51" s="1339" t="s">
        <v>830</v>
      </c>
      <c r="L51" s="1340" t="e">
        <f ca="1">ROUND(-PV(INDIRECT("'数据-取费表'!h"&amp;$G$1),J51,(C39-C13*C76),0),0)</f>
        <v>#N/A</v>
      </c>
      <c r="M51" s="1341"/>
      <c r="O51" s="1334" t="s">
        <v>407</v>
      </c>
      <c r="P51" s="1326" t="s">
        <v>831</v>
      </c>
      <c r="Q51" s="1337">
        <f>J52</f>
        <v>7.0000000000000007E-2</v>
      </c>
      <c r="R51" s="1327"/>
    </row>
    <row r="52" spans="1:18" s="1292" customFormat="1" ht="13.8" thickBot="1">
      <c r="A52" s="923"/>
      <c r="B52" s="925"/>
      <c r="C52" s="926"/>
      <c r="D52" s="899"/>
      <c r="E52" s="927" t="s">
        <v>699</v>
      </c>
      <c r="F52" s="991"/>
      <c r="I52" s="1342" t="s">
        <v>832</v>
      </c>
      <c r="J52" s="1343">
        <v>7.0000000000000007E-2</v>
      </c>
      <c r="K52" s="1342" t="s">
        <v>833</v>
      </c>
      <c r="L52" s="1343"/>
      <c r="O52" s="1334" t="s">
        <v>408</v>
      </c>
      <c r="P52" s="1326" t="s">
        <v>834</v>
      </c>
      <c r="Q52" s="1327" t="e">
        <f ca="1">J53</f>
        <v>#N/A</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t="e">
        <f ca="1">IF(M47="住宅",IF(D1="——",MAX(J51,L48),MAX(J51,L48-'数据-取费表'!B24)),IF(D1="——",MIN(J51,L48),MIN(J51,L48-'数据-取费表'!B24)))</f>
        <v>#N/A</v>
      </c>
      <c r="K53" s="3380" t="s">
        <v>837</v>
      </c>
      <c r="L53" s="3381"/>
      <c r="O53" s="1325" t="s">
        <v>409</v>
      </c>
      <c r="P53" s="1326" t="s">
        <v>838</v>
      </c>
      <c r="Q53" s="1327" t="e">
        <f ca="1">Q47+Q48</f>
        <v>#N/A</v>
      </c>
      <c r="R53" s="1327" t="s">
        <v>410</v>
      </c>
    </row>
    <row r="54" spans="1:18" s="1292" customFormat="1" ht="13.8" thickBot="1">
      <c r="A54" s="921"/>
      <c r="B54" s="1377" t="s">
        <v>891</v>
      </c>
      <c r="C54" s="905"/>
      <c r="D54" s="150"/>
      <c r="E54" s="1282"/>
      <c r="F54" s="1345"/>
      <c r="I54" s="134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#N/A</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#N/A</v>
      </c>
      <c r="D56" s="1352"/>
      <c r="E56" s="1353"/>
      <c r="F56" s="1345"/>
      <c r="I56" s="1354" t="s">
        <v>842</v>
      </c>
      <c r="J56" s="1355"/>
      <c r="K56" s="1328" t="s">
        <v>843</v>
      </c>
      <c r="L56" s="1331" t="e">
        <f ca="1">IF(L48&lt;J51,"——",L48-J51)</f>
        <v>#N/A</v>
      </c>
      <c r="O56" s="1325" t="s">
        <v>403</v>
      </c>
      <c r="P56" s="1326" t="s">
        <v>817</v>
      </c>
      <c r="Q56" s="1327" t="e">
        <f ca="1">C40+J29</f>
        <v>#N/A</v>
      </c>
      <c r="R56" s="1327" t="s">
        <v>818</v>
      </c>
    </row>
    <row r="57" spans="1:18" s="1292" customFormat="1" ht="24.6" thickBot="1">
      <c r="A57" s="1356"/>
      <c r="B57" s="896" t="s">
        <v>767</v>
      </c>
      <c r="C57" s="230" t="e">
        <f ca="1">C29</f>
        <v>#N/A</v>
      </c>
      <c r="D57" s="1357"/>
      <c r="E57" s="1358"/>
      <c r="F57" s="1359"/>
      <c r="I57" s="1360" t="s">
        <v>844</v>
      </c>
      <c r="J57" s="1361" t="e">
        <f ca="1">IF(OR(M47="住宅",J51&lt;L48,J56="是"),"——",J51-L48)</f>
        <v>#N/A</v>
      </c>
      <c r="K57" s="1328" t="s">
        <v>892</v>
      </c>
      <c r="L57" s="1331" t="e">
        <f ca="1">IF(L48&lt;J51,"——",IF(L55="比较法",L49,IF(L55="基准地价",L50,L51)))</f>
        <v>#N/A</v>
      </c>
      <c r="O57" s="1325" t="s">
        <v>404</v>
      </c>
      <c r="P57" s="1326" t="s">
        <v>893</v>
      </c>
      <c r="Q57" s="1327" t="e">
        <f ca="1">L60</f>
        <v>#N/A</v>
      </c>
      <c r="R57" s="1327" t="s">
        <v>894</v>
      </c>
    </row>
    <row r="58" spans="1:18" s="1292" customFormat="1" ht="24.6" thickBot="1">
      <c r="A58" s="307" t="s">
        <v>393</v>
      </c>
      <c r="B58" s="904" t="s">
        <v>714</v>
      </c>
      <c r="C58" s="308" t="e">
        <f ca="1">ROUND(C59+C64+C65+C66,0)</f>
        <v>#N/A</v>
      </c>
      <c r="D58" s="906" t="s">
        <v>715</v>
      </c>
      <c r="E58" s="907"/>
      <c r="F58" s="908"/>
      <c r="I58" s="1360" t="s">
        <v>848</v>
      </c>
      <c r="J58" s="1362" t="e">
        <f ca="1">IF(J55&lt;0.4,0.4,J55)</f>
        <v>#N/A</v>
      </c>
      <c r="K58" s="1339" t="s">
        <v>895</v>
      </c>
      <c r="L58" s="1331" t="e">
        <f ca="1">ROUND(POWER(1+L52,L47-L48)*(POWER(1+L52,L48)-1)/(POWER(1+L52,L47)-1),4)</f>
        <v>#N/A</v>
      </c>
      <c r="O58" s="1334" t="s">
        <v>405</v>
      </c>
      <c r="P58" s="1326" t="s">
        <v>850</v>
      </c>
      <c r="Q58" s="1327">
        <f>IF(L55="比较法",L49,IF(L55="基准地价",L50,0))</f>
        <v>0</v>
      </c>
      <c r="R58" s="1327" t="s">
        <v>818</v>
      </c>
    </row>
    <row r="59" spans="1:18" s="1292" customFormat="1" ht="24.6" thickBot="1">
      <c r="A59" s="928" t="s">
        <v>398</v>
      </c>
      <c r="B59" s="896" t="s">
        <v>719</v>
      </c>
      <c r="C59" s="2140" t="e">
        <f ca="1">ROUND(IF(AND(项目基本情况!B11="自然人",项目基本情况!B10="北京市"),C49*F59/(1+'数据-取费表'!C42),C60+C61+C62),0)</f>
        <v>#N/A</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#N/A</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#N/A</v>
      </c>
      <c r="M59" s="1289" t="e">
        <f ca="1">ROUND(POWER(1+L52,L47-(J51+'数据-取费表'!B24))*(POWER(1+L52,(J51+'数据-取费表'!B24))-1)/(POWER(1+L52,L47)-1),4)</f>
        <v>#N/A</v>
      </c>
      <c r="N59" s="1289" t="e">
        <f ca="1">ROUND(POWER(1+L52,L47-(J51+'数据-取费表'!B20))*(POWER(1+L52,(J51+'数据-取费表'!B20))-1)/(POWER(1+L52,L47)-1),4)</f>
        <v>#N/A</v>
      </c>
      <c r="O59" s="1334" t="s">
        <v>406</v>
      </c>
      <c r="P59" s="1326" t="s">
        <v>852</v>
      </c>
      <c r="Q59" s="1337">
        <f>L52</f>
        <v>0</v>
      </c>
      <c r="R59" s="1327"/>
    </row>
    <row r="60" spans="1:18" s="1292" customFormat="1" ht="16.2" thickBot="1">
      <c r="A60" s="928" t="s">
        <v>397</v>
      </c>
      <c r="B60" s="896" t="s">
        <v>723</v>
      </c>
      <c r="C60" s="21" t="e">
        <f ca="1">IF(项目基本情况!B11="自然人","——",ROUND(C48*F60/(1+'数据-取费表'!C42),0))</f>
        <v>#N/A</v>
      </c>
      <c r="D60" s="910" t="s">
        <v>724</v>
      </c>
      <c r="E60" s="896" t="s">
        <v>712</v>
      </c>
      <c r="F60" s="322">
        <f t="shared" ref="F60:F66" si="0">F32</f>
        <v>5.6000000000000001E-2</v>
      </c>
      <c r="I60" s="1363" t="s">
        <v>853</v>
      </c>
      <c r="J60" s="1364" t="e">
        <f ca="1">IF(OR(M47="住宅",J51&lt;L48,J56="是"),"0",ROUND(J59/(1+J52)^J53,0))</f>
        <v>#N/A</v>
      </c>
      <c r="K60" s="1365" t="s">
        <v>854</v>
      </c>
      <c r="L60" s="1364" t="e">
        <f ca="1">IF(OR(M47="住宅",L48&lt;J51),0,ROUND(L57*(L58/L59-1),0))</f>
        <v>#N/A</v>
      </c>
      <c r="O60" s="1334" t="s">
        <v>407</v>
      </c>
      <c r="P60" s="1326" t="s">
        <v>855</v>
      </c>
      <c r="Q60" s="1327" t="e">
        <f ca="1">L58</f>
        <v>#N/A</v>
      </c>
      <c r="R60" s="1327" t="s">
        <v>856</v>
      </c>
    </row>
    <row r="61" spans="1:18" s="1292" customFormat="1" ht="13.8" thickBot="1">
      <c r="A61" s="928" t="s">
        <v>781</v>
      </c>
      <c r="B61" s="896" t="s">
        <v>782</v>
      </c>
      <c r="C61" s="21" t="e">
        <f ca="1">IF(项目基本情况!B11="自然人","——",IF(D61="按租金收入计税",ROUND(C49*F61/(1+'数据-取费表'!C42),0),IF(D61="按房产原值计税",ROUND(C57*F61*0.7,0),INDIRECT("'数据-取费表'!Aj"&amp;$G$1))))</f>
        <v>#N/A</v>
      </c>
      <c r="D61" s="1278" t="s">
        <v>3332</v>
      </c>
      <c r="E61" s="896" t="s">
        <v>783</v>
      </c>
      <c r="F61" s="314">
        <f t="shared" si="0"/>
        <v>0.12</v>
      </c>
      <c r="I61" s="1366"/>
      <c r="J61" s="1366"/>
      <c r="K61" s="1366"/>
      <c r="L61" s="1366"/>
      <c r="O61" s="1334" t="s">
        <v>408</v>
      </c>
      <c r="P61" s="1326" t="str">
        <f>K59</f>
        <v>建筑物剩余耐用年限下的土地年期修正系数Kn</v>
      </c>
      <c r="Q61" s="1327" t="e">
        <f ca="1">L59</f>
        <v>#N/A</v>
      </c>
      <c r="R61" s="1327" t="s">
        <v>857</v>
      </c>
    </row>
    <row r="62" spans="1:18" s="1292" customFormat="1" ht="13.8" thickBot="1">
      <c r="A62" s="928" t="s">
        <v>784</v>
      </c>
      <c r="B62" s="895" t="s">
        <v>785</v>
      </c>
      <c r="C62" s="22" t="e">
        <f ca="1">IF(项目基本情况!B11="自然人","——",ROUND(F62*F63,0))</f>
        <v>#N/A</v>
      </c>
      <c r="D62" s="911" t="s">
        <v>786</v>
      </c>
      <c r="E62" s="896" t="s">
        <v>787</v>
      </c>
      <c r="F62" s="317">
        <f t="shared" si="0"/>
        <v>3</v>
      </c>
      <c r="I62" s="1367" t="s">
        <v>858</v>
      </c>
      <c r="J62" s="610" t="s">
        <v>859</v>
      </c>
      <c r="K62" s="610" t="s">
        <v>860</v>
      </c>
      <c r="L62" s="610" t="s">
        <v>861</v>
      </c>
      <c r="M62" s="1368" t="s">
        <v>862</v>
      </c>
      <c r="O62" s="1325" t="s">
        <v>409</v>
      </c>
      <c r="P62" s="1326" t="s">
        <v>863</v>
      </c>
      <c r="Q62" s="1327" t="e">
        <f ca="1">Q56+Q57</f>
        <v>#N/A</v>
      </c>
      <c r="R62" s="1327" t="s">
        <v>410</v>
      </c>
    </row>
    <row r="63" spans="1:18" s="1292" customFormat="1" ht="13.8" thickBot="1">
      <c r="A63" s="318"/>
      <c r="B63" s="902"/>
      <c r="C63" s="26"/>
      <c r="D63" s="912"/>
      <c r="E63" s="896" t="s">
        <v>788</v>
      </c>
      <c r="F63" s="295" t="e">
        <f t="shared" ca="1" si="0"/>
        <v>#N/A</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ROUND(C57*F64,0)</f>
        <v>#N/A</v>
      </c>
      <c r="D64" s="910" t="s">
        <v>791</v>
      </c>
      <c r="E64" s="896" t="s">
        <v>783</v>
      </c>
      <c r="F64" s="320" t="e">
        <f t="shared" ca="1" si="0"/>
        <v>#N/A</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ROUND(C56*F65,0)</f>
        <v>#N/A</v>
      </c>
      <c r="D65" s="910" t="s">
        <v>743</v>
      </c>
      <c r="E65" s="896" t="s">
        <v>744</v>
      </c>
      <c r="F65" s="321" t="e">
        <f t="shared" ca="1" si="0"/>
        <v>#N/A</v>
      </c>
      <c r="I65" s="1367" t="s">
        <v>867</v>
      </c>
      <c r="J65" s="610">
        <v>40</v>
      </c>
      <c r="K65" s="610">
        <v>30</v>
      </c>
      <c r="L65" s="610">
        <v>50</v>
      </c>
      <c r="M65" s="1369">
        <v>0.02</v>
      </c>
      <c r="O65" s="1325" t="s">
        <v>403</v>
      </c>
      <c r="P65" s="1326" t="s">
        <v>868</v>
      </c>
      <c r="Q65" s="1327" t="e">
        <f ca="1">C40+J29</f>
        <v>#N/A</v>
      </c>
      <c r="R65" s="1327" t="s">
        <v>818</v>
      </c>
    </row>
    <row r="66" spans="1:18" s="1292" customFormat="1" ht="16.2" thickBot="1">
      <c r="A66" s="928" t="s">
        <v>793</v>
      </c>
      <c r="B66" s="896" t="s">
        <v>728</v>
      </c>
      <c r="C66" s="21" t="e">
        <f ca="1">ROUND(C48*F66,0)</f>
        <v>#N/A</v>
      </c>
      <c r="D66" s="910" t="s">
        <v>794</v>
      </c>
      <c r="E66" s="896" t="s">
        <v>712</v>
      </c>
      <c r="F66" s="304" t="e">
        <f t="shared" ca="1" si="0"/>
        <v>#N/A</v>
      </c>
      <c r="O66" s="1325" t="s">
        <v>404</v>
      </c>
      <c r="P66" s="1326" t="s">
        <v>846</v>
      </c>
      <c r="Q66" s="1327" t="e">
        <f ca="1">L60</f>
        <v>#N/A</v>
      </c>
      <c r="R66" s="1327" t="s">
        <v>869</v>
      </c>
    </row>
    <row r="67" spans="1:18" s="1292" customFormat="1" ht="24.6" thickBot="1">
      <c r="A67" s="903" t="s">
        <v>394</v>
      </c>
      <c r="B67" s="913" t="s">
        <v>752</v>
      </c>
      <c r="C67" s="308" t="e">
        <f ca="1">C48-C58</f>
        <v>#N/A</v>
      </c>
      <c r="D67" s="909" t="s">
        <v>753</v>
      </c>
      <c r="E67" s="914"/>
      <c r="F67" s="915"/>
      <c r="O67" s="1334" t="s">
        <v>405</v>
      </c>
      <c r="P67" s="1326" t="s">
        <v>850</v>
      </c>
      <c r="Q67" s="1370" t="e">
        <f ca="1">L51</f>
        <v>#N/A</v>
      </c>
      <c r="R67" s="1327" t="s">
        <v>870</v>
      </c>
    </row>
    <row r="68" spans="1:18" s="1292" customFormat="1" ht="16.2" thickBot="1">
      <c r="A68" s="893" t="s">
        <v>395</v>
      </c>
      <c r="B68" s="894" t="s">
        <v>774</v>
      </c>
      <c r="C68" s="293" t="e">
        <f ca="1">ROUND(C67*(1-((1+F70)/(1+F68))^F69)/(F68-F70),0)</f>
        <v>#N/A</v>
      </c>
      <c r="D68" s="911" t="s">
        <v>758</v>
      </c>
      <c r="E68" s="896" t="s">
        <v>759</v>
      </c>
      <c r="F68" s="304" t="e">
        <f ca="1">F40</f>
        <v>#N/A</v>
      </c>
      <c r="O68" s="1334" t="s">
        <v>406</v>
      </c>
      <c r="P68" s="1371" t="s">
        <v>871</v>
      </c>
      <c r="Q68" s="1327" t="e">
        <f ca="1">ROUND(Q69-Q70*Q71,0)</f>
        <v>#N/A</v>
      </c>
      <c r="R68" s="1327" t="s">
        <v>414</v>
      </c>
    </row>
    <row r="69" spans="1:18" s="1292" customFormat="1" ht="13.8" thickBot="1">
      <c r="A69" s="897"/>
      <c r="B69" s="898"/>
      <c r="C69" s="298"/>
      <c r="D69" s="916" t="s">
        <v>762</v>
      </c>
      <c r="E69" s="896" t="s">
        <v>763</v>
      </c>
      <c r="F69" s="324" t="e">
        <f ca="1">F41</f>
        <v>#N/A</v>
      </c>
      <c r="O69" s="1334" t="s">
        <v>411</v>
      </c>
      <c r="P69" s="1371" t="s">
        <v>872</v>
      </c>
      <c r="Q69" s="1327" t="e">
        <f ca="1">C39</f>
        <v>#N/A</v>
      </c>
      <c r="R69" s="1327" t="s">
        <v>818</v>
      </c>
    </row>
    <row r="70" spans="1:18" s="1292" customFormat="1" ht="13.8" thickBot="1">
      <c r="A70" s="900"/>
      <c r="B70" s="901"/>
      <c r="C70" s="302"/>
      <c r="D70" s="912"/>
      <c r="E70" s="896" t="s">
        <v>766</v>
      </c>
      <c r="F70" s="991"/>
      <c r="O70" s="1334" t="s">
        <v>412</v>
      </c>
      <c r="P70" s="1371" t="s">
        <v>873</v>
      </c>
      <c r="Q70" s="1327" t="e">
        <f ca="1">C13</f>
        <v>#N/A</v>
      </c>
      <c r="R70" s="1327" t="s">
        <v>818</v>
      </c>
    </row>
    <row r="71" spans="1:18" s="1292" customFormat="1" ht="13.8" thickBot="1">
      <c r="A71" s="917" t="s">
        <v>396</v>
      </c>
      <c r="B71" s="918" t="s">
        <v>776</v>
      </c>
      <c r="C71" s="327" t="e">
        <f ca="1">ROUND(C68/F71,0)</f>
        <v>#N/A</v>
      </c>
      <c r="D71" s="919" t="s">
        <v>777</v>
      </c>
      <c r="E71" s="920" t="s">
        <v>778</v>
      </c>
      <c r="F71" s="330" t="e">
        <f ca="1">F43</f>
        <v>#N/A</v>
      </c>
      <c r="O71" s="1334" t="s">
        <v>413</v>
      </c>
      <c r="P71" s="1371" t="s">
        <v>874</v>
      </c>
      <c r="Q71" s="1337" t="e">
        <f ca="1">C76</f>
        <v>#N/A</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#N/A</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#N/A</v>
      </c>
      <c r="R74" s="1327" t="s">
        <v>857</v>
      </c>
    </row>
    <row r="75" spans="1:18" ht="13.8" thickBot="1">
      <c r="A75" s="1292"/>
      <c r="B75" s="331" t="s">
        <v>795</v>
      </c>
      <c r="C75" s="332" t="e">
        <f ca="1">ROUND(C13*C76,0)</f>
        <v>#N/A</v>
      </c>
      <c r="D75" s="1292"/>
      <c r="E75" s="1292"/>
      <c r="F75" s="1292"/>
      <c r="K75" s="1309"/>
      <c r="L75" s="1292"/>
      <c r="O75" s="1325" t="s">
        <v>409</v>
      </c>
      <c r="P75" s="1326" t="s">
        <v>838</v>
      </c>
      <c r="Q75" s="1327" t="e">
        <f ca="1">Q65+Q66</f>
        <v>#N/A</v>
      </c>
      <c r="R75" s="1327" t="s">
        <v>410</v>
      </c>
    </row>
    <row r="76" spans="1:18">
      <c r="B76" s="333" t="s">
        <v>796</v>
      </c>
      <c r="C76" s="334" t="e">
        <f ca="1">INDIRECT("'数据-取费表'!j"&amp;$G$1)</f>
        <v>#N/A</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#N/A</v>
      </c>
    </row>
    <row r="80" spans="1:18">
      <c r="B80" s="331" t="s">
        <v>800</v>
      </c>
      <c r="C80" s="266" t="e">
        <f ca="1">ROUND(C75/C39,3)</f>
        <v>#N/A</v>
      </c>
    </row>
    <row r="81" spans="2:3">
      <c r="B81" s="262" t="s">
        <v>801</v>
      </c>
      <c r="C81" s="230"/>
    </row>
    <row r="82" spans="2:3">
      <c r="B82" s="265" t="s">
        <v>802</v>
      </c>
      <c r="C82" s="267" t="e">
        <f ca="1">1-C83</f>
        <v>#N/A</v>
      </c>
    </row>
    <row r="83" spans="2:3">
      <c r="B83" s="265" t="s">
        <v>803</v>
      </c>
      <c r="C83" s="266" t="e">
        <f ca="1">ROUND(C13/C40,3)</f>
        <v>#N/A</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36" priority="3">
      <formula>$F$10="自定义"</formula>
    </cfRule>
  </conditionalFormatting>
  <conditionalFormatting sqref="C54">
    <cfRule type="expression" dxfId="135" priority="1">
      <formula>$F$53="自定义"</formula>
    </cfRule>
  </conditionalFormatting>
  <conditionalFormatting sqref="I55 I60">
    <cfRule type="expression" dxfId="134" priority="5">
      <formula>$J$51&gt;$L$48</formula>
    </cfRule>
  </conditionalFormatting>
  <conditionalFormatting sqref="J11">
    <cfRule type="expression" dxfId="133" priority="2">
      <formula>$M$10="自定义"</formula>
    </cfRule>
  </conditionalFormatting>
  <conditionalFormatting sqref="K55 K60">
    <cfRule type="expression" dxfId="13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K21" sqref="K21"/>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t="s">
        <v>3451</v>
      </c>
      <c r="C1" s="190"/>
      <c r="D1" s="190"/>
      <c r="E1" s="190"/>
      <c r="F1" s="190"/>
      <c r="G1" s="1062">
        <f>MATCH(B1,'数据-取费表'!A6:A16,0)+5</f>
        <v>6</v>
      </c>
    </row>
    <row r="2" spans="1:9" s="192" customFormat="1" ht="18" customHeight="1">
      <c r="A2" s="193" t="s">
        <v>1462</v>
      </c>
      <c r="B2" s="194">
        <f ca="1">IF(D2="——",C52,C52-E2)</f>
        <v>7246</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33389</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 ca="1">C6+C7+C8</f>
        <v>4240</v>
      </c>
      <c r="D5" s="203" t="s">
        <v>1469</v>
      </c>
      <c r="E5" s="204" t="s">
        <v>1470</v>
      </c>
      <c r="F5" s="204" t="s">
        <v>1471</v>
      </c>
      <c r="G5" s="205"/>
    </row>
    <row r="6" spans="1:9" s="206" customFormat="1" ht="13.5" customHeight="1">
      <c r="A6" s="732" t="s">
        <v>1472</v>
      </c>
      <c r="B6" s="207" t="s">
        <v>1473</v>
      </c>
      <c r="C6" s="208">
        <f>基准地价修正!E33</f>
        <v>4073</v>
      </c>
      <c r="D6" s="209"/>
      <c r="E6" s="210"/>
      <c r="F6" s="210"/>
      <c r="G6" s="211"/>
    </row>
    <row r="7" spans="1:9" s="206" customFormat="1" ht="13.5" customHeight="1">
      <c r="A7" s="732" t="s">
        <v>1474</v>
      </c>
      <c r="B7" s="207" t="s">
        <v>1475</v>
      </c>
      <c r="C7" s="212">
        <f>ROUND(C6*F7,0)</f>
        <v>124</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43</v>
      </c>
      <c r="D8" s="214"/>
      <c r="E8" s="212"/>
      <c r="F8" s="213"/>
      <c r="G8" s="1714" t="s">
        <v>3434</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t="s">
        <v>3454</v>
      </c>
      <c r="H9" s="1070"/>
      <c r="I9" s="1716" t="s">
        <v>1479</v>
      </c>
    </row>
    <row r="10" spans="1:9" s="206" customFormat="1" ht="13.5" customHeight="1">
      <c r="A10" s="733" t="s">
        <v>356</v>
      </c>
      <c r="B10" s="216" t="s">
        <v>1480</v>
      </c>
      <c r="C10" s="217">
        <f ca="1">ROUND(D10*E10/10000,0)</f>
        <v>43</v>
      </c>
      <c r="D10" s="795">
        <f ca="1">IF(B1="",'数据-汇总表'!E6,IF(INDIRECT("'数据-取费表'!c"&amp;$G$1)="住宅",INDIRECT("'数据-取费表'!s"&amp;$G$1),INDIRECT("'数据-取费表'!k"&amp;$G$1)+INDIRECT("'数据-取费表'!s"&amp;$G$1)))</f>
        <v>2170.1999999999998</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2170.1999999999998</v>
      </c>
      <c r="E19" s="203">
        <f>'数据-取费表'!B31</f>
        <v>200</v>
      </c>
      <c r="F19" s="223"/>
      <c r="G19" s="1714" t="s">
        <v>3435</v>
      </c>
    </row>
    <row r="20" spans="1:7" s="206" customFormat="1" ht="13.5" customHeight="1">
      <c r="A20" s="247" t="s">
        <v>1493</v>
      </c>
      <c r="B20" s="202" t="s">
        <v>1494</v>
      </c>
      <c r="C20" s="224">
        <f ca="1">ROUND((C5+C19)*F20,0)</f>
        <v>85</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201</v>
      </c>
      <c r="D22" s="227">
        <f ca="1">C26</f>
        <v>5.0000000000000001E-4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199</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2</v>
      </c>
      <c r="D25" s="230"/>
      <c r="E25" s="233"/>
      <c r="F25" s="231"/>
      <c r="G25" s="234" t="s">
        <v>1510</v>
      </c>
    </row>
    <row r="26" spans="1:7" s="206" customFormat="1">
      <c r="A26" s="734" t="s">
        <v>350</v>
      </c>
      <c r="B26" s="207" t="s">
        <v>1511</v>
      </c>
      <c r="C26" s="230">
        <f ca="1">ROUND(IF('数据-取费表'!B22&lt;=1,F21*F22*'数据-取费表'!B23/2,F21*(POWER((1+F22),'数据-取费表'!B23/2)-1)),4)</f>
        <v>5.0000000000000001E-4</v>
      </c>
      <c r="D26" s="230"/>
      <c r="E26" s="233"/>
      <c r="F26" s="231"/>
      <c r="G26" s="235"/>
    </row>
    <row r="27" spans="1:7" s="206" customFormat="1" ht="26.4">
      <c r="A27" s="247" t="s">
        <v>1512</v>
      </c>
      <c r="B27" s="236" t="s">
        <v>1513</v>
      </c>
      <c r="C27" s="237">
        <f ca="1">C28</f>
        <v>865</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865</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5846</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1089</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977</v>
      </c>
      <c r="D34" s="209"/>
      <c r="E34" s="212"/>
      <c r="F34" s="249">
        <f ca="1">IF('数据-取费表'!B24=0,1,IF(B1="",'数据-取费表'!N16,INDIRECT("'数据-取费表'!n"&amp;$G$1)))</f>
        <v>1</v>
      </c>
      <c r="G34" s="211" t="s">
        <v>1526</v>
      </c>
    </row>
    <row r="35" spans="1:7" ht="13.5" customHeight="1">
      <c r="A35" s="734" t="s">
        <v>351</v>
      </c>
      <c r="B35" s="207" t="s">
        <v>1527</v>
      </c>
      <c r="C35" s="212">
        <f ca="1">ROUND(C34*F35,0)</f>
        <v>49</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43</v>
      </c>
      <c r="D37" s="209">
        <f ca="1">D19</f>
        <v>2170.1999999999998</v>
      </c>
      <c r="E37" s="241">
        <f>'数据-取费表'!B35</f>
        <v>200</v>
      </c>
      <c r="F37" s="251"/>
      <c r="G37" s="253" t="s">
        <v>1532</v>
      </c>
    </row>
    <row r="38" spans="1:7" ht="13.5" customHeight="1">
      <c r="A38" s="734" t="s">
        <v>354</v>
      </c>
      <c r="B38" s="207" t="s">
        <v>1533</v>
      </c>
      <c r="C38" s="212">
        <f ca="1">ROUND(C34*F38,0)</f>
        <v>20</v>
      </c>
      <c r="D38" s="212"/>
      <c r="E38" s="212"/>
      <c r="F38" s="251">
        <f>'数据-取费表'!B36</f>
        <v>0.02</v>
      </c>
      <c r="G38" s="211" t="s">
        <v>1528</v>
      </c>
    </row>
    <row r="39" spans="1:7" s="206" customFormat="1" ht="13.5" customHeight="1">
      <c r="A39" s="247" t="s">
        <v>1534</v>
      </c>
      <c r="B39" s="202" t="s">
        <v>1535</v>
      </c>
      <c r="C39" s="224">
        <f ca="1">ROUND(C33*F20,0)</f>
        <v>22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26</v>
      </c>
      <c r="D41" s="227">
        <f ca="1">C44</f>
        <v>5.0000000000000001E-4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25</v>
      </c>
      <c r="D42" s="230"/>
      <c r="E42" s="230"/>
      <c r="F42" s="231"/>
      <c r="G42" s="3374" t="s">
        <v>1544</v>
      </c>
    </row>
    <row r="43" spans="1:7" ht="13.5" customHeight="1">
      <c r="A43" s="734" t="s">
        <v>347</v>
      </c>
      <c r="B43" s="207" t="s">
        <v>1545</v>
      </c>
      <c r="C43" s="230">
        <f ca="1">ROUND(IF('数据-取费表'!B22&lt;=1,C39*F22*'数据-取费表'!B21/2,C39*(POWER((1+F22),'数据-取费表'!B21/2)-1)),0)</f>
        <v>1</v>
      </c>
      <c r="D43" s="230"/>
      <c r="E43" s="230"/>
      <c r="F43" s="231"/>
      <c r="G43" s="3375"/>
    </row>
    <row r="44" spans="1:7" ht="13.5" customHeight="1">
      <c r="A44" s="734" t="s">
        <v>348</v>
      </c>
      <c r="B44" s="207" t="s">
        <v>1546</v>
      </c>
      <c r="C44" s="230">
        <f ca="1">ROUND(IF('数据-取费表'!B22&lt;=1,C40*F22*'数据-取费表'!B21/2,C40*(POWER((1+F22),'数据-取费表'!B21/2)-1)),4)</f>
        <v>5.0000000000000001E-4</v>
      </c>
      <c r="D44" s="230"/>
      <c r="E44" s="230"/>
      <c r="F44" s="231"/>
      <c r="G44" s="3376"/>
    </row>
    <row r="45" spans="1:7" s="206" customFormat="1" ht="13.5" customHeight="1">
      <c r="A45" s="247" t="s">
        <v>1547</v>
      </c>
      <c r="B45" s="236" t="s">
        <v>1513</v>
      </c>
      <c r="C45" s="237">
        <f ca="1">C46</f>
        <v>222</v>
      </c>
      <c r="D45" s="227">
        <f ca="1">C47</f>
        <v>4.0000000000000001E-3</v>
      </c>
      <c r="E45" s="228" t="s">
        <v>1539</v>
      </c>
      <c r="F45" s="238">
        <f ca="1">F27</f>
        <v>0.2</v>
      </c>
      <c r="G45" s="239" t="s">
        <v>1548</v>
      </c>
    </row>
    <row r="46" spans="1:7" s="206" customFormat="1" ht="13.5" customHeight="1">
      <c r="A46" s="734" t="s">
        <v>346</v>
      </c>
      <c r="B46" s="240" t="s">
        <v>1549</v>
      </c>
      <c r="C46" s="241">
        <f ca="1">ROUND((C33+C39)*F27,0)</f>
        <v>222</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1474</v>
      </c>
      <c r="D49" s="224"/>
      <c r="E49" s="224"/>
      <c r="F49" s="256"/>
      <c r="G49" s="226" t="s">
        <v>1554</v>
      </c>
    </row>
    <row r="50" spans="1:7" s="250" customFormat="1" ht="24">
      <c r="A50" s="247" t="s">
        <v>1555</v>
      </c>
      <c r="B50" s="202" t="s">
        <v>1556</v>
      </c>
      <c r="C50" s="224"/>
      <c r="D50" s="224"/>
      <c r="E50" s="224"/>
      <c r="F50" s="256">
        <f>IF('数据-取费表'!B24=0,'数据-取费表'!N16,1)</f>
        <v>0.95</v>
      </c>
      <c r="G50" s="239" t="s">
        <v>1557</v>
      </c>
    </row>
    <row r="51" spans="1:7" ht="16.5" customHeight="1">
      <c r="A51" s="247" t="s">
        <v>1558</v>
      </c>
      <c r="B51" s="202" t="s">
        <v>1559</v>
      </c>
      <c r="C51" s="224">
        <f ca="1">ROUND(C49*F50,0)</f>
        <v>1400</v>
      </c>
      <c r="D51" s="224"/>
      <c r="E51" s="224"/>
      <c r="F51" s="256"/>
      <c r="G51" s="226" t="s">
        <v>1560</v>
      </c>
    </row>
    <row r="52" spans="1:7" s="200" customFormat="1" ht="16.8" thickBot="1">
      <c r="A52" s="257" t="s">
        <v>1561</v>
      </c>
      <c r="B52" s="258"/>
      <c r="C52" s="259">
        <f ca="1">C31+C51</f>
        <v>7246</v>
      </c>
      <c r="D52" s="258"/>
      <c r="E52" s="258"/>
      <c r="F52" s="258"/>
      <c r="G52" s="260"/>
    </row>
    <row r="55" spans="1:7" ht="15">
      <c r="B55" s="262" t="s">
        <v>1562</v>
      </c>
      <c r="C55" s="263"/>
    </row>
    <row r="56" spans="1:7">
      <c r="B56" s="265" t="s">
        <v>802</v>
      </c>
      <c r="C56" s="267">
        <f ca="1">1-C57</f>
        <v>0.80699999999999994</v>
      </c>
    </row>
    <row r="57" spans="1:7">
      <c r="B57" s="265" t="s">
        <v>803</v>
      </c>
      <c r="C57" s="266">
        <f ca="1">ROUND(C51/C52,3)</f>
        <v>0.193</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5"/>
      <c r="F1" s="2565"/>
      <c r="G1" s="2446"/>
      <c r="H1" s="2565"/>
      <c r="I1" s="2565"/>
      <c r="J1" s="2565"/>
      <c r="K1" s="2566">
        <f>MATCH(C1,'数据-取费表'!A6:A16,0)+5</f>
        <v>7</v>
      </c>
    </row>
    <row r="2" spans="1:33" ht="18" customHeight="1">
      <c r="A2" s="193" t="s">
        <v>1462</v>
      </c>
      <c r="B2" s="196">
        <f ca="1">C32</f>
        <v>0</v>
      </c>
      <c r="C2" s="268" t="s">
        <v>1595</v>
      </c>
      <c r="D2" s="268"/>
      <c r="E2" s="2565"/>
      <c r="F2" s="2565"/>
      <c r="G2" s="2565"/>
      <c r="H2" s="2565"/>
      <c r="I2" s="2565"/>
      <c r="J2" s="2565"/>
      <c r="K2" s="2565"/>
    </row>
    <row r="3" spans="1:33" ht="18" customHeight="1" thickBot="1">
      <c r="A3" s="195" t="s">
        <v>1464</v>
      </c>
      <c r="B3" s="196">
        <f ca="1">ROUND(B2*10000/IF(C1="",'数据-汇总表'!E3,INDIRECT("'数据-取费表'!K"&amp;$K$1)),0)</f>
        <v>0</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2170.1999999999998</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2170.1999999999998</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43</v>
      </c>
      <c r="D20" s="796">
        <f ca="1">IF(C1="",'数据-汇总表'!E6,IF(INDIRECT("'数据-取费表'!c"&amp;$K$1)="住宅",INDIRECT("'数据-取费表'!s"&amp;$K$1),INDIRECT("'数据-取费表'!k"&amp;$K$1)+INDIRECT("'数据-取费表'!s"&amp;$K$1)))</f>
        <v>2170.1999999999998</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28" zoomScale="70" zoomScaleNormal="70" zoomScaleSheetLayoutView="70" workbookViewId="0">
      <selection activeCell="J43" sqref="J43"/>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3451</v>
      </c>
      <c r="D1" s="1271" t="s">
        <v>43</v>
      </c>
      <c r="E1" s="1272" t="s">
        <v>678</v>
      </c>
      <c r="F1" s="999">
        <f ca="1">J53</f>
        <v>26.58</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4480</v>
      </c>
      <c r="C2" s="1289" t="s">
        <v>805</v>
      </c>
      <c r="D2" s="1289"/>
      <c r="E2" s="1295"/>
      <c r="F2" s="1296"/>
      <c r="G2" s="2476"/>
      <c r="H2" s="2466"/>
      <c r="I2" s="2466"/>
      <c r="J2" s="2466"/>
      <c r="K2" s="2467"/>
      <c r="L2" s="2466"/>
      <c r="M2" s="2466"/>
    </row>
    <row r="3" spans="1:37" ht="18" customHeight="1" thickBot="1">
      <c r="A3" s="1297" t="s">
        <v>806</v>
      </c>
      <c r="B3" s="1298">
        <f ca="1">IF(ISERROR(B2*10000/F43),0,ROUND(B2*10000/F43,0))</f>
        <v>20643</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321</v>
      </c>
      <c r="D5" s="1273" t="s">
        <v>693</v>
      </c>
      <c r="E5" s="1008"/>
      <c r="F5" s="1009"/>
      <c r="G5" s="1292"/>
      <c r="H5" s="291">
        <v>1</v>
      </c>
      <c r="I5" s="292" t="s">
        <v>692</v>
      </c>
      <c r="J5" s="1007">
        <f ca="1">J6+J10+J12</f>
        <v>0</v>
      </c>
      <c r="K5" s="1273" t="s">
        <v>693</v>
      </c>
      <c r="L5" s="1008"/>
      <c r="M5" s="1009"/>
    </row>
    <row r="6" spans="1:37" ht="18" customHeight="1">
      <c r="A6" s="1006" t="s">
        <v>398</v>
      </c>
      <c r="B6" s="3377" t="s">
        <v>694</v>
      </c>
      <c r="C6" s="1011">
        <f ca="1">ROUND(F6*F8*F7*(1-F9)/10000,0)</f>
        <v>321</v>
      </c>
      <c r="D6" s="147" t="s">
        <v>2109</v>
      </c>
      <c r="E6" s="294" t="s">
        <v>696</v>
      </c>
      <c r="F6" s="295">
        <f ca="1">INDIRECT("'数据-取费表'!u"&amp;$G$1)</f>
        <v>4.5</v>
      </c>
      <c r="G6" s="1292"/>
      <c r="H6" s="1006" t="s">
        <v>398</v>
      </c>
      <c r="I6" s="3377" t="s">
        <v>694</v>
      </c>
      <c r="J6" s="293">
        <f ca="1">ROUND(M6*M8*M7*(1-M9)/10000,0)</f>
        <v>0</v>
      </c>
      <c r="K6" s="147" t="s">
        <v>2108</v>
      </c>
      <c r="L6" s="294" t="s">
        <v>696</v>
      </c>
      <c r="M6" s="295">
        <f ca="1">INDIRECT("'数据-取费表'!z"&amp;$G$1)</f>
        <v>0</v>
      </c>
    </row>
    <row r="7" spans="1:37" ht="18" customHeight="1">
      <c r="A7" s="1010"/>
      <c r="B7" s="3378"/>
      <c r="C7" s="1012"/>
      <c r="D7" s="299"/>
      <c r="E7" s="1013" t="s">
        <v>697</v>
      </c>
      <c r="F7" s="295">
        <f ca="1">IF(INDIRECT("'数据-取费表'!ah"&amp;$G$1)="",INDIRECT("'数据-取费表'!k"&amp;$G$1),INDIRECT("'数据-取费表'!ah"&amp;$G$1))</f>
        <v>2170.1999999999998</v>
      </c>
      <c r="G7" s="1292"/>
      <c r="H7" s="296"/>
      <c r="I7" s="3378"/>
      <c r="J7" s="298"/>
      <c r="K7" s="299"/>
      <c r="L7" s="294" t="s">
        <v>697</v>
      </c>
      <c r="M7" s="295">
        <f ca="1">F7</f>
        <v>2170.1999999999998</v>
      </c>
    </row>
    <row r="8" spans="1:37" ht="18" customHeight="1">
      <c r="A8" s="296"/>
      <c r="B8" s="3378"/>
      <c r="C8" s="298"/>
      <c r="D8" s="299"/>
      <c r="E8" s="294" t="s">
        <v>698</v>
      </c>
      <c r="F8" s="295">
        <f ca="1">INDIRECT("'数据-取费表'!ai"&amp;$G$1)</f>
        <v>365</v>
      </c>
      <c r="G8" s="1292"/>
      <c r="H8" s="296"/>
      <c r="I8" s="3378"/>
      <c r="J8" s="298"/>
      <c r="K8" s="299"/>
      <c r="L8" s="294" t="s">
        <v>698</v>
      </c>
      <c r="M8" s="295">
        <f ca="1">INDIRECT("'数据-取费表'!ai"&amp;$G$1)</f>
        <v>365</v>
      </c>
    </row>
    <row r="9" spans="1:37" ht="18" customHeight="1">
      <c r="A9" s="296"/>
      <c r="B9" s="3379"/>
      <c r="C9" s="298"/>
      <c r="D9" s="299"/>
      <c r="E9" s="294" t="s">
        <v>699</v>
      </c>
      <c r="F9" s="304">
        <f ca="1">INDIRECT("'数据-取费表'!w"&amp;$G$1)</f>
        <v>0.1</v>
      </c>
      <c r="G9" s="1292"/>
      <c r="H9" s="296"/>
      <c r="I9" s="3379"/>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1400</v>
      </c>
      <c r="D13" s="1018" t="s">
        <v>705</v>
      </c>
      <c r="E13" s="1018" t="s">
        <v>706</v>
      </c>
      <c r="F13" s="1019">
        <f ca="1">INDIRECT("'数据-取费表'!y"&amp;$G$1)</f>
        <v>0.95</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977</v>
      </c>
      <c r="D14" s="1257" t="s">
        <v>708</v>
      </c>
      <c r="E14" s="1255"/>
      <c r="F14" s="311"/>
      <c r="G14" s="1292"/>
      <c r="H14" s="928" t="s">
        <v>398</v>
      </c>
      <c r="I14" s="294" t="s">
        <v>709</v>
      </c>
      <c r="J14" s="21">
        <f ca="1">C29</f>
        <v>1474</v>
      </c>
      <c r="K14" s="12"/>
      <c r="L14" s="759"/>
      <c r="M14" s="760"/>
    </row>
    <row r="15" spans="1:37" s="1304" customFormat="1" ht="18" customHeight="1" thickBot="1">
      <c r="A15" s="928" t="s">
        <v>399</v>
      </c>
      <c r="B15" s="294" t="s">
        <v>710</v>
      </c>
      <c r="C15" s="21">
        <f ca="1">ROUND(C14*F15,0)</f>
        <v>49</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5</v>
      </c>
      <c r="K16" s="1024" t="s">
        <v>715</v>
      </c>
      <c r="L16" s="1025"/>
      <c r="M16" s="1009"/>
    </row>
    <row r="17" spans="1:37" s="1304" customFormat="1" ht="18" customHeight="1">
      <c r="A17" s="928" t="s">
        <v>681</v>
      </c>
      <c r="B17" s="294" t="s">
        <v>716</v>
      </c>
      <c r="C17" s="21">
        <f ca="1">ROUND(F17*(F43+INDIRECT("'数据-取费表'!S"&amp;$G$1))/10000,0)</f>
        <v>43</v>
      </c>
      <c r="D17" s="294" t="s">
        <v>717</v>
      </c>
      <c r="E17" s="294" t="s">
        <v>718</v>
      </c>
      <c r="F17" s="23">
        <f>'数据-取费表'!B35</f>
        <v>200</v>
      </c>
      <c r="G17" s="1303"/>
      <c r="H17" s="928" t="s">
        <v>398</v>
      </c>
      <c r="I17" s="294" t="s">
        <v>719</v>
      </c>
      <c r="J17" s="2140">
        <f ca="1">ROUND(IF(AND(项目基本情况!B11="自然人",项目基本情况!B10="北京市"),J6*M17/(1+'数据-取费表'!C42),J18+J19+J20),2)</f>
        <v>0.53</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1089</v>
      </c>
      <c r="D19" s="123" t="s">
        <v>726</v>
      </c>
      <c r="E19" s="1269"/>
      <c r="F19" s="23"/>
      <c r="G19" s="1292"/>
      <c r="H19" s="928" t="s">
        <v>399</v>
      </c>
      <c r="I19" s="294" t="s">
        <v>727</v>
      </c>
      <c r="J19" s="21">
        <f ca="1">IF(K19="按租金收入计税",ROUND(J6*M19/(1+'数据-取费表'!C42),2),ROUND(C29*M19*0.7,2))</f>
        <v>0</v>
      </c>
      <c r="K19" s="1278" t="s">
        <v>3332</v>
      </c>
      <c r="L19" s="294" t="s">
        <v>712</v>
      </c>
      <c r="M19" s="314">
        <f>IF(K19="按租金收入计税",'数据-取费表'!B51,'数据-取费表'!B50)</f>
        <v>0.12</v>
      </c>
    </row>
    <row r="20" spans="1:37" s="1304" customFormat="1" ht="18" customHeight="1">
      <c r="A20" s="928" t="s">
        <v>402</v>
      </c>
      <c r="B20" s="294" t="s">
        <v>728</v>
      </c>
      <c r="C20" s="21">
        <f ca="1">ROUND(C19*F20,0)</f>
        <v>22</v>
      </c>
      <c r="D20" s="315" t="s">
        <v>729</v>
      </c>
      <c r="E20" s="294" t="s">
        <v>712</v>
      </c>
      <c r="F20" s="314">
        <f>'数据-取费表'!B37</f>
        <v>0.02</v>
      </c>
      <c r="G20" s="1303"/>
      <c r="H20" s="928" t="s">
        <v>680</v>
      </c>
      <c r="I20" s="147" t="s">
        <v>730</v>
      </c>
      <c r="J20" s="22">
        <f ca="1">ROUND(M20*M21/10000,2)</f>
        <v>0.53</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1778.06</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4.42</v>
      </c>
      <c r="K22" s="1256" t="s">
        <v>739</v>
      </c>
      <c r="L22" s="294" t="s">
        <v>712</v>
      </c>
      <c r="M22" s="320">
        <f ca="1">INDIRECT("'数据-取费表'!Ak"&amp;$G$1)</f>
        <v>3.0000000000000001E-3</v>
      </c>
    </row>
    <row r="23" spans="1:37" s="1304" customFormat="1" ht="18" customHeight="1">
      <c r="A23" s="928" t="s">
        <v>397</v>
      </c>
      <c r="B23" s="294" t="s">
        <v>740</v>
      </c>
      <c r="C23" s="21">
        <f ca="1">IF('数据-取费表'!B22&lt;=1,ROUND(C19*F24*F23/2,0)+ROUND(C20*F24*F23/2,0),ROUND(C19*(POWER((1+F24),F23/2)-1),0)+ROUND(C20*(POWER((1+F24),F23/2)-1),0))</f>
        <v>26</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-5</v>
      </c>
      <c r="K25" s="1032" t="s">
        <v>753</v>
      </c>
      <c r="L25" s="1033"/>
      <c r="M25" s="1034"/>
    </row>
    <row r="26" spans="1:37">
      <c r="A26" s="928" t="s">
        <v>397</v>
      </c>
      <c r="B26" s="294" t="s">
        <v>754</v>
      </c>
      <c r="C26" s="21">
        <f ca="1">ROUND((C19+C20)*F26,0)</f>
        <v>222</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1474</v>
      </c>
      <c r="D29" s="1029"/>
      <c r="E29" s="1027"/>
      <c r="F29" s="1030"/>
      <c r="G29" s="1303"/>
      <c r="H29" s="325" t="s">
        <v>396</v>
      </c>
      <c r="I29" s="326" t="s">
        <v>768</v>
      </c>
      <c r="J29" s="327">
        <f ca="1">ROUND(J26/(1+F40)^F41,0)</f>
        <v>0</v>
      </c>
      <c r="K29" s="328" t="s">
        <v>769</v>
      </c>
      <c r="L29" s="329"/>
      <c r="M29" s="330">
        <f ca="1">INDIRECT("'数据-取费表'!k"&amp;$G$1)</f>
        <v>2170.1999999999998</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62</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ROUND(IF(AND(项目基本情况!B11="自然人",项目基本情况!B10="北京市"),C6*F31/(1+'数据-取费表'!C42),C32+C33+C34),2)</f>
        <v>54.34</v>
      </c>
      <c r="D31" s="1257" t="s">
        <v>720</v>
      </c>
      <c r="E31" s="1256" t="s">
        <v>770</v>
      </c>
      <c r="F31" s="2139" t="str">
        <f>IF(项目基本情况!B11="企业","——",IF(M47="住宅",IF(F6*F7*F8/12/(1+'数据-取费表'!F30)&gt;100000,4%,2.5%),IF(F6*F7*F8/12/(1+'数据-取费表'!F30)&gt;100000,12%,7%)))</f>
        <v>——</v>
      </c>
      <c r="G31" s="1292"/>
      <c r="H31" s="2567" t="s">
        <v>2302</v>
      </c>
      <c r="I31" s="1305"/>
      <c r="J31" s="1306"/>
      <c r="K31" s="121"/>
      <c r="L31" s="2469"/>
      <c r="M31" s="2470"/>
    </row>
    <row r="32" spans="1:37" ht="18" customHeight="1">
      <c r="A32" s="928" t="s">
        <v>397</v>
      </c>
      <c r="B32" s="294" t="s">
        <v>723</v>
      </c>
      <c r="C32" s="21">
        <f ca="1">IF(项目基本情况!B11="自然人","——",ROUND(C6*F32/(1+'数据-取费表'!C42),2))</f>
        <v>17.12</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IF(项目基本情况!B11="自然人","——",IF(D33="按租金收入计税",ROUND(C6*F33/(1+'数据-取费表'!C42),2),IF(D33="按房产原值计税",ROUND(C29*F33*0.7,2),INDIRECT("'数据-取费表'!Aj"&amp;$G$1))))</f>
        <v>36.69</v>
      </c>
      <c r="D33" s="1278" t="s">
        <v>3332</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IF(项目基本情况!B11="自然人","——",ROUND(F34*F35/10000,2))</f>
        <v>0.53</v>
      </c>
      <c r="D34" s="316" t="s">
        <v>731</v>
      </c>
      <c r="E34" s="294" t="s">
        <v>732</v>
      </c>
      <c r="F34" s="317">
        <f>'数据-取费表'!B52</f>
        <v>3</v>
      </c>
      <c r="G34" s="1292"/>
      <c r="H34" s="2468"/>
      <c r="I34" s="1305"/>
      <c r="J34" s="1306"/>
      <c r="K34" s="2473"/>
      <c r="L34" s="2474"/>
      <c r="M34" s="2474"/>
    </row>
    <row r="35" spans="1:18" ht="18" customHeight="1">
      <c r="A35" s="1040"/>
      <c r="B35" s="1038"/>
      <c r="C35" s="26"/>
      <c r="D35" s="319"/>
      <c r="E35" s="294" t="s">
        <v>736</v>
      </c>
      <c r="F35" s="295">
        <f ca="1">INDIRECT("'数据-取费表'!r"&amp;$G$1)</f>
        <v>1778.06</v>
      </c>
      <c r="G35" s="1292"/>
      <c r="H35" s="2468"/>
      <c r="I35" s="1305"/>
      <c r="J35" s="1306"/>
      <c r="K35" s="2472"/>
      <c r="L35" s="2471"/>
      <c r="M35" s="2471"/>
    </row>
    <row r="36" spans="1:18" ht="18" customHeight="1">
      <c r="A36" s="1039" t="s">
        <v>402</v>
      </c>
      <c r="B36" s="294" t="s">
        <v>738</v>
      </c>
      <c r="C36" s="21">
        <f ca="1">ROUND(C29*F36,2)</f>
        <v>4.42</v>
      </c>
      <c r="D36" s="1256" t="s">
        <v>771</v>
      </c>
      <c r="E36" s="294" t="s">
        <v>712</v>
      </c>
      <c r="F36" s="320">
        <f ca="1">INDIRECT("'数据-取费表'!Ak"&amp;$G$1)</f>
        <v>3.0000000000000001E-3</v>
      </c>
      <c r="G36" s="1292"/>
      <c r="H36" s="2471"/>
      <c r="I36" s="1305"/>
      <c r="J36" s="1306"/>
      <c r="K36" s="2329"/>
      <c r="L36" s="2471"/>
      <c r="M36" s="2471"/>
    </row>
    <row r="37" spans="1:18" ht="18" customHeight="1">
      <c r="A37" s="928" t="s">
        <v>437</v>
      </c>
      <c r="B37" s="294" t="s">
        <v>742</v>
      </c>
      <c r="C37" s="21">
        <f ca="1">ROUND(C13*F37,2)</f>
        <v>1.4</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ROUND(C5*F38,2)</f>
        <v>1.61</v>
      </c>
      <c r="D38" s="1029" t="s">
        <v>748</v>
      </c>
      <c r="E38" s="1027" t="s">
        <v>744</v>
      </c>
      <c r="F38" s="1023">
        <f ca="1">INDIRECT("'数据-取费表'!Am"&amp;$G$1)</f>
        <v>5.0000000000000001E-3</v>
      </c>
      <c r="G38" s="1292"/>
      <c r="H38" s="2471"/>
      <c r="I38" s="1305"/>
      <c r="J38" s="1306"/>
      <c r="K38" s="2469"/>
      <c r="L38" s="2471"/>
      <c r="M38" s="2471"/>
    </row>
    <row r="39" spans="1:18" ht="24.6" customHeight="1" thickTop="1">
      <c r="A39" s="1016" t="s">
        <v>394</v>
      </c>
      <c r="B39" s="1031" t="s">
        <v>772</v>
      </c>
      <c r="C39" s="302">
        <f ca="1">C5-C30</f>
        <v>259</v>
      </c>
      <c r="D39" s="1032" t="s">
        <v>773</v>
      </c>
      <c r="E39" s="1033"/>
      <c r="F39" s="1034"/>
      <c r="G39" s="1292"/>
      <c r="H39" s="2471"/>
      <c r="I39" s="1305"/>
      <c r="J39" s="1306"/>
      <c r="K39" s="2469"/>
      <c r="L39" s="2471"/>
      <c r="M39" s="2471"/>
    </row>
    <row r="40" spans="1:18" ht="18" customHeight="1">
      <c r="A40" s="291" t="s">
        <v>395</v>
      </c>
      <c r="B40" s="292" t="s">
        <v>774</v>
      </c>
      <c r="C40" s="293">
        <f ca="1">ROUND(C39*(1-((1+F42)/(1+F40))^F41)/(F40-F42),0)</f>
        <v>4382</v>
      </c>
      <c r="D40" s="316" t="s">
        <v>758</v>
      </c>
      <c r="E40" s="294" t="s">
        <v>759</v>
      </c>
      <c r="F40" s="304">
        <f ca="1">INDIRECT("'数据-取费表'!I"&amp;$G$1)</f>
        <v>5.5E-2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26.58</v>
      </c>
      <c r="G41" s="1292"/>
      <c r="H41" s="121"/>
      <c r="I41" s="1305"/>
      <c r="J41" s="1306"/>
      <c r="K41" s="2329"/>
      <c r="L41" s="121"/>
      <c r="M41" s="121"/>
    </row>
    <row r="42" spans="1:18" ht="18" customHeight="1">
      <c r="A42" s="300"/>
      <c r="B42" s="301"/>
      <c r="C42" s="302"/>
      <c r="D42" s="319"/>
      <c r="E42" s="294" t="s">
        <v>766</v>
      </c>
      <c r="F42" s="304">
        <f ca="1">INDIRECT("'数据-取费表'!v"&amp;$G$1)</f>
        <v>0.02</v>
      </c>
      <c r="G42" s="1292"/>
      <c r="H42" s="121"/>
      <c r="I42" s="1305"/>
      <c r="J42" s="1306"/>
      <c r="K42" s="2329"/>
      <c r="L42" s="121"/>
      <c r="M42" s="121"/>
    </row>
    <row r="43" spans="1:18" ht="18" customHeight="1" thickBot="1">
      <c r="A43" s="325" t="s">
        <v>396</v>
      </c>
      <c r="B43" s="326" t="s">
        <v>776</v>
      </c>
      <c r="C43" s="327">
        <f ca="1">ROUND(C40*10000/F43,0)</f>
        <v>20192</v>
      </c>
      <c r="D43" s="328" t="s">
        <v>777</v>
      </c>
      <c r="E43" s="329" t="s">
        <v>778</v>
      </c>
      <c r="F43" s="330">
        <f ca="1">INDIRECT("'数据-取费表'!k"&amp;$G$1)</f>
        <v>2170.1999999999998</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8" thickBot="1">
      <c r="A46" s="1311" t="s">
        <v>809</v>
      </c>
      <c r="C46" s="1312">
        <f ca="1">C68-C40</f>
        <v>-4479</v>
      </c>
      <c r="D46" s="1313" t="str">
        <f>C2</f>
        <v>万元</v>
      </c>
      <c r="E46" s="1307"/>
      <c r="F46" s="1307"/>
      <c r="I46" s="1314" t="s">
        <v>810</v>
      </c>
      <c r="J46" s="1315"/>
      <c r="K46" s="1316"/>
      <c r="L46" s="1317">
        <f ca="1">IF(M47="住宅",0,IF(L48&gt;J51,L60,J60))</f>
        <v>98</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t="s">
        <v>3437</v>
      </c>
      <c r="K47" s="1323" t="s">
        <v>816</v>
      </c>
      <c r="L47" s="1324">
        <f ca="1">INDIRECT("'数据-取费表'!d"&amp;$G$1)</f>
        <v>50</v>
      </c>
      <c r="M47" s="1288" t="str">
        <f>IF(ISNUMBER(FIND("住宅",C1)),"住宅","非住宅")</f>
        <v>非住宅</v>
      </c>
      <c r="O47" s="1325" t="s">
        <v>403</v>
      </c>
      <c r="P47" s="1326" t="s">
        <v>817</v>
      </c>
      <c r="Q47" s="1327">
        <f ca="1">C40+J29</f>
        <v>4382</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3438</v>
      </c>
      <c r="K48" s="1330" t="s">
        <v>820</v>
      </c>
      <c r="L48" s="1331">
        <f ca="1">INDIRECT("'数据-取费表'!f"&amp;$G$1)</f>
        <v>26.58</v>
      </c>
      <c r="O48" s="1325" t="s">
        <v>404</v>
      </c>
      <c r="P48" s="1326" t="s">
        <v>821</v>
      </c>
      <c r="Q48" s="1327">
        <f ca="1">J60</f>
        <v>98</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f>'数据-取费表'!O19</f>
        <v>1992</v>
      </c>
      <c r="K49" s="1330" t="s">
        <v>824</v>
      </c>
      <c r="L49" s="1333"/>
      <c r="O49" s="1334" t="s">
        <v>405</v>
      </c>
      <c r="P49" s="1326" t="s">
        <v>825</v>
      </c>
      <c r="Q49" s="1327">
        <f ca="1">C29</f>
        <v>1474</v>
      </c>
      <c r="R49" s="1327" t="s">
        <v>818</v>
      </c>
    </row>
    <row r="50" spans="1:18" s="1292" customFormat="1" ht="13.8" thickBot="1">
      <c r="A50" s="922"/>
      <c r="B50" s="925"/>
      <c r="C50" s="1055"/>
      <c r="D50" s="899"/>
      <c r="E50" s="993" t="s">
        <v>697</v>
      </c>
      <c r="F50" s="994">
        <f ca="1">F7</f>
        <v>2170.1999999999998</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27</v>
      </c>
      <c r="K51" s="1339" t="s">
        <v>830</v>
      </c>
      <c r="L51" s="1340">
        <f ca="1">ROUND(-PV(INDIRECT("'数据-取费表'!h"&amp;$G$1),J51,(C39-C13*C76),0),0)</f>
        <v>2358</v>
      </c>
      <c r="M51" s="1341"/>
      <c r="O51" s="1334" t="s">
        <v>407</v>
      </c>
      <c r="P51" s="1326" t="s">
        <v>831</v>
      </c>
      <c r="Q51" s="1337">
        <f>J52</f>
        <v>7.0000000000000007E-2</v>
      </c>
      <c r="R51" s="1327"/>
    </row>
    <row r="52" spans="1:18" s="1292" customFormat="1" ht="13.8" thickBot="1">
      <c r="A52" s="923"/>
      <c r="B52" s="925"/>
      <c r="C52" s="926"/>
      <c r="D52" s="899"/>
      <c r="E52" s="927" t="s">
        <v>699</v>
      </c>
      <c r="F52" s="991"/>
      <c r="I52" s="1342" t="s">
        <v>832</v>
      </c>
      <c r="J52" s="1343">
        <v>7.0000000000000007E-2</v>
      </c>
      <c r="K52" s="1342" t="s">
        <v>833</v>
      </c>
      <c r="L52" s="1343"/>
      <c r="O52" s="1334" t="s">
        <v>408</v>
      </c>
      <c r="P52" s="1326" t="s">
        <v>834</v>
      </c>
      <c r="Q52" s="1327">
        <f ca="1">J53</f>
        <v>26.58</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26.58</v>
      </c>
      <c r="K53" s="3380" t="s">
        <v>837</v>
      </c>
      <c r="L53" s="3381"/>
      <c r="O53" s="1325" t="s">
        <v>409</v>
      </c>
      <c r="P53" s="1326" t="s">
        <v>838</v>
      </c>
      <c r="Q53" s="1327">
        <f ca="1">Q47+Q48</f>
        <v>4480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7.0000000000000001E-3</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1400</v>
      </c>
      <c r="D56" s="1352"/>
      <c r="E56" s="1353"/>
      <c r="F56" s="1345"/>
      <c r="I56" s="1354" t="s">
        <v>842</v>
      </c>
      <c r="J56" s="1355" t="s">
        <v>3457</v>
      </c>
      <c r="K56" s="1328" t="s">
        <v>843</v>
      </c>
      <c r="L56" s="1331" t="str">
        <f ca="1">IF(L48&lt;J51,"——",L48-J53)</f>
        <v>——</v>
      </c>
      <c r="O56" s="1325" t="s">
        <v>403</v>
      </c>
      <c r="P56" s="1326" t="s">
        <v>817</v>
      </c>
      <c r="Q56" s="1327">
        <f ca="1">C40+J29</f>
        <v>4382</v>
      </c>
      <c r="R56" s="1327" t="s">
        <v>818</v>
      </c>
    </row>
    <row r="57" spans="1:18" s="1292" customFormat="1" ht="24.6" thickBot="1">
      <c r="A57" s="1356"/>
      <c r="B57" s="896" t="s">
        <v>767</v>
      </c>
      <c r="C57" s="230">
        <f ca="1">C29</f>
        <v>1474</v>
      </c>
      <c r="D57" s="1357"/>
      <c r="E57" s="1358"/>
      <c r="F57" s="1359"/>
      <c r="I57" s="1360" t="s">
        <v>844</v>
      </c>
      <c r="J57" s="1361">
        <f ca="1">IF(OR(M47="住宅",J51&lt;L48,J56="是"),"——",J51-L48)</f>
        <v>0.42000000000000171</v>
      </c>
      <c r="K57" s="1328" t="s">
        <v>845</v>
      </c>
      <c r="L57" s="1331" t="str">
        <f ca="1">IF(L48&lt;J51,"——",IF(L55="比较法",L49,IF(L55="基准地价",L50,L51)))</f>
        <v>——</v>
      </c>
      <c r="O57" s="1325" t="s">
        <v>404</v>
      </c>
      <c r="P57" s="1326" t="s">
        <v>846</v>
      </c>
      <c r="Q57" s="1327">
        <f ca="1">L60</f>
        <v>0</v>
      </c>
      <c r="R57" s="1327" t="s">
        <v>847</v>
      </c>
    </row>
    <row r="58" spans="1:18" s="1292" customFormat="1" ht="24.6" thickBot="1">
      <c r="A58" s="307" t="s">
        <v>393</v>
      </c>
      <c r="B58" s="904" t="s">
        <v>714</v>
      </c>
      <c r="C58" s="308">
        <f ca="1">ROUND(C59+C64+C65+C66,0)</f>
        <v>7</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1</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590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98</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0.53</v>
      </c>
      <c r="D62" s="911" t="s">
        <v>786</v>
      </c>
      <c r="E62" s="896" t="s">
        <v>787</v>
      </c>
      <c r="F62" s="317">
        <f t="shared" si="0"/>
        <v>3</v>
      </c>
      <c r="I62" s="1367" t="s">
        <v>858</v>
      </c>
      <c r="J62" s="610" t="s">
        <v>859</v>
      </c>
      <c r="K62" s="610" t="s">
        <v>860</v>
      </c>
      <c r="L62" s="610" t="s">
        <v>861</v>
      </c>
      <c r="M62" s="1368" t="s">
        <v>862</v>
      </c>
      <c r="O62" s="1325" t="s">
        <v>409</v>
      </c>
      <c r="P62" s="1326" t="s">
        <v>863</v>
      </c>
      <c r="Q62" s="1327">
        <f ca="1">Q56+Q57</f>
        <v>4382</v>
      </c>
      <c r="R62" s="1327" t="s">
        <v>410</v>
      </c>
    </row>
    <row r="63" spans="1:18" s="1292" customFormat="1" ht="13.8" thickBot="1">
      <c r="A63" s="318"/>
      <c r="B63" s="902"/>
      <c r="C63" s="26"/>
      <c r="D63" s="912"/>
      <c r="E63" s="896" t="s">
        <v>788</v>
      </c>
      <c r="F63" s="295">
        <f t="shared" ca="1" si="0"/>
        <v>1778.06</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4.42</v>
      </c>
      <c r="D64" s="910" t="s">
        <v>791</v>
      </c>
      <c r="E64" s="896" t="s">
        <v>783</v>
      </c>
      <c r="F64" s="320">
        <f t="shared" ca="1" si="0"/>
        <v>3.0000000000000001E-3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1.4</v>
      </c>
      <c r="D65" s="910" t="s">
        <v>743</v>
      </c>
      <c r="E65" s="896" t="s">
        <v>744</v>
      </c>
      <c r="F65" s="321">
        <f t="shared" ca="1" si="0"/>
        <v>1E-3</v>
      </c>
      <c r="I65" s="1367" t="s">
        <v>867</v>
      </c>
      <c r="J65" s="610">
        <v>40</v>
      </c>
      <c r="K65" s="610">
        <v>30</v>
      </c>
      <c r="L65" s="610">
        <v>50</v>
      </c>
      <c r="M65" s="1369">
        <v>0.02</v>
      </c>
      <c r="O65" s="1325" t="s">
        <v>403</v>
      </c>
      <c r="P65" s="1326" t="s">
        <v>868</v>
      </c>
      <c r="Q65" s="1327">
        <f ca="1">C40+J29</f>
        <v>4382</v>
      </c>
      <c r="R65" s="1327" t="s">
        <v>818</v>
      </c>
    </row>
    <row r="66" spans="1:18" s="1292" customFormat="1" ht="16.2" thickBot="1">
      <c r="A66" s="928" t="s">
        <v>793</v>
      </c>
      <c r="B66" s="896" t="s">
        <v>728</v>
      </c>
      <c r="C66" s="21">
        <f ca="1">ROUND(C48*F66,2)</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-7</v>
      </c>
      <c r="D67" s="909" t="s">
        <v>753</v>
      </c>
      <c r="E67" s="914"/>
      <c r="F67" s="915"/>
      <c r="O67" s="1334" t="s">
        <v>405</v>
      </c>
      <c r="P67" s="1326" t="s">
        <v>850</v>
      </c>
      <c r="Q67" s="1370">
        <f ca="1">L51</f>
        <v>2358</v>
      </c>
      <c r="R67" s="1327" t="s">
        <v>870</v>
      </c>
    </row>
    <row r="68" spans="1:18" s="1292" customFormat="1" ht="16.2" thickBot="1">
      <c r="A68" s="893" t="s">
        <v>395</v>
      </c>
      <c r="B68" s="894" t="s">
        <v>774</v>
      </c>
      <c r="C68" s="293">
        <f ca="1">ROUND(C67*(1-((1+F70)/(1+F68))^F69)/(F68-F70),0)</f>
        <v>-97</v>
      </c>
      <c r="D68" s="911" t="s">
        <v>758</v>
      </c>
      <c r="E68" s="896" t="s">
        <v>759</v>
      </c>
      <c r="F68" s="304">
        <f ca="1">F40</f>
        <v>5.5E-2</v>
      </c>
      <c r="O68" s="1334" t="s">
        <v>406</v>
      </c>
      <c r="P68" s="1371" t="s">
        <v>871</v>
      </c>
      <c r="Q68" s="1327">
        <f ca="1">ROUND(Q69-Q70*Q71,0)</f>
        <v>161</v>
      </c>
      <c r="R68" s="1327" t="s">
        <v>414</v>
      </c>
    </row>
    <row r="69" spans="1:18" s="1292" customFormat="1" ht="13.8" thickBot="1">
      <c r="A69" s="897"/>
      <c r="B69" s="898"/>
      <c r="C69" s="298"/>
      <c r="D69" s="916" t="s">
        <v>762</v>
      </c>
      <c r="E69" s="896" t="s">
        <v>763</v>
      </c>
      <c r="F69" s="324">
        <f ca="1">F41</f>
        <v>26.58</v>
      </c>
      <c r="O69" s="1334" t="s">
        <v>411</v>
      </c>
      <c r="P69" s="1371" t="s">
        <v>872</v>
      </c>
      <c r="Q69" s="1327">
        <f ca="1">C39</f>
        <v>259</v>
      </c>
      <c r="R69" s="1327" t="s">
        <v>818</v>
      </c>
    </row>
    <row r="70" spans="1:18" s="1292" customFormat="1" ht="13.8" thickBot="1">
      <c r="A70" s="900"/>
      <c r="B70" s="901"/>
      <c r="C70" s="302"/>
      <c r="D70" s="912"/>
      <c r="E70" s="896" t="s">
        <v>766</v>
      </c>
      <c r="F70" s="991"/>
      <c r="O70" s="1334" t="s">
        <v>412</v>
      </c>
      <c r="P70" s="1371" t="s">
        <v>873</v>
      </c>
      <c r="Q70" s="1327">
        <f ca="1">C13</f>
        <v>1400</v>
      </c>
      <c r="R70" s="1327" t="s">
        <v>818</v>
      </c>
    </row>
    <row r="71" spans="1:18" s="1292" customFormat="1" ht="13.8" thickBot="1">
      <c r="A71" s="917" t="s">
        <v>396</v>
      </c>
      <c r="B71" s="918" t="s">
        <v>776</v>
      </c>
      <c r="C71" s="327">
        <f ca="1">ROUND(C68*10000/F71,0)</f>
        <v>-447</v>
      </c>
      <c r="D71" s="919" t="s">
        <v>777</v>
      </c>
      <c r="E71" s="920" t="s">
        <v>778</v>
      </c>
      <c r="F71" s="330">
        <f ca="1">F43</f>
        <v>2170.1999999999998</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98</v>
      </c>
      <c r="D75" s="1292"/>
      <c r="E75" s="1292"/>
      <c r="F75" s="1292"/>
      <c r="K75" s="1309"/>
      <c r="L75" s="1292"/>
      <c r="O75" s="1325" t="s">
        <v>409</v>
      </c>
      <c r="P75" s="1326" t="s">
        <v>838</v>
      </c>
      <c r="Q75" s="1327">
        <f ca="1">Q65+Q66</f>
        <v>4382</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0.622</v>
      </c>
    </row>
    <row r="80" spans="1:18">
      <c r="B80" s="331" t="s">
        <v>800</v>
      </c>
      <c r="C80" s="266">
        <f ca="1">ROUND(C75/C39,3)</f>
        <v>0.378</v>
      </c>
    </row>
    <row r="81" spans="2:3">
      <c r="B81" s="262" t="s">
        <v>801</v>
      </c>
      <c r="C81" s="230"/>
    </row>
    <row r="82" spans="2:3">
      <c r="B82" s="265" t="s">
        <v>802</v>
      </c>
      <c r="C82" s="267">
        <f ca="1">1-C83</f>
        <v>0.68100000000000005</v>
      </c>
    </row>
    <row r="83" spans="2:3">
      <c r="B83" s="265" t="s">
        <v>803</v>
      </c>
      <c r="C83" s="266">
        <f ca="1">ROUND(C13/C40,3)</f>
        <v>0.31900000000000001</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H44" sqref="H44"/>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2431</v>
      </c>
      <c r="B1" s="2581"/>
      <c r="C1" s="2593"/>
      <c r="D1" s="2593"/>
      <c r="E1" s="2582"/>
      <c r="F1" s="2583"/>
      <c r="G1" s="2584"/>
      <c r="J1" s="2587" t="s">
        <v>2310</v>
      </c>
      <c r="K1" s="2588"/>
      <c r="L1" s="2588"/>
      <c r="M1" s="2588"/>
      <c r="N1" s="2588"/>
      <c r="O1" s="2588"/>
      <c r="P1" s="2588"/>
      <c r="Q1" s="2588"/>
      <c r="R1" s="2589"/>
      <c r="S1" s="2590"/>
      <c r="T1" s="2590"/>
      <c r="U1" s="2590"/>
    </row>
    <row r="2" spans="1:22" s="2602" customFormat="1" ht="13.2" customHeight="1">
      <c r="A2" s="1293" t="s">
        <v>2311</v>
      </c>
      <c r="B2" s="2592" t="e">
        <f>IF(D2="——",C40,C40+E2)</f>
        <v>#DIV/0!</v>
      </c>
      <c r="C2" s="2593" t="s">
        <v>2312</v>
      </c>
      <c r="D2" s="3136" t="s">
        <v>3355</v>
      </c>
      <c r="E2" s="3137"/>
      <c r="F2" s="2595"/>
      <c r="G2" s="2596"/>
      <c r="H2" s="2597"/>
      <c r="I2" s="2598"/>
      <c r="J2" s="3382" t="s">
        <v>2313</v>
      </c>
      <c r="K2" s="3383"/>
      <c r="L2" s="2599" t="s">
        <v>2314</v>
      </c>
      <c r="M2" s="2599" t="s">
        <v>2315</v>
      </c>
      <c r="N2" s="2599" t="s">
        <v>2316</v>
      </c>
      <c r="O2" s="2599" t="s">
        <v>2317</v>
      </c>
      <c r="P2" s="2599" t="s">
        <v>2318</v>
      </c>
      <c r="Q2" s="2600" t="s">
        <v>2319</v>
      </c>
      <c r="R2" s="2601" t="s">
        <v>2320</v>
      </c>
      <c r="S2" s="2590"/>
      <c r="T2" s="2590"/>
      <c r="U2" s="2590"/>
      <c r="V2" s="2598"/>
    </row>
    <row r="3" spans="1:22" s="2602" customFormat="1" ht="13.2" customHeight="1">
      <c r="A3" s="2603" t="s">
        <v>2321</v>
      </c>
      <c r="B3" s="2604" t="e">
        <f>ROUND(B2*10000/B4,0)</f>
        <v>#DIV/0!</v>
      </c>
      <c r="C3" s="2593" t="s">
        <v>2322</v>
      </c>
      <c r="D3" s="2593"/>
      <c r="E3" s="2594"/>
      <c r="F3" s="2595"/>
      <c r="G3" s="2596"/>
      <c r="H3" s="2597"/>
      <c r="I3" s="2598"/>
      <c r="J3" s="3384" t="s">
        <v>2323</v>
      </c>
      <c r="K3" s="3385"/>
      <c r="L3" s="2605"/>
      <c r="M3" s="2605"/>
      <c r="N3" s="2605"/>
      <c r="O3" s="2605"/>
      <c r="P3" s="2605"/>
      <c r="Q3" s="2606"/>
      <c r="R3" s="2607">
        <f>SUM(L3:Q3)</f>
        <v>0</v>
      </c>
      <c r="S3" s="2590"/>
      <c r="T3" s="2590"/>
      <c r="U3" s="2590"/>
      <c r="V3" s="2598"/>
    </row>
    <row r="4" spans="1:22" s="2602" customFormat="1" ht="13.2" customHeight="1">
      <c r="A4" s="2608" t="s">
        <v>2324</v>
      </c>
      <c r="B4" s="2609"/>
      <c r="C4" s="2593"/>
      <c r="D4" s="2593"/>
      <c r="E4" s="2594"/>
      <c r="F4" s="2595"/>
      <c r="G4" s="2596"/>
      <c r="H4" s="2597"/>
      <c r="I4" s="2598"/>
      <c r="J4" s="3384" t="s">
        <v>2325</v>
      </c>
      <c r="K4" s="3385"/>
      <c r="L4" s="2610"/>
      <c r="M4" s="2610"/>
      <c r="N4" s="2610"/>
      <c r="O4" s="2610"/>
      <c r="P4" s="2610"/>
      <c r="Q4" s="2611"/>
      <c r="R4" s="2612">
        <f>SUM(L4:Q4)</f>
        <v>0</v>
      </c>
      <c r="S4" s="2590"/>
      <c r="T4" s="2590"/>
      <c r="U4" s="2590"/>
      <c r="V4" s="2598"/>
    </row>
    <row r="5" spans="1:22" s="2602" customFormat="1" ht="13.2" customHeight="1" thickBot="1">
      <c r="A5" s="2613" t="s">
        <v>2326</v>
      </c>
      <c r="B5" s="2614"/>
      <c r="C5" s="2593"/>
      <c r="D5" s="2615"/>
      <c r="E5" s="2595"/>
      <c r="F5" s="2595"/>
      <c r="G5" s="2596"/>
      <c r="H5" s="2597"/>
      <c r="I5" s="2598"/>
      <c r="J5" s="2616" t="s">
        <v>2327</v>
      </c>
      <c r="K5" s="2617"/>
      <c r="L5" s="2617"/>
      <c r="M5" s="2618"/>
      <c r="N5" s="2618"/>
      <c r="O5" s="2618"/>
      <c r="P5" s="2618"/>
      <c r="Q5" s="2618"/>
      <c r="R5" s="2601">
        <f>SUM(R14,R19,R24,R25,R27,R28)</f>
        <v>0</v>
      </c>
      <c r="S5" s="2590"/>
      <c r="T5" s="2590" t="s">
        <v>2328</v>
      </c>
      <c r="U5" s="2590" t="e">
        <f>ROUND(R5*10000/365/R3,1)</f>
        <v>#DIV/0!</v>
      </c>
      <c r="V5" s="2598"/>
    </row>
    <row r="6" spans="1:22" s="2602" customFormat="1" ht="13.2" customHeight="1" thickBot="1">
      <c r="A6" s="3386" t="s">
        <v>2329</v>
      </c>
      <c r="B6" s="3387"/>
      <c r="C6" s="3388"/>
      <c r="D6" s="2619"/>
      <c r="E6" s="2620"/>
      <c r="F6" s="2621"/>
      <c r="G6" s="2622"/>
      <c r="H6" s="2597"/>
      <c r="I6" s="2598"/>
      <c r="J6" s="3389">
        <v>1</v>
      </c>
      <c r="K6" s="3390" t="s">
        <v>2330</v>
      </c>
      <c r="L6" s="2623" t="s">
        <v>2331</v>
      </c>
      <c r="M6" s="2624" t="s">
        <v>2332</v>
      </c>
      <c r="N6" s="2624" t="s">
        <v>2333</v>
      </c>
      <c r="O6" s="2624" t="s">
        <v>2334</v>
      </c>
      <c r="P6" s="2624" t="s">
        <v>2335</v>
      </c>
      <c r="Q6" s="2624" t="s">
        <v>2336</v>
      </c>
      <c r="R6" s="2607" t="s">
        <v>2337</v>
      </c>
      <c r="S6" s="2590"/>
      <c r="T6" s="2590" t="s">
        <v>2338</v>
      </c>
      <c r="U6" s="2590"/>
      <c r="V6" s="2598"/>
    </row>
    <row r="7" spans="1:22" s="2602" customFormat="1" ht="13.2" customHeight="1">
      <c r="A7" s="2625" t="s">
        <v>2339</v>
      </c>
      <c r="B7" s="2626"/>
      <c r="C7" s="2627"/>
      <c r="D7" s="2628">
        <f>SUM(D9,D10,D11,D17,0)</f>
        <v>0</v>
      </c>
      <c r="E7" s="2629" t="e">
        <f>E9+E10+E11+E17</f>
        <v>#DIV/0!</v>
      </c>
      <c r="F7" s="2630"/>
      <c r="G7" s="2631"/>
      <c r="H7" s="2597"/>
      <c r="I7" s="2598"/>
      <c r="J7" s="3389"/>
      <c r="K7" s="3391"/>
      <c r="L7" s="2632" t="s">
        <v>2340</v>
      </c>
      <c r="M7" s="2633"/>
      <c r="N7" s="2609"/>
      <c r="O7" s="2634"/>
      <c r="P7" s="2634"/>
      <c r="Q7" s="2635">
        <v>365</v>
      </c>
      <c r="R7" s="2636">
        <f>ROUND(M7*N7*O7*P7*Q7/10000,0)</f>
        <v>0</v>
      </c>
      <c r="S7" s="2590"/>
      <c r="T7" s="2590" t="s">
        <v>2341</v>
      </c>
      <c r="U7" s="2590"/>
      <c r="V7" s="2598"/>
    </row>
    <row r="8" spans="1:22" s="2602" customFormat="1" ht="13.2" customHeight="1">
      <c r="A8" s="2637" t="s">
        <v>2342</v>
      </c>
      <c r="B8" s="3393" t="s">
        <v>2343</v>
      </c>
      <c r="C8" s="3394"/>
      <c r="D8" s="2638" t="s">
        <v>2344</v>
      </c>
      <c r="E8" s="2639" t="s">
        <v>2345</v>
      </c>
      <c r="F8" s="2640" t="s">
        <v>2346</v>
      </c>
      <c r="G8" s="2641"/>
      <c r="H8" s="2597"/>
      <c r="I8" s="2598"/>
      <c r="J8" s="3389"/>
      <c r="K8" s="3391"/>
      <c r="L8" s="2632" t="s">
        <v>2347</v>
      </c>
      <c r="M8" s="2633"/>
      <c r="N8" s="2609"/>
      <c r="O8" s="2634"/>
      <c r="P8" s="2634"/>
      <c r="Q8" s="2635">
        <v>365</v>
      </c>
      <c r="R8" s="2636">
        <f t="shared" ref="R8:R13" si="0">ROUND(M8*N8*O8*P8*Q8/10000,0)</f>
        <v>0</v>
      </c>
      <c r="S8" s="2590"/>
      <c r="T8" s="2590" t="s">
        <v>2348</v>
      </c>
      <c r="U8" s="2590"/>
      <c r="V8" s="2598"/>
    </row>
    <row r="9" spans="1:22" s="2602" customFormat="1" ht="13.2" customHeight="1">
      <c r="A9" s="2637">
        <v>1</v>
      </c>
      <c r="B9" s="3393" t="s">
        <v>2349</v>
      </c>
      <c r="C9" s="3394"/>
      <c r="D9" s="2638">
        <f>ROUND(D6*E9,0)</f>
        <v>0</v>
      </c>
      <c r="E9" s="2642"/>
      <c r="F9" s="2643" t="s">
        <v>2350</v>
      </c>
      <c r="G9" s="2622"/>
      <c r="H9" s="2597"/>
      <c r="I9" s="2598"/>
      <c r="J9" s="3389"/>
      <c r="K9" s="3391"/>
      <c r="L9" s="2632" t="s">
        <v>2351</v>
      </c>
      <c r="M9" s="2633"/>
      <c r="N9" s="2609"/>
      <c r="O9" s="2634"/>
      <c r="P9" s="2634"/>
      <c r="Q9" s="2635">
        <v>365</v>
      </c>
      <c r="R9" s="2636">
        <f t="shared" si="0"/>
        <v>0</v>
      </c>
      <c r="S9" s="2590"/>
      <c r="T9" s="2590"/>
      <c r="U9" s="2590"/>
      <c r="V9" s="2598"/>
    </row>
    <row r="10" spans="1:22" s="2602" customFormat="1" ht="13.2" customHeight="1">
      <c r="A10" s="2637">
        <v>2</v>
      </c>
      <c r="B10" s="3393" t="s">
        <v>2352</v>
      </c>
      <c r="C10" s="3394"/>
      <c r="D10" s="2638">
        <f>ROUND(D6*E10,0)</f>
        <v>0</v>
      </c>
      <c r="E10" s="2642"/>
      <c r="F10" s="2643" t="s">
        <v>2353</v>
      </c>
      <c r="G10" s="2622"/>
      <c r="H10" s="2597"/>
      <c r="I10" s="2598"/>
      <c r="J10" s="3389"/>
      <c r="K10" s="3391"/>
      <c r="L10" s="2632" t="s">
        <v>2354</v>
      </c>
      <c r="M10" s="2633"/>
      <c r="N10" s="2609"/>
      <c r="O10" s="2634"/>
      <c r="P10" s="2634"/>
      <c r="Q10" s="2635">
        <v>365</v>
      </c>
      <c r="R10" s="2636">
        <f t="shared" si="0"/>
        <v>0</v>
      </c>
      <c r="S10" s="2590"/>
      <c r="T10" s="2590"/>
      <c r="U10" s="2590"/>
      <c r="V10" s="2598"/>
    </row>
    <row r="11" spans="1:22" s="2602" customFormat="1" ht="13.2" customHeight="1">
      <c r="A11" s="2637">
        <v>3</v>
      </c>
      <c r="B11" s="3393" t="s">
        <v>2355</v>
      </c>
      <c r="C11" s="3394"/>
      <c r="D11" s="2638">
        <f>D12+D14+D15+D16</f>
        <v>0</v>
      </c>
      <c r="E11" s="2644" t="e">
        <f>D11/D6</f>
        <v>#DIV/0!</v>
      </c>
      <c r="F11" s="2640"/>
      <c r="G11" s="2641"/>
      <c r="H11" s="2597"/>
      <c r="I11" s="2598"/>
      <c r="J11" s="3389"/>
      <c r="K11" s="3391"/>
      <c r="L11" s="2632" t="s">
        <v>2356</v>
      </c>
      <c r="M11" s="2633"/>
      <c r="N11" s="2609"/>
      <c r="O11" s="2634"/>
      <c r="P11" s="2634"/>
      <c r="Q11" s="2635">
        <v>365</v>
      </c>
      <c r="R11" s="2636">
        <f t="shared" si="0"/>
        <v>0</v>
      </c>
      <c r="S11" s="2590"/>
      <c r="T11" s="2590"/>
      <c r="U11" s="2590"/>
      <c r="V11" s="2598"/>
    </row>
    <row r="12" spans="1:22" s="2602" customFormat="1" ht="13.2" customHeight="1">
      <c r="A12" s="2645" t="s">
        <v>2357</v>
      </c>
      <c r="B12" s="3395" t="s">
        <v>2358</v>
      </c>
      <c r="C12" s="3396"/>
      <c r="D12" s="2646">
        <f>ROUND(D13*1.2%*(1-30%),0)</f>
        <v>0</v>
      </c>
      <c r="E12" s="2647">
        <v>1.2E-2</v>
      </c>
      <c r="F12" s="2640" t="s">
        <v>2359</v>
      </c>
      <c r="G12" s="2641"/>
      <c r="H12" s="2597"/>
      <c r="I12" s="2598"/>
      <c r="J12" s="3389"/>
      <c r="K12" s="3391"/>
      <c r="L12" s="2632" t="s">
        <v>2360</v>
      </c>
      <c r="M12" s="2633"/>
      <c r="N12" s="2609"/>
      <c r="O12" s="2634"/>
      <c r="P12" s="2634"/>
      <c r="Q12" s="2635">
        <v>365</v>
      </c>
      <c r="R12" s="2636">
        <f t="shared" si="0"/>
        <v>0</v>
      </c>
      <c r="S12" s="2590"/>
      <c r="T12" s="2590"/>
      <c r="U12" s="2590"/>
      <c r="V12" s="2598"/>
    </row>
    <row r="13" spans="1:22" s="2602" customFormat="1" ht="13.2" customHeight="1">
      <c r="A13" s="2645"/>
      <c r="B13" s="2648"/>
      <c r="C13" s="2649" t="s">
        <v>2361</v>
      </c>
      <c r="D13" s="2650"/>
      <c r="E13" s="2651"/>
      <c r="F13" s="2640"/>
      <c r="G13" s="2641"/>
      <c r="H13" s="2597"/>
      <c r="I13" s="2598"/>
      <c r="J13" s="3389"/>
      <c r="K13" s="3391"/>
      <c r="L13" s="2632" t="s">
        <v>2362</v>
      </c>
      <c r="M13" s="2633"/>
      <c r="N13" s="2609"/>
      <c r="O13" s="2634"/>
      <c r="P13" s="2634"/>
      <c r="Q13" s="2635">
        <v>365</v>
      </c>
      <c r="R13" s="2636">
        <f t="shared" si="0"/>
        <v>0</v>
      </c>
      <c r="S13" s="2590"/>
      <c r="T13" s="2590"/>
      <c r="U13" s="2590"/>
      <c r="V13" s="2598"/>
    </row>
    <row r="14" spans="1:22" s="2602" customFormat="1" ht="13.2" customHeight="1">
      <c r="A14" s="2645" t="s">
        <v>2363</v>
      </c>
      <c r="B14" s="3395" t="s">
        <v>2364</v>
      </c>
      <c r="C14" s="3396"/>
      <c r="D14" s="2646">
        <f>ROUND(E14*B5/10000,0)</f>
        <v>0</v>
      </c>
      <c r="E14" s="2635"/>
      <c r="F14" s="2640" t="s">
        <v>2365</v>
      </c>
      <c r="G14" s="2641"/>
      <c r="H14" s="2597"/>
      <c r="I14" s="2598"/>
      <c r="J14" s="3389"/>
      <c r="K14" s="3392"/>
      <c r="L14" s="2652" t="s">
        <v>2366</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2367</v>
      </c>
      <c r="B15" s="3395" t="s">
        <v>2368</v>
      </c>
      <c r="C15" s="3396"/>
      <c r="D15" s="2646">
        <f>ROUND(D6*E15,0)</f>
        <v>0</v>
      </c>
      <c r="E15" s="2647">
        <v>5.5E-2</v>
      </c>
      <c r="F15" s="2640" t="s">
        <v>2369</v>
      </c>
      <c r="G15" s="2622"/>
      <c r="H15" s="2597"/>
      <c r="I15" s="2598"/>
      <c r="J15" s="3389">
        <v>2</v>
      </c>
      <c r="K15" s="3390" t="s">
        <v>2370</v>
      </c>
      <c r="L15" s="2632" t="s">
        <v>2371</v>
      </c>
      <c r="M15" s="2633" t="s">
        <v>2372</v>
      </c>
      <c r="N15" s="2633" t="s">
        <v>2373</v>
      </c>
      <c r="O15" s="2634" t="s">
        <v>2374</v>
      </c>
      <c r="P15" s="2634" t="s">
        <v>2336</v>
      </c>
      <c r="Q15" s="2609" t="s">
        <v>2375</v>
      </c>
      <c r="R15" s="2656" t="s">
        <v>2337</v>
      </c>
      <c r="S15" s="2590"/>
      <c r="T15" s="2590"/>
      <c r="U15" s="2590"/>
      <c r="V15" s="2598"/>
    </row>
    <row r="16" spans="1:22" s="2602" customFormat="1" ht="13.2" customHeight="1">
      <c r="A16" s="2645" t="s">
        <v>2376</v>
      </c>
      <c r="B16" s="3395" t="s">
        <v>2377</v>
      </c>
      <c r="C16" s="3396"/>
      <c r="D16" s="2657">
        <f>D6*E16</f>
        <v>0</v>
      </c>
      <c r="E16" s="2658"/>
      <c r="F16" s="2643" t="s">
        <v>2378</v>
      </c>
      <c r="G16" s="2622"/>
      <c r="H16" s="2597"/>
      <c r="I16" s="2598"/>
      <c r="J16" s="3389"/>
      <c r="K16" s="3391"/>
      <c r="L16" s="2632" t="s">
        <v>2379</v>
      </c>
      <c r="M16" s="2633"/>
      <c r="N16" s="2633"/>
      <c r="O16" s="2634"/>
      <c r="P16" s="2635">
        <v>365</v>
      </c>
      <c r="Q16" s="2609"/>
      <c r="R16" s="2656">
        <f>ROUND(M16*N16*O16*P16/10000,0)</f>
        <v>0</v>
      </c>
      <c r="S16" s="2590"/>
      <c r="T16" s="2590"/>
      <c r="U16" s="2590"/>
      <c r="V16" s="2598"/>
    </row>
    <row r="17" spans="1:22" s="2602" customFormat="1" ht="13.2" customHeight="1" thickBot="1">
      <c r="A17" s="2659">
        <v>4</v>
      </c>
      <c r="B17" s="3397" t="s">
        <v>2380</v>
      </c>
      <c r="C17" s="3398"/>
      <c r="D17" s="2660">
        <f>ROUND(D6*E17,0)</f>
        <v>0</v>
      </c>
      <c r="E17" s="2661"/>
      <c r="F17" s="2662" t="s">
        <v>2381</v>
      </c>
      <c r="G17" s="2622"/>
      <c r="H17" s="2597"/>
      <c r="I17" s="2598"/>
      <c r="J17" s="3389"/>
      <c r="K17" s="3391"/>
      <c r="L17" s="2632" t="s">
        <v>2382</v>
      </c>
      <c r="M17" s="2633"/>
      <c r="N17" s="2633"/>
      <c r="O17" s="2634"/>
      <c r="P17" s="2635">
        <v>365</v>
      </c>
      <c r="Q17" s="2609"/>
      <c r="R17" s="2656">
        <f>ROUND(M17*N17*O17*P17/10000,0)</f>
        <v>0</v>
      </c>
      <c r="S17" s="2590"/>
      <c r="T17" s="2590"/>
      <c r="U17" s="2590"/>
      <c r="V17" s="2598"/>
    </row>
    <row r="18" spans="1:22" s="2602" customFormat="1" ht="13.2" customHeight="1" thickBot="1">
      <c r="A18" s="2625" t="s">
        <v>2383</v>
      </c>
      <c r="B18" s="2626"/>
      <c r="C18" s="2626"/>
      <c r="D18" s="2663">
        <f>ROUND(D6*E18,0)</f>
        <v>0</v>
      </c>
      <c r="E18" s="2664"/>
      <c r="F18" s="2665" t="s">
        <v>2384</v>
      </c>
      <c r="G18" s="2622"/>
      <c r="H18" s="2597"/>
      <c r="I18" s="2598"/>
      <c r="J18" s="3389"/>
      <c r="K18" s="3391"/>
      <c r="L18" s="2632" t="s">
        <v>2385</v>
      </c>
      <c r="M18" s="2633"/>
      <c r="N18" s="2633"/>
      <c r="O18" s="2634"/>
      <c r="P18" s="2635">
        <v>365</v>
      </c>
      <c r="Q18" s="2609"/>
      <c r="R18" s="2656">
        <f>ROUND(M18*N18*O18*P18/10000,0)</f>
        <v>0</v>
      </c>
      <c r="S18" s="2590"/>
      <c r="T18" s="2590"/>
      <c r="U18" s="2590"/>
      <c r="V18" s="2598"/>
    </row>
    <row r="19" spans="1:22" s="2602" customFormat="1" ht="13.2" customHeight="1" thickBot="1">
      <c r="A19" s="2666" t="s">
        <v>2386</v>
      </c>
      <c r="B19" s="2620"/>
      <c r="C19" s="2620"/>
      <c r="D19" s="2620"/>
      <c r="E19" s="2620"/>
      <c r="F19" s="2621"/>
      <c r="G19" s="2641"/>
      <c r="H19" s="2597"/>
      <c r="I19" s="2598"/>
      <c r="J19" s="3389"/>
      <c r="K19" s="3392"/>
      <c r="L19" s="2652" t="s">
        <v>2366</v>
      </c>
      <c r="M19" s="2653"/>
      <c r="N19" s="2653">
        <f>SUM(N16:N18)</f>
        <v>0</v>
      </c>
      <c r="O19" s="2654"/>
      <c r="P19" s="2667" t="s">
        <v>2430</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389">
        <v>3</v>
      </c>
      <c r="K20" s="3390" t="s">
        <v>2387</v>
      </c>
      <c r="L20" s="2632" t="s">
        <v>2388</v>
      </c>
      <c r="M20" s="2633" t="s">
        <v>2389</v>
      </c>
      <c r="N20" s="2670" t="s">
        <v>2390</v>
      </c>
      <c r="O20" s="2634" t="s">
        <v>2391</v>
      </c>
      <c r="P20" s="2635" t="s">
        <v>2392</v>
      </c>
      <c r="Q20" s="2609" t="s">
        <v>2393</v>
      </c>
      <c r="R20" s="2656" t="s">
        <v>2394</v>
      </c>
      <c r="S20" s="2590"/>
      <c r="T20" s="2590"/>
      <c r="U20" s="2590"/>
      <c r="V20" s="2598"/>
    </row>
    <row r="21" spans="1:22" s="2602" customFormat="1" ht="13.2" customHeight="1">
      <c r="A21" s="2625"/>
      <c r="B21" s="2626"/>
      <c r="C21" s="2671" t="s">
        <v>2395</v>
      </c>
      <c r="D21" s="2672" t="s">
        <v>2396</v>
      </c>
      <c r="E21" s="2673" t="s">
        <v>2397</v>
      </c>
      <c r="F21" s="2669"/>
      <c r="G21" s="2641"/>
      <c r="H21" s="2597"/>
      <c r="I21" s="2598"/>
      <c r="J21" s="3389"/>
      <c r="K21" s="3391"/>
      <c r="L21" s="2632" t="s">
        <v>2398</v>
      </c>
      <c r="M21" s="2633"/>
      <c r="N21" s="2633"/>
      <c r="O21" s="2634"/>
      <c r="P21" s="2635">
        <v>365</v>
      </c>
      <c r="Q21" s="2609"/>
      <c r="R21" s="2674">
        <f>ROUND(M21*N21*O21*P21/10000,0)</f>
        <v>0</v>
      </c>
      <c r="S21" s="2590"/>
      <c r="T21" s="2590"/>
      <c r="U21" s="2590"/>
      <c r="V21" s="2598"/>
    </row>
    <row r="22" spans="1:22" s="2602" customFormat="1" ht="13.2" customHeight="1">
      <c r="A22" s="2625"/>
      <c r="B22" s="2626"/>
      <c r="C22" s="2675" t="s">
        <v>2399</v>
      </c>
      <c r="D22" s="2676" t="s">
        <v>2400</v>
      </c>
      <c r="E22" s="2677" t="s">
        <v>2401</v>
      </c>
      <c r="F22" s="2669"/>
      <c r="G22" s="2590"/>
      <c r="H22" s="2597"/>
      <c r="I22" s="2598"/>
      <c r="J22" s="3389"/>
      <c r="K22" s="3391"/>
      <c r="L22" s="2632" t="s">
        <v>2402</v>
      </c>
      <c r="M22" s="2633"/>
      <c r="N22" s="2633"/>
      <c r="O22" s="2634"/>
      <c r="P22" s="2635">
        <v>365</v>
      </c>
      <c r="Q22" s="2609"/>
      <c r="R22" s="2674">
        <f>ROUND(M22*N22*O22*P22/10000,0)</f>
        <v>0</v>
      </c>
      <c r="S22" s="2590"/>
      <c r="T22" s="2590"/>
      <c r="U22" s="2590"/>
      <c r="V22" s="2598"/>
    </row>
    <row r="23" spans="1:22" s="2602" customFormat="1" ht="13.2" customHeight="1">
      <c r="A23" s="2678">
        <v>1</v>
      </c>
      <c r="B23" s="2679" t="s">
        <v>2403</v>
      </c>
      <c r="C23" s="2680">
        <f>D6</f>
        <v>0</v>
      </c>
      <c r="D23" s="2681">
        <f>C23*(1+D24)</f>
        <v>0</v>
      </c>
      <c r="E23" s="2682">
        <f>D23*(1+E24)</f>
        <v>0</v>
      </c>
      <c r="F23" s="2683"/>
      <c r="G23" s="2684"/>
      <c r="H23" s="2597"/>
      <c r="I23" s="2598"/>
      <c r="J23" s="3389"/>
      <c r="K23" s="3391"/>
      <c r="L23" s="2632" t="s">
        <v>2404</v>
      </c>
      <c r="M23" s="2633"/>
      <c r="N23" s="2633"/>
      <c r="O23" s="2634"/>
      <c r="P23" s="2635">
        <v>365</v>
      </c>
      <c r="Q23" s="2609"/>
      <c r="R23" s="2674">
        <f>ROUND(M23*N23*O23*P23/10000,0)</f>
        <v>0</v>
      </c>
      <c r="S23" s="2590"/>
      <c r="T23" s="2590"/>
      <c r="U23" s="2590"/>
      <c r="V23" s="2598"/>
    </row>
    <row r="24" spans="1:22" s="2602" customFormat="1" ht="13.2" customHeight="1">
      <c r="A24" s="2685"/>
      <c r="B24" s="2686" t="s">
        <v>2405</v>
      </c>
      <c r="C24" s="2687"/>
      <c r="D24" s="2688"/>
      <c r="E24" s="2689"/>
      <c r="F24" s="2690"/>
      <c r="G24" s="2684"/>
      <c r="H24" s="2597"/>
      <c r="I24" s="2598"/>
      <c r="J24" s="3389"/>
      <c r="K24" s="3392"/>
      <c r="L24" s="2652" t="s">
        <v>2366</v>
      </c>
      <c r="M24" s="2653">
        <f>SUM(M21:M23)</f>
        <v>0</v>
      </c>
      <c r="N24" s="2653"/>
      <c r="O24" s="2654"/>
      <c r="P24" s="2667" t="s">
        <v>2430</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2406</v>
      </c>
      <c r="L25" s="2693"/>
      <c r="M25" s="2693"/>
      <c r="N25" s="2693"/>
      <c r="O25" s="2693"/>
      <c r="P25" s="2694"/>
      <c r="Q25" s="2695">
        <v>0</v>
      </c>
      <c r="R25" s="2668">
        <f>ROUND(R14*Q25,0)</f>
        <v>0</v>
      </c>
      <c r="S25" s="2590"/>
      <c r="T25" s="2590"/>
      <c r="U25" s="2590"/>
      <c r="V25" s="2696"/>
    </row>
    <row r="26" spans="1:22" s="2697" customFormat="1" ht="13.2" customHeight="1">
      <c r="A26" s="2678">
        <v>2</v>
      </c>
      <c r="B26" s="2679" t="s">
        <v>2407</v>
      </c>
      <c r="C26" s="2680">
        <f>D7</f>
        <v>0</v>
      </c>
      <c r="D26" s="2681">
        <f>D23*D27</f>
        <v>0</v>
      </c>
      <c r="E26" s="2682">
        <f>E23*E27</f>
        <v>0</v>
      </c>
      <c r="F26" s="2683"/>
      <c r="G26" s="2684"/>
      <c r="H26" s="2597"/>
      <c r="I26" s="2598"/>
      <c r="J26" s="3399">
        <v>5</v>
      </c>
      <c r="K26" s="2698" t="s">
        <v>2408</v>
      </c>
      <c r="L26" s="2699"/>
      <c r="M26" s="2700"/>
      <c r="N26" s="2701" t="s">
        <v>2409</v>
      </c>
      <c r="O26" s="2701" t="s">
        <v>2410</v>
      </c>
      <c r="P26" s="2702" t="s">
        <v>2411</v>
      </c>
      <c r="Q26" s="2702" t="s">
        <v>2412</v>
      </c>
      <c r="R26" s="2607" t="s">
        <v>2337</v>
      </c>
      <c r="S26" s="2641"/>
      <c r="T26" s="2641"/>
      <c r="U26" s="2641"/>
      <c r="V26" s="2696"/>
    </row>
    <row r="27" spans="1:22" s="2602" customFormat="1" ht="13.2" customHeight="1">
      <c r="A27" s="2685"/>
      <c r="B27" s="2686" t="s">
        <v>2413</v>
      </c>
      <c r="C27" s="2703" t="e">
        <f>E7</f>
        <v>#DIV/0!</v>
      </c>
      <c r="D27" s="2688"/>
      <c r="E27" s="2689"/>
      <c r="F27" s="2690"/>
      <c r="G27" s="2684"/>
      <c r="H27" s="2704"/>
      <c r="I27" s="2696"/>
      <c r="J27" s="3400"/>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2414</v>
      </c>
      <c r="F28" s="2690"/>
      <c r="G28" s="2590"/>
      <c r="H28" s="2704"/>
      <c r="I28" s="2696"/>
      <c r="J28" s="2710">
        <v>6</v>
      </c>
      <c r="K28" s="2711" t="s">
        <v>2415</v>
      </c>
      <c r="L28" s="2712" t="s">
        <v>2416</v>
      </c>
      <c r="M28" s="2713"/>
      <c r="N28" s="2712" t="s">
        <v>2417</v>
      </c>
      <c r="O28" s="2714"/>
      <c r="P28" s="2712" t="s">
        <v>2418</v>
      </c>
      <c r="Q28" s="2715">
        <v>1.4999999999999999E-2</v>
      </c>
      <c r="R28" s="2716"/>
      <c r="S28" s="2590"/>
      <c r="T28" s="2590"/>
      <c r="U28" s="2590"/>
      <c r="V28" s="2696"/>
    </row>
    <row r="29" spans="1:22" s="2697" customFormat="1" ht="13.2" customHeight="1">
      <c r="A29" s="2678">
        <v>3</v>
      </c>
      <c r="B29" s="2679" t="s">
        <v>2419</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2413</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2420</v>
      </c>
      <c r="K31" s="2588"/>
      <c r="L31" s="2588"/>
      <c r="M31" s="2588"/>
      <c r="N31" s="2588"/>
      <c r="O31" s="2588"/>
      <c r="P31" s="2588"/>
      <c r="Q31" s="2588"/>
      <c r="R31" s="2589"/>
      <c r="S31" s="2590"/>
      <c r="T31" s="2590"/>
      <c r="U31" s="2590"/>
      <c r="V31" s="2696"/>
    </row>
    <row r="32" spans="1:22" s="2697" customFormat="1" ht="13.2" customHeight="1">
      <c r="A32" s="2678">
        <v>4</v>
      </c>
      <c r="B32" s="2679" t="s">
        <v>2421</v>
      </c>
      <c r="C32" s="2680">
        <f>C23-C26-C29</f>
        <v>0</v>
      </c>
      <c r="D32" s="2681">
        <f>D23-D26-D29</f>
        <v>0</v>
      </c>
      <c r="E32" s="2682">
        <f>E23-E26-E29</f>
        <v>0</v>
      </c>
      <c r="F32" s="2683"/>
      <c r="G32" s="2590"/>
      <c r="H32" s="2597"/>
      <c r="I32" s="2598"/>
      <c r="J32" s="3382" t="s">
        <v>2313</v>
      </c>
      <c r="K32" s="3383"/>
      <c r="L32" s="2599" t="s">
        <v>2314</v>
      </c>
      <c r="M32" s="2599" t="s">
        <v>2315</v>
      </c>
      <c r="N32" s="2599" t="s">
        <v>2316</v>
      </c>
      <c r="O32" s="2599" t="s">
        <v>2317</v>
      </c>
      <c r="P32" s="2599" t="s">
        <v>2318</v>
      </c>
      <c r="Q32" s="2600" t="s">
        <v>2319</v>
      </c>
      <c r="R32" s="2719" t="s">
        <v>2320</v>
      </c>
      <c r="S32" s="2590"/>
      <c r="T32" s="2590"/>
      <c r="U32" s="2590"/>
      <c r="V32" s="2696"/>
    </row>
    <row r="33" spans="1:23" s="2602" customFormat="1" ht="13.2" customHeight="1">
      <c r="A33" s="2678"/>
      <c r="B33" s="2679"/>
      <c r="C33" s="2680"/>
      <c r="D33" s="2720"/>
      <c r="E33" s="2721"/>
      <c r="F33" s="2683"/>
      <c r="G33" s="2590"/>
      <c r="H33" s="2704"/>
      <c r="I33" s="2696"/>
      <c r="J33" s="3384" t="s">
        <v>2323</v>
      </c>
      <c r="K33" s="3385"/>
      <c r="L33" s="2605"/>
      <c r="M33" s="2605"/>
      <c r="N33" s="2605"/>
      <c r="O33" s="2605"/>
      <c r="P33" s="2605"/>
      <c r="Q33" s="2606"/>
      <c r="R33" s="2722">
        <f>SUM(L33:Q33)</f>
        <v>0</v>
      </c>
      <c r="S33" s="2590"/>
      <c r="T33" s="2590"/>
      <c r="U33" s="2590"/>
      <c r="V33" s="2598"/>
    </row>
    <row r="34" spans="1:23" s="2602" customFormat="1" ht="13.2" customHeight="1">
      <c r="A34" s="2678">
        <v>5</v>
      </c>
      <c r="B34" s="2679" t="s">
        <v>2422</v>
      </c>
      <c r="C34" s="2723"/>
      <c r="D34" s="2724"/>
      <c r="E34" s="2725"/>
      <c r="F34" s="2683"/>
      <c r="G34" s="2590"/>
      <c r="H34" s="2704"/>
      <c r="I34" s="2696"/>
      <c r="J34" s="3384" t="s">
        <v>2325</v>
      </c>
      <c r="K34" s="3385"/>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2423</v>
      </c>
      <c r="C35" s="2727"/>
      <c r="D35" s="2728"/>
      <c r="E35" s="2729"/>
      <c r="F35" s="2683"/>
      <c r="G35" s="2730"/>
      <c r="H35" s="2597"/>
      <c r="I35" s="2696"/>
      <c r="J35" s="2616" t="s">
        <v>2327</v>
      </c>
      <c r="K35" s="2617"/>
      <c r="L35" s="2617"/>
      <c r="M35" s="2618"/>
      <c r="N35" s="2618"/>
      <c r="O35" s="2618"/>
      <c r="P35" s="2618"/>
      <c r="Q35" s="2618"/>
      <c r="R35" s="2731">
        <f>R40+R41+R43</f>
        <v>0</v>
      </c>
      <c r="S35" s="2590"/>
      <c r="T35" s="2590" t="s">
        <v>2328</v>
      </c>
      <c r="U35" s="2590"/>
      <c r="V35" s="2598"/>
    </row>
    <row r="36" spans="1:23" s="2602" customFormat="1" ht="13.2" customHeight="1" thickBot="1">
      <c r="A36" s="2678">
        <v>7</v>
      </c>
      <c r="B36" s="2732" t="s">
        <v>2424</v>
      </c>
      <c r="C36" s="2733"/>
      <c r="D36" s="2734"/>
      <c r="E36" s="2735"/>
      <c r="F36" s="2736">
        <f>C36+D36+E36</f>
        <v>0</v>
      </c>
      <c r="G36" s="2590"/>
      <c r="H36" s="2597"/>
      <c r="I36" s="2598"/>
      <c r="J36" s="3389">
        <v>1</v>
      </c>
      <c r="K36" s="3390" t="s">
        <v>2425</v>
      </c>
      <c r="L36" s="2623"/>
      <c r="M36" s="2624"/>
      <c r="N36" s="2624"/>
      <c r="O36" s="2624"/>
      <c r="P36" s="2624"/>
      <c r="Q36" s="2624"/>
      <c r="R36" s="2607" t="s">
        <v>2337</v>
      </c>
      <c r="S36" s="2590"/>
      <c r="T36" s="2590" t="s">
        <v>2338</v>
      </c>
      <c r="U36" s="2590"/>
      <c r="V36" s="2598"/>
    </row>
    <row r="37" spans="1:23" s="2602" customFormat="1" ht="13.2" customHeight="1">
      <c r="A37" s="2678"/>
      <c r="B37" s="2679"/>
      <c r="C37" s="2679"/>
      <c r="D37" s="2679"/>
      <c r="E37" s="2679"/>
      <c r="F37" s="2683"/>
      <c r="G37" s="2590"/>
      <c r="H37" s="2597"/>
      <c r="I37" s="2598"/>
      <c r="J37" s="3389"/>
      <c r="K37" s="3391"/>
      <c r="L37" s="2632"/>
      <c r="M37" s="2633"/>
      <c r="N37" s="2609"/>
      <c r="O37" s="2634"/>
      <c r="P37" s="2634"/>
      <c r="Q37" s="2635"/>
      <c r="R37" s="2636"/>
      <c r="S37" s="2590"/>
      <c r="T37" s="2590" t="s">
        <v>2341</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389"/>
      <c r="K38" s="3391"/>
      <c r="L38" s="2632"/>
      <c r="M38" s="2633"/>
      <c r="N38" s="2609"/>
      <c r="O38" s="2634"/>
      <c r="P38" s="2634"/>
      <c r="Q38" s="2635"/>
      <c r="R38" s="2636"/>
      <c r="S38" s="2590"/>
      <c r="T38" s="2590" t="s">
        <v>2348</v>
      </c>
      <c r="U38" s="2590"/>
      <c r="V38" s="2598"/>
    </row>
    <row r="39" spans="1:23" s="2602" customFormat="1" ht="13.2" customHeight="1">
      <c r="A39" s="2678">
        <v>9</v>
      </c>
      <c r="B39" s="2679" t="s">
        <v>2426</v>
      </c>
      <c r="C39" s="2646" t="e">
        <f>C38</f>
        <v>#DIV/0!</v>
      </c>
      <c r="D39" s="2679">
        <f>D38/(1+D34)^C36</f>
        <v>0</v>
      </c>
      <c r="E39" s="2679">
        <f>E38/(1+E34)^(C36+D36)</f>
        <v>0</v>
      </c>
      <c r="F39" s="2683"/>
      <c r="G39" s="2598"/>
      <c r="H39" s="2597"/>
      <c r="I39" s="2598"/>
      <c r="J39" s="3389"/>
      <c r="K39" s="3391"/>
      <c r="L39" s="2632"/>
      <c r="M39" s="2633"/>
      <c r="N39" s="2609"/>
      <c r="O39" s="2634"/>
      <c r="P39" s="2634"/>
      <c r="Q39" s="2635"/>
      <c r="R39" s="2636"/>
      <c r="S39" s="2590"/>
      <c r="T39" s="2590"/>
      <c r="U39" s="2590"/>
      <c r="V39" s="2598"/>
    </row>
    <row r="40" spans="1:23" s="2602" customFormat="1" ht="13.2" customHeight="1">
      <c r="A40" s="2737">
        <v>10</v>
      </c>
      <c r="B40" s="2679" t="s">
        <v>2427</v>
      </c>
      <c r="C40" s="2738" t="e">
        <f>C39+D39+E39</f>
        <v>#DIV/0!</v>
      </c>
      <c r="D40" s="2739"/>
      <c r="E40" s="2739"/>
      <c r="F40" s="2740"/>
      <c r="G40" s="2590"/>
      <c r="H40" s="2597"/>
      <c r="I40" s="2598"/>
      <c r="J40" s="3389"/>
      <c r="K40" s="3392"/>
      <c r="L40" s="2652" t="s">
        <v>2366</v>
      </c>
      <c r="M40" s="2653"/>
      <c r="N40" s="2653"/>
      <c r="O40" s="2654"/>
      <c r="P40" s="2654"/>
      <c r="Q40" s="2655"/>
      <c r="R40" s="2601">
        <f>SUM(R37:R39)</f>
        <v>0</v>
      </c>
      <c r="S40" s="2590"/>
      <c r="T40" s="2590"/>
      <c r="U40" s="2590"/>
      <c r="V40" s="2598"/>
    </row>
    <row r="41" spans="1:23" s="2602" customFormat="1" ht="13.2" customHeight="1" thickBot="1">
      <c r="A41" s="2741">
        <v>11</v>
      </c>
      <c r="B41" s="2742" t="s">
        <v>2428</v>
      </c>
      <c r="C41" s="2742" t="e">
        <f>ROUND(C40*10000/B4,0)</f>
        <v>#DIV/0!</v>
      </c>
      <c r="D41" s="2743"/>
      <c r="E41" s="2743"/>
      <c r="F41" s="2744"/>
      <c r="G41" s="2597"/>
      <c r="H41" s="2597"/>
      <c r="I41" s="2598"/>
      <c r="J41" s="2691">
        <v>2</v>
      </c>
      <c r="K41" s="2692" t="s">
        <v>2406</v>
      </c>
      <c r="L41" s="2693"/>
      <c r="M41" s="2693"/>
      <c r="N41" s="2693"/>
      <c r="O41" s="2693"/>
      <c r="P41" s="2694"/>
      <c r="Q41" s="2695"/>
      <c r="R41" s="2668">
        <f>ROUND(R40*Q41,0)</f>
        <v>0</v>
      </c>
      <c r="S41" s="2590"/>
      <c r="T41" s="2590"/>
      <c r="U41" s="2641"/>
      <c r="V41" s="2598"/>
    </row>
    <row r="42" spans="1:23" s="2602" customFormat="1" ht="13.2" customHeight="1">
      <c r="G42" s="2597"/>
      <c r="H42" s="2597"/>
      <c r="I42" s="2598"/>
      <c r="J42" s="3399">
        <v>3</v>
      </c>
      <c r="K42" s="2698" t="s">
        <v>2408</v>
      </c>
      <c r="L42" s="2699"/>
      <c r="M42" s="2700"/>
      <c r="N42" s="2701" t="s">
        <v>2409</v>
      </c>
      <c r="O42" s="2701" t="s">
        <v>2410</v>
      </c>
      <c r="P42" s="2702" t="s">
        <v>2411</v>
      </c>
      <c r="Q42" s="2702" t="s">
        <v>2412</v>
      </c>
      <c r="R42" s="2607" t="s">
        <v>2337</v>
      </c>
      <c r="S42" s="2641"/>
      <c r="T42" s="2641"/>
      <c r="U42" s="2590"/>
      <c r="V42" s="2598"/>
    </row>
    <row r="43" spans="1:23" ht="13.2" customHeight="1">
      <c r="A43" s="2602"/>
      <c r="B43" s="2602"/>
      <c r="C43" s="2602"/>
      <c r="D43" s="2602"/>
      <c r="E43" s="2602"/>
      <c r="F43" s="2602"/>
      <c r="I43" s="2585"/>
      <c r="J43" s="3400"/>
      <c r="K43" s="2705"/>
      <c r="L43" s="2706"/>
      <c r="M43" s="2707"/>
      <c r="N43" s="2633"/>
      <c r="O43" s="2633"/>
      <c r="P43" s="2633"/>
      <c r="Q43" s="2695"/>
      <c r="R43" s="2668">
        <f>ROUND(O43*N43*P43*(1-Q43)/10000,0)</f>
        <v>0</v>
      </c>
      <c r="S43" s="2590"/>
      <c r="T43" s="2590"/>
      <c r="V43" s="2745"/>
      <c r="W43" s="2746"/>
    </row>
    <row r="44" spans="1:23" ht="13.2" customHeight="1" thickBot="1">
      <c r="J44" s="2710">
        <v>6</v>
      </c>
      <c r="K44" s="2711" t="s">
        <v>2415</v>
      </c>
      <c r="L44" s="2747" t="s">
        <v>2416</v>
      </c>
      <c r="M44" s="2713"/>
      <c r="N44" s="2747" t="s">
        <v>2417</v>
      </c>
      <c r="O44" s="2713"/>
      <c r="P44" s="2747" t="s">
        <v>2418</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H44" sqref="H44"/>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7"/>
      <c r="G1" s="459"/>
      <c r="H1" s="459"/>
      <c r="I1" s="459"/>
      <c r="J1" s="459"/>
      <c r="K1" s="459"/>
      <c r="L1" s="459"/>
      <c r="M1" s="459"/>
      <c r="N1" s="459"/>
      <c r="O1" s="459"/>
      <c r="P1" s="459"/>
      <c r="Q1" s="459"/>
      <c r="R1" s="459"/>
      <c r="S1" s="459"/>
    </row>
    <row r="2" spans="1:22" ht="15.6">
      <c r="A2" s="1728" t="s">
        <v>1462</v>
      </c>
      <c r="B2" s="811">
        <f ca="1">SUMIF(B6:B13,"&lt;&gt;#ref!",B6:B13)</f>
        <v>4487.2785000000003</v>
      </c>
      <c r="C2" s="1729" t="s">
        <v>1651</v>
      </c>
      <c r="D2" s="1730" t="s">
        <v>1652</v>
      </c>
      <c r="E2" s="2391">
        <f>SUM(E6:E13)</f>
        <v>2170.1999999999998</v>
      </c>
      <c r="F2" s="2477"/>
      <c r="G2" s="459"/>
      <c r="H2" s="459"/>
      <c r="I2" s="459"/>
      <c r="J2" s="459"/>
      <c r="K2" s="459"/>
      <c r="L2" s="459"/>
      <c r="M2" s="459"/>
      <c r="N2" s="459"/>
      <c r="O2" s="459"/>
      <c r="P2" s="459"/>
      <c r="Q2" s="459"/>
      <c r="R2" s="459"/>
      <c r="S2" s="459"/>
    </row>
    <row r="3" spans="1:22" ht="15.6">
      <c r="A3" s="1728" t="s">
        <v>686</v>
      </c>
      <c r="B3" s="2385">
        <f ca="1">ROUND(B2*10000/E2,0)</f>
        <v>20677</v>
      </c>
      <c r="C3" s="1729" t="s">
        <v>1659</v>
      </c>
      <c r="D3" s="2477"/>
      <c r="E3" s="2480"/>
      <c r="F3" s="2477"/>
      <c r="G3" s="459"/>
      <c r="H3" s="459"/>
      <c r="I3" s="459"/>
      <c r="J3" s="459"/>
      <c r="K3" s="459"/>
      <c r="L3" s="459"/>
      <c r="M3" s="459"/>
      <c r="N3" s="459"/>
      <c r="O3" s="459"/>
      <c r="P3" s="459"/>
      <c r="Q3" s="459"/>
      <c r="R3" s="459"/>
      <c r="S3" s="459"/>
    </row>
    <row r="4" spans="1:22" ht="15.6">
      <c r="A4" s="2481"/>
      <c r="B4" s="2477"/>
      <c r="C4" s="2477"/>
      <c r="D4" s="2477"/>
      <c r="E4" s="2480"/>
      <c r="F4" s="2477"/>
      <c r="G4" s="459"/>
      <c r="H4" s="459"/>
      <c r="I4" s="459"/>
      <c r="J4" s="459"/>
      <c r="K4" s="459"/>
      <c r="L4" s="459"/>
      <c r="M4" s="459"/>
      <c r="N4" s="459"/>
      <c r="O4" s="459"/>
      <c r="P4" s="459"/>
      <c r="Q4" s="459"/>
      <c r="R4" s="459"/>
      <c r="S4" s="459"/>
    </row>
    <row r="5" spans="1:22" ht="14.4">
      <c r="A5" s="2387" t="s">
        <v>1653</v>
      </c>
      <c r="B5" s="3401" t="s">
        <v>1654</v>
      </c>
      <c r="C5" s="3402"/>
      <c r="D5" s="2478"/>
      <c r="E5" s="1731" t="s">
        <v>1655</v>
      </c>
      <c r="F5" s="129" t="s">
        <v>1656</v>
      </c>
      <c r="G5" s="459"/>
      <c r="H5" s="459"/>
      <c r="I5" s="459"/>
      <c r="J5" s="459"/>
      <c r="K5" s="459"/>
      <c r="L5" s="459"/>
      <c r="M5" s="459"/>
      <c r="N5" s="459"/>
      <c r="O5" s="459"/>
      <c r="P5" s="459"/>
      <c r="Q5" s="459"/>
      <c r="R5" s="459"/>
      <c r="S5" s="459"/>
    </row>
    <row r="6" spans="1:22" ht="14.4">
      <c r="A6" s="2388" t="str">
        <f>'数据-取费表'!AN6</f>
        <v>收益法办</v>
      </c>
      <c r="B6" s="2386">
        <f ca="1">IF(F6="是",'数据-取费表'!AO6,0)</f>
        <v>4487.2785000000003</v>
      </c>
      <c r="C6" s="1729" t="s">
        <v>1651</v>
      </c>
      <c r="D6" s="2477"/>
      <c r="E6" s="2390">
        <f>IF(OR(A6=0,F6="否"),0,'数据-取费表'!K6+'数据-取费表'!S6)</f>
        <v>2170.1999999999998</v>
      </c>
      <c r="F6" s="1732" t="s">
        <v>1657</v>
      </c>
      <c r="G6" s="459"/>
      <c r="H6" s="459"/>
      <c r="I6" s="459"/>
      <c r="J6" s="459"/>
      <c r="K6" s="459"/>
      <c r="L6" s="459"/>
      <c r="M6" s="459"/>
      <c r="N6" s="459"/>
      <c r="O6" s="459"/>
      <c r="P6" s="459"/>
      <c r="Q6" s="459"/>
      <c r="R6" s="459"/>
      <c r="S6" s="459"/>
    </row>
    <row r="7" spans="1:22" ht="14.4">
      <c r="A7" s="2388">
        <f>'数据-取费表'!AN7</f>
        <v>0</v>
      </c>
      <c r="B7" s="2386" t="e">
        <f ca="1">IF(F7="是",'数据-取费表'!AO7,0)</f>
        <v>#REF!</v>
      </c>
      <c r="C7" s="1729" t="s">
        <v>1651</v>
      </c>
      <c r="D7" s="2477"/>
      <c r="E7" s="2390">
        <f>IF(OR(A7=0,F7="否"),0,'数据-取费表'!K7+'数据-取费表'!S7)</f>
        <v>0</v>
      </c>
      <c r="F7" s="1732" t="s">
        <v>1657</v>
      </c>
      <c r="G7" s="459"/>
      <c r="H7" s="459"/>
      <c r="I7" s="459"/>
      <c r="J7" s="459"/>
      <c r="K7" s="459"/>
      <c r="L7" s="459"/>
      <c r="M7" s="459"/>
      <c r="N7" s="459"/>
      <c r="O7" s="459"/>
      <c r="P7" s="459"/>
      <c r="Q7" s="459"/>
      <c r="R7" s="459"/>
      <c r="S7" s="459"/>
    </row>
    <row r="8" spans="1:22" ht="14.4">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ht="14.4">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ht="14.4">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2170.1999999999998</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4.4">
      <c r="A4" s="345" t="s">
        <v>1666</v>
      </c>
      <c r="B4" s="346"/>
      <c r="C4" s="3421" t="s">
        <v>1667</v>
      </c>
      <c r="D4" s="3422"/>
      <c r="E4" s="3423" t="s">
        <v>1668</v>
      </c>
      <c r="F4" s="3424"/>
      <c r="G4" s="3421" t="s">
        <v>1669</v>
      </c>
      <c r="H4" s="3422"/>
      <c r="I4" s="3421" t="s">
        <v>1670</v>
      </c>
      <c r="J4" s="3422"/>
      <c r="K4" s="1744" t="s">
        <v>1671</v>
      </c>
      <c r="L4" s="2484"/>
      <c r="M4" s="2485"/>
      <c r="N4" s="2485"/>
      <c r="O4" s="2485"/>
      <c r="P4" s="3425" t="s">
        <v>1672</v>
      </c>
      <c r="Q4" s="3426"/>
      <c r="R4" s="3408" t="s">
        <v>1668</v>
      </c>
      <c r="S4" s="3409"/>
      <c r="T4" s="3408" t="s">
        <v>1669</v>
      </c>
      <c r="U4" s="3409"/>
      <c r="V4" s="3433" t="s">
        <v>1670</v>
      </c>
      <c r="W4" s="3433"/>
      <c r="X4" s="1265"/>
      <c r="Y4" s="3408" t="s">
        <v>1672</v>
      </c>
      <c r="Z4" s="3409"/>
      <c r="AA4" s="3403" t="s">
        <v>1668</v>
      </c>
      <c r="AB4" s="3403" t="s">
        <v>1669</v>
      </c>
      <c r="AC4" s="3403" t="s">
        <v>1670</v>
      </c>
    </row>
    <row r="5" spans="1:29">
      <c r="A5" s="348"/>
      <c r="B5" s="349"/>
      <c r="C5" s="3414" t="s">
        <v>1673</v>
      </c>
      <c r="D5" s="3415"/>
      <c r="E5" s="3412" t="s">
        <v>1674</v>
      </c>
      <c r="F5" s="3413"/>
      <c r="G5" s="3414" t="s">
        <v>1675</v>
      </c>
      <c r="H5" s="3415"/>
      <c r="I5" s="3414" t="s">
        <v>1676</v>
      </c>
      <c r="J5" s="3415"/>
      <c r="K5" s="1745"/>
      <c r="L5" s="2484"/>
      <c r="M5" s="2485"/>
      <c r="N5" s="2485"/>
      <c r="O5" s="2485"/>
      <c r="P5" s="3427"/>
      <c r="Q5" s="3428"/>
      <c r="R5" s="3410"/>
      <c r="S5" s="3411"/>
      <c r="T5" s="3410"/>
      <c r="U5" s="3411"/>
      <c r="V5" s="3433"/>
      <c r="W5" s="3433"/>
      <c r="X5" s="1265"/>
      <c r="Y5" s="3410"/>
      <c r="Z5" s="3411"/>
      <c r="AA5" s="3404"/>
      <c r="AB5" s="3404"/>
      <c r="AC5" s="3404"/>
    </row>
    <row r="6" spans="1:29" ht="15" thickBot="1">
      <c r="A6" s="350"/>
      <c r="B6" s="351"/>
      <c r="C6" s="3416" t="s">
        <v>1677</v>
      </c>
      <c r="D6" s="3417"/>
      <c r="E6" s="3418" t="s">
        <v>1677</v>
      </c>
      <c r="F6" s="3419"/>
      <c r="G6" s="3416" t="s">
        <v>1677</v>
      </c>
      <c r="H6" s="3417"/>
      <c r="I6" s="3416" t="s">
        <v>1677</v>
      </c>
      <c r="J6" s="3417"/>
      <c r="K6" s="1745" t="s">
        <v>1678</v>
      </c>
      <c r="L6" s="2484"/>
      <c r="M6" s="2485"/>
      <c r="N6" s="2485"/>
      <c r="O6" s="2485"/>
      <c r="P6" s="3429"/>
      <c r="Q6" s="3430"/>
      <c r="R6" s="3410"/>
      <c r="S6" s="3411"/>
      <c r="T6" s="3431"/>
      <c r="U6" s="3432"/>
      <c r="V6" s="3433"/>
      <c r="W6" s="3433"/>
      <c r="X6" s="1265"/>
      <c r="Y6" s="3431"/>
      <c r="Z6" s="3432"/>
      <c r="AA6" s="3405"/>
      <c r="AB6" s="3405"/>
      <c r="AC6" s="3405"/>
    </row>
    <row r="7" spans="1:29" s="102" customFormat="1" ht="15" thickBot="1">
      <c r="A7" s="352" t="s">
        <v>1679</v>
      </c>
      <c r="B7" s="353"/>
      <c r="C7" s="354">
        <f>'数据-取费表'!B2</f>
        <v>45772</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406" t="s">
        <v>1680</v>
      </c>
      <c r="Q7" s="3434"/>
      <c r="R7" s="664" t="s">
        <v>20</v>
      </c>
      <c r="S7" s="665">
        <f t="shared" ref="S7:S15" si="0">F7</f>
        <v>0</v>
      </c>
      <c r="T7" s="664" t="s">
        <v>20</v>
      </c>
      <c r="U7" s="665">
        <f t="shared" ref="U7:U15" si="1">H7</f>
        <v>0</v>
      </c>
      <c r="V7" s="664" t="s">
        <v>20</v>
      </c>
      <c r="W7" s="665">
        <f t="shared" ref="W7:W15" si="2">J7</f>
        <v>0</v>
      </c>
      <c r="X7" s="666"/>
      <c r="Y7" s="3406" t="s">
        <v>1680</v>
      </c>
      <c r="Z7" s="3407"/>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406" t="s">
        <v>1683</v>
      </c>
      <c r="Q8" s="3407"/>
      <c r="R8" s="664" t="s">
        <v>20</v>
      </c>
      <c r="S8" s="665">
        <f t="shared" si="0"/>
        <v>100</v>
      </c>
      <c r="T8" s="664" t="s">
        <v>20</v>
      </c>
      <c r="U8" s="665">
        <f t="shared" si="1"/>
        <v>100</v>
      </c>
      <c r="V8" s="664" t="s">
        <v>20</v>
      </c>
      <c r="W8" s="665">
        <f t="shared" si="2"/>
        <v>100</v>
      </c>
      <c r="X8" s="666"/>
      <c r="Y8" s="3406" t="s">
        <v>1683</v>
      </c>
      <c r="Z8" s="3407"/>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420" t="s">
        <v>1686</v>
      </c>
      <c r="Q9" s="530" t="str">
        <f t="shared" ref="Q9:Q15" si="6">B9</f>
        <v>用途</v>
      </c>
      <c r="R9" s="664" t="s">
        <v>14</v>
      </c>
      <c r="S9" s="665">
        <f t="shared" si="0"/>
        <v>100</v>
      </c>
      <c r="T9" s="664" t="s">
        <v>14</v>
      </c>
      <c r="U9" s="665">
        <f t="shared" si="1"/>
        <v>100</v>
      </c>
      <c r="V9" s="664" t="s">
        <v>14</v>
      </c>
      <c r="W9" s="665">
        <f t="shared" si="2"/>
        <v>100</v>
      </c>
      <c r="X9" s="666"/>
      <c r="Y9" s="3331"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420"/>
      <c r="Q10" s="530" t="str">
        <f t="shared" si="6"/>
        <v>土地使用年限（年）</v>
      </c>
      <c r="R10" s="664" t="s">
        <v>14</v>
      </c>
      <c r="S10" s="665">
        <f t="shared" si="0"/>
        <v>100</v>
      </c>
      <c r="T10" s="664" t="s">
        <v>14</v>
      </c>
      <c r="U10" s="665">
        <f t="shared" si="1"/>
        <v>100</v>
      </c>
      <c r="V10" s="664" t="s">
        <v>14</v>
      </c>
      <c r="W10" s="665">
        <f t="shared" si="2"/>
        <v>100</v>
      </c>
      <c r="X10" s="666"/>
      <c r="Y10" s="333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420"/>
      <c r="Q11" s="530" t="str">
        <f t="shared" si="6"/>
        <v>容积率</v>
      </c>
      <c r="R11" s="664" t="s">
        <v>18</v>
      </c>
      <c r="S11" s="665" t="e">
        <f t="shared" si="0"/>
        <v>#N/A</v>
      </c>
      <c r="T11" s="664" t="s">
        <v>18</v>
      </c>
      <c r="U11" s="665" t="e">
        <f t="shared" si="1"/>
        <v>#N/A</v>
      </c>
      <c r="V11" s="664" t="s">
        <v>18</v>
      </c>
      <c r="W11" s="665" t="e">
        <f t="shared" si="2"/>
        <v>#N/A</v>
      </c>
      <c r="X11" s="666"/>
      <c r="Y11" s="333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420"/>
      <c r="Q12" s="530">
        <f t="shared" si="6"/>
        <v>111</v>
      </c>
      <c r="R12" s="664" t="s">
        <v>18</v>
      </c>
      <c r="S12" s="665">
        <f t="shared" si="0"/>
        <v>100</v>
      </c>
      <c r="T12" s="664" t="s">
        <v>18</v>
      </c>
      <c r="U12" s="665">
        <f t="shared" si="1"/>
        <v>100</v>
      </c>
      <c r="V12" s="664" t="s">
        <v>18</v>
      </c>
      <c r="W12" s="665">
        <f t="shared" si="2"/>
        <v>100</v>
      </c>
      <c r="X12" s="666"/>
      <c r="Y12" s="333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420"/>
      <c r="Q13" s="530">
        <f t="shared" si="6"/>
        <v>111</v>
      </c>
      <c r="R13" s="664" t="s">
        <v>18</v>
      </c>
      <c r="S13" s="665">
        <f t="shared" si="0"/>
        <v>100</v>
      </c>
      <c r="T13" s="664" t="s">
        <v>18</v>
      </c>
      <c r="U13" s="665">
        <f t="shared" si="1"/>
        <v>100</v>
      </c>
      <c r="V13" s="664" t="s">
        <v>18</v>
      </c>
      <c r="W13" s="665">
        <f t="shared" si="2"/>
        <v>100</v>
      </c>
      <c r="X13" s="666"/>
      <c r="Y13" s="3331"/>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420"/>
      <c r="Q14" s="530">
        <f t="shared" si="6"/>
        <v>111</v>
      </c>
      <c r="R14" s="664" t="s">
        <v>18</v>
      </c>
      <c r="S14" s="665">
        <f t="shared" si="0"/>
        <v>100</v>
      </c>
      <c r="T14" s="664" t="s">
        <v>18</v>
      </c>
      <c r="U14" s="665">
        <f t="shared" si="1"/>
        <v>100</v>
      </c>
      <c r="V14" s="664" t="s">
        <v>18</v>
      </c>
      <c r="W14" s="665">
        <f t="shared" si="2"/>
        <v>100</v>
      </c>
      <c r="X14" s="666"/>
      <c r="Y14" s="3331"/>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46" t="s">
        <v>1691</v>
      </c>
      <c r="Q15" s="1263" t="str">
        <f t="shared" si="6"/>
        <v>居住社区成熟度</v>
      </c>
      <c r="R15" s="667" t="s">
        <v>18</v>
      </c>
      <c r="S15" s="668">
        <f t="shared" si="0"/>
        <v>100</v>
      </c>
      <c r="T15" s="667" t="s">
        <v>18</v>
      </c>
      <c r="U15" s="668">
        <f t="shared" si="1"/>
        <v>100</v>
      </c>
      <c r="V15" s="667" t="s">
        <v>18</v>
      </c>
      <c r="W15" s="668">
        <f t="shared" si="2"/>
        <v>100</v>
      </c>
      <c r="X15" s="1265"/>
      <c r="Y15" s="3439"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447"/>
      <c r="Q16" s="1263"/>
      <c r="R16" s="667"/>
      <c r="S16" s="668"/>
      <c r="T16" s="667"/>
      <c r="U16" s="668"/>
      <c r="V16" s="667"/>
      <c r="W16" s="668"/>
      <c r="X16" s="1265"/>
      <c r="Y16" s="3440"/>
      <c r="Z16" s="1264"/>
      <c r="AA16" s="1264">
        <v>1</v>
      </c>
      <c r="AB16" s="1264">
        <v>1</v>
      </c>
      <c r="AC16" s="1264">
        <v>1</v>
      </c>
    </row>
    <row r="17" spans="1:29" ht="96.6">
      <c r="A17" s="367"/>
      <c r="B17" s="390" t="s">
        <v>1259</v>
      </c>
      <c r="C17" s="1754" t="str">
        <f>估价对象房地状况!C6</f>
        <v>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47"/>
      <c r="Q17" s="1263" t="str">
        <f>B17</f>
        <v>交通便捷度</v>
      </c>
      <c r="R17" s="667" t="s">
        <v>18</v>
      </c>
      <c r="S17" s="668">
        <f>F17</f>
        <v>100</v>
      </c>
      <c r="T17" s="667" t="s">
        <v>18</v>
      </c>
      <c r="U17" s="668">
        <f>H17</f>
        <v>100</v>
      </c>
      <c r="V17" s="667" t="s">
        <v>18</v>
      </c>
      <c r="W17" s="668">
        <f>J17</f>
        <v>100</v>
      </c>
      <c r="X17" s="1265"/>
      <c r="Y17" s="3440"/>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447"/>
      <c r="Q18" s="1263"/>
      <c r="R18" s="667"/>
      <c r="S18" s="668"/>
      <c r="T18" s="667"/>
      <c r="U18" s="668"/>
      <c r="V18" s="667"/>
      <c r="W18" s="668"/>
      <c r="X18" s="1265"/>
      <c r="Y18" s="3440"/>
      <c r="Z18" s="1264"/>
      <c r="AA18" s="1264">
        <v>1</v>
      </c>
      <c r="AB18" s="1264">
        <v>1</v>
      </c>
      <c r="AC18" s="1264">
        <v>1</v>
      </c>
    </row>
    <row r="19" spans="1:29" ht="82.8">
      <c r="A19" s="367"/>
      <c r="B19" s="390" t="s">
        <v>1258</v>
      </c>
      <c r="C19" s="1754" t="str">
        <f>估价对象房地状况!C7</f>
        <v>较好</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47"/>
      <c r="Q19" s="1263" t="str">
        <f>B19</f>
        <v>公共配套设施</v>
      </c>
      <c r="R19" s="667" t="s">
        <v>18</v>
      </c>
      <c r="S19" s="668">
        <f>F19</f>
        <v>100</v>
      </c>
      <c r="T19" s="667" t="s">
        <v>18</v>
      </c>
      <c r="U19" s="668">
        <f>H19</f>
        <v>100</v>
      </c>
      <c r="V19" s="667" t="s">
        <v>18</v>
      </c>
      <c r="W19" s="668">
        <f>J19</f>
        <v>100</v>
      </c>
      <c r="X19" s="1265"/>
      <c r="Y19" s="3440"/>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447"/>
      <c r="Q20" s="1263"/>
      <c r="R20" s="667"/>
      <c r="S20" s="668"/>
      <c r="T20" s="667"/>
      <c r="U20" s="668"/>
      <c r="V20" s="667"/>
      <c r="W20" s="668"/>
      <c r="X20" s="1265"/>
      <c r="Y20" s="3440"/>
      <c r="Z20" s="1264"/>
      <c r="AA20" s="1264">
        <v>1</v>
      </c>
      <c r="AB20" s="1264">
        <v>1</v>
      </c>
      <c r="AC20" s="1264">
        <v>1</v>
      </c>
    </row>
    <row r="21" spans="1:29" ht="41.4">
      <c r="A21" s="367"/>
      <c r="B21" s="586" t="s">
        <v>1260</v>
      </c>
      <c r="C21" s="1754" t="str">
        <f>估价对象房地状况!C8</f>
        <v>估价对象所在区域基础设施水平“七通一平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47"/>
      <c r="Q21" s="1263" t="str">
        <f>B21</f>
        <v>基础设施水平</v>
      </c>
      <c r="R21" s="667" t="s">
        <v>14</v>
      </c>
      <c r="S21" s="668">
        <f>F21</f>
        <v>100</v>
      </c>
      <c r="T21" s="667" t="s">
        <v>14</v>
      </c>
      <c r="U21" s="668">
        <f>H21</f>
        <v>100</v>
      </c>
      <c r="V21" s="667" t="s">
        <v>14</v>
      </c>
      <c r="W21" s="668">
        <f>J21</f>
        <v>100</v>
      </c>
      <c r="X21" s="1265"/>
      <c r="Y21" s="344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447"/>
      <c r="Q22" s="1263"/>
      <c r="R22" s="667"/>
      <c r="S22" s="668"/>
      <c r="T22" s="667"/>
      <c r="U22" s="668"/>
      <c r="V22" s="667"/>
      <c r="W22" s="668"/>
      <c r="X22" s="1265"/>
      <c r="Y22" s="3440"/>
      <c r="Z22" s="1264"/>
      <c r="AA22" s="1264">
        <v>1</v>
      </c>
      <c r="AB22" s="1264">
        <v>1</v>
      </c>
      <c r="AC22" s="1264">
        <v>1</v>
      </c>
    </row>
    <row r="23" spans="1:29" ht="96.6">
      <c r="A23" s="367"/>
      <c r="B23" s="390" t="s">
        <v>1261</v>
      </c>
      <c r="C23" s="1754" t="str">
        <f>估价对象房地状况!C9</f>
        <v>较好</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47"/>
      <c r="Q23" s="1263" t="str">
        <f>B23</f>
        <v>自然及人文环境</v>
      </c>
      <c r="R23" s="667" t="s">
        <v>18</v>
      </c>
      <c r="S23" s="668">
        <f>F23</f>
        <v>100</v>
      </c>
      <c r="T23" s="667" t="s">
        <v>18</v>
      </c>
      <c r="U23" s="668">
        <f>H23</f>
        <v>100</v>
      </c>
      <c r="V23" s="667" t="s">
        <v>18</v>
      </c>
      <c r="W23" s="668">
        <f>J23</f>
        <v>100</v>
      </c>
      <c r="X23" s="1265"/>
      <c r="Y23" s="3440"/>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447"/>
      <c r="Q24" s="1263"/>
      <c r="R24" s="667"/>
      <c r="S24" s="668"/>
      <c r="T24" s="667"/>
      <c r="U24" s="668"/>
      <c r="V24" s="667"/>
      <c r="W24" s="668"/>
      <c r="X24" s="1265"/>
      <c r="Y24" s="3440"/>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447"/>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40"/>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447"/>
      <c r="Q26" s="1263" t="str">
        <f t="shared" si="11"/>
        <v>朝向</v>
      </c>
      <c r="R26" s="667" t="s">
        <v>18</v>
      </c>
      <c r="S26" s="668">
        <f t="shared" si="12"/>
        <v>100</v>
      </c>
      <c r="T26" s="667" t="s">
        <v>18</v>
      </c>
      <c r="U26" s="668">
        <f t="shared" si="13"/>
        <v>100</v>
      </c>
      <c r="V26" s="667" t="s">
        <v>18</v>
      </c>
      <c r="W26" s="668">
        <f t="shared" si="14"/>
        <v>100</v>
      </c>
      <c r="X26" s="1265"/>
      <c r="Y26" s="3440"/>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447"/>
      <c r="Q27" s="530">
        <f t="shared" si="11"/>
        <v>111</v>
      </c>
      <c r="R27" s="664" t="s">
        <v>18</v>
      </c>
      <c r="S27" s="665">
        <f t="shared" si="12"/>
        <v>100</v>
      </c>
      <c r="T27" s="664" t="s">
        <v>18</v>
      </c>
      <c r="U27" s="665">
        <f t="shared" si="13"/>
        <v>100</v>
      </c>
      <c r="V27" s="664" t="s">
        <v>18</v>
      </c>
      <c r="W27" s="665">
        <f t="shared" si="14"/>
        <v>100</v>
      </c>
      <c r="X27" s="666"/>
      <c r="Y27" s="3440"/>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447"/>
      <c r="Q28" s="1263">
        <f t="shared" si="11"/>
        <v>111</v>
      </c>
      <c r="R28" s="667" t="s">
        <v>18</v>
      </c>
      <c r="S28" s="668">
        <f t="shared" si="12"/>
        <v>100</v>
      </c>
      <c r="T28" s="667" t="s">
        <v>18</v>
      </c>
      <c r="U28" s="668">
        <f t="shared" si="13"/>
        <v>100</v>
      </c>
      <c r="V28" s="667" t="s">
        <v>18</v>
      </c>
      <c r="W28" s="668">
        <f t="shared" si="14"/>
        <v>100</v>
      </c>
      <c r="X28" s="1265"/>
      <c r="Y28" s="3440"/>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447"/>
      <c r="Q29" s="1263">
        <f t="shared" si="11"/>
        <v>111</v>
      </c>
      <c r="R29" s="667" t="s">
        <v>18</v>
      </c>
      <c r="S29" s="668">
        <f t="shared" si="12"/>
        <v>100</v>
      </c>
      <c r="T29" s="667" t="s">
        <v>18</v>
      </c>
      <c r="U29" s="668">
        <f t="shared" si="13"/>
        <v>100</v>
      </c>
      <c r="V29" s="667" t="s">
        <v>18</v>
      </c>
      <c r="W29" s="668">
        <f t="shared" si="14"/>
        <v>100</v>
      </c>
      <c r="X29" s="1265"/>
      <c r="Y29" s="3440"/>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447"/>
      <c r="Q30" s="1263">
        <f t="shared" si="11"/>
        <v>111</v>
      </c>
      <c r="R30" s="667" t="s">
        <v>18</v>
      </c>
      <c r="S30" s="668">
        <f t="shared" si="12"/>
        <v>100</v>
      </c>
      <c r="T30" s="667" t="s">
        <v>18</v>
      </c>
      <c r="U30" s="668">
        <f t="shared" si="13"/>
        <v>100</v>
      </c>
      <c r="V30" s="667" t="s">
        <v>18</v>
      </c>
      <c r="W30" s="668">
        <f t="shared" si="14"/>
        <v>100</v>
      </c>
      <c r="X30" s="1265"/>
      <c r="Y30" s="3440"/>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447"/>
      <c r="Q31" s="1263">
        <f t="shared" si="11"/>
        <v>111</v>
      </c>
      <c r="R31" s="667" t="s">
        <v>18</v>
      </c>
      <c r="S31" s="668">
        <f t="shared" si="12"/>
        <v>100</v>
      </c>
      <c r="T31" s="667" t="s">
        <v>18</v>
      </c>
      <c r="U31" s="668">
        <f t="shared" si="13"/>
        <v>100</v>
      </c>
      <c r="V31" s="667" t="s">
        <v>18</v>
      </c>
      <c r="W31" s="668">
        <f t="shared" si="14"/>
        <v>100</v>
      </c>
      <c r="X31" s="1265"/>
      <c r="Y31" s="3440"/>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441" t="s">
        <v>1696</v>
      </c>
      <c r="Q32" s="1263" t="str">
        <f t="shared" si="11"/>
        <v>建筑类型</v>
      </c>
      <c r="R32" s="667" t="s">
        <v>18</v>
      </c>
      <c r="S32" s="668">
        <f t="shared" si="12"/>
        <v>100</v>
      </c>
      <c r="T32" s="667" t="s">
        <v>18</v>
      </c>
      <c r="U32" s="668">
        <f t="shared" si="13"/>
        <v>100</v>
      </c>
      <c r="V32" s="667" t="s">
        <v>18</v>
      </c>
      <c r="W32" s="668">
        <f t="shared" si="14"/>
        <v>100</v>
      </c>
      <c r="X32" s="1265"/>
      <c r="Y32" s="3444"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442"/>
      <c r="Q33" s="531" t="str">
        <f t="shared" si="11"/>
        <v>项目建筑规模</v>
      </c>
      <c r="R33" s="669" t="s">
        <v>18</v>
      </c>
      <c r="S33" s="670" t="e">
        <f t="shared" si="12"/>
        <v>#N/A</v>
      </c>
      <c r="T33" s="669" t="s">
        <v>18</v>
      </c>
      <c r="U33" s="670" t="e">
        <f t="shared" si="13"/>
        <v>#N/A</v>
      </c>
      <c r="V33" s="669" t="s">
        <v>18</v>
      </c>
      <c r="W33" s="670" t="e">
        <f t="shared" si="14"/>
        <v>#N/A</v>
      </c>
      <c r="X33" s="671"/>
      <c r="Y33" s="3444"/>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442"/>
      <c r="Q34" s="1263" t="str">
        <f t="shared" si="11"/>
        <v>建筑结构</v>
      </c>
      <c r="R34" s="667" t="s">
        <v>18</v>
      </c>
      <c r="S34" s="668">
        <f t="shared" si="12"/>
        <v>100</v>
      </c>
      <c r="T34" s="667" t="s">
        <v>18</v>
      </c>
      <c r="U34" s="668">
        <f t="shared" si="13"/>
        <v>100</v>
      </c>
      <c r="V34" s="667" t="s">
        <v>18</v>
      </c>
      <c r="W34" s="668">
        <f t="shared" si="14"/>
        <v>100</v>
      </c>
      <c r="X34" s="1265"/>
      <c r="Y34" s="3444"/>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442"/>
      <c r="Q35" s="1263" t="str">
        <f t="shared" si="11"/>
        <v>建筑品质</v>
      </c>
      <c r="R35" s="667" t="s">
        <v>18</v>
      </c>
      <c r="S35" s="668">
        <f t="shared" si="12"/>
        <v>100</v>
      </c>
      <c r="T35" s="667" t="s">
        <v>18</v>
      </c>
      <c r="U35" s="668">
        <f t="shared" si="13"/>
        <v>100</v>
      </c>
      <c r="V35" s="667" t="s">
        <v>18</v>
      </c>
      <c r="W35" s="668">
        <f t="shared" si="14"/>
        <v>100</v>
      </c>
      <c r="X35" s="1265"/>
      <c r="Y35" s="3444"/>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442"/>
      <c r="Q36" s="1263" t="str">
        <f t="shared" si="11"/>
        <v>公共部分装修</v>
      </c>
      <c r="R36" s="667" t="s">
        <v>18</v>
      </c>
      <c r="S36" s="668">
        <f t="shared" si="12"/>
        <v>100</v>
      </c>
      <c r="T36" s="667" t="s">
        <v>18</v>
      </c>
      <c r="U36" s="668">
        <f t="shared" si="13"/>
        <v>100</v>
      </c>
      <c r="V36" s="667" t="s">
        <v>18</v>
      </c>
      <c r="W36" s="668">
        <f t="shared" si="14"/>
        <v>100</v>
      </c>
      <c r="X36" s="1265"/>
      <c r="Y36" s="3444"/>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442"/>
      <c r="Q37" s="530" t="str">
        <f t="shared" si="11"/>
        <v>成新度</v>
      </c>
      <c r="R37" s="664" t="s">
        <v>18</v>
      </c>
      <c r="S37" s="665" t="e">
        <f t="shared" si="12"/>
        <v>#N/A</v>
      </c>
      <c r="T37" s="664" t="s">
        <v>18</v>
      </c>
      <c r="U37" s="665" t="e">
        <f t="shared" si="13"/>
        <v>#N/A</v>
      </c>
      <c r="V37" s="664" t="s">
        <v>18</v>
      </c>
      <c r="W37" s="665" t="e">
        <f t="shared" si="14"/>
        <v>#N/A</v>
      </c>
      <c r="X37" s="666"/>
      <c r="Y37" s="3444"/>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442" t="s">
        <v>1696</v>
      </c>
      <c r="Q38" s="1263" t="str">
        <f t="shared" si="11"/>
        <v>物业管理</v>
      </c>
      <c r="R38" s="667" t="s">
        <v>18</v>
      </c>
      <c r="S38" s="668">
        <f t="shared" si="12"/>
        <v>100</v>
      </c>
      <c r="T38" s="667" t="s">
        <v>18</v>
      </c>
      <c r="U38" s="668">
        <f t="shared" si="13"/>
        <v>100</v>
      </c>
      <c r="V38" s="667" t="s">
        <v>18</v>
      </c>
      <c r="W38" s="668">
        <f t="shared" si="14"/>
        <v>100</v>
      </c>
      <c r="X38" s="1265"/>
      <c r="Y38" s="3444"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442"/>
      <c r="Q39" s="1263" t="str">
        <f t="shared" si="11"/>
        <v>市政基础设施</v>
      </c>
      <c r="R39" s="667" t="s">
        <v>18</v>
      </c>
      <c r="S39" s="668">
        <f t="shared" si="12"/>
        <v>100</v>
      </c>
      <c r="T39" s="667" t="s">
        <v>18</v>
      </c>
      <c r="U39" s="668">
        <f t="shared" si="13"/>
        <v>100</v>
      </c>
      <c r="V39" s="667" t="s">
        <v>18</v>
      </c>
      <c r="W39" s="668">
        <f t="shared" si="14"/>
        <v>100</v>
      </c>
      <c r="X39" s="1265"/>
      <c r="Y39" s="3444"/>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442"/>
      <c r="Q40" s="1263" t="str">
        <f t="shared" si="11"/>
        <v>房型</v>
      </c>
      <c r="R40" s="667" t="s">
        <v>18</v>
      </c>
      <c r="S40" s="668">
        <f t="shared" si="12"/>
        <v>100</v>
      </c>
      <c r="T40" s="667" t="s">
        <v>18</v>
      </c>
      <c r="U40" s="668">
        <f t="shared" si="13"/>
        <v>100</v>
      </c>
      <c r="V40" s="667" t="s">
        <v>18</v>
      </c>
      <c r="W40" s="668">
        <f t="shared" si="14"/>
        <v>100</v>
      </c>
      <c r="X40" s="1265"/>
      <c r="Y40" s="3444"/>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442"/>
      <c r="Q41" s="531" t="str">
        <f t="shared" si="11"/>
        <v>单套/主力户型建筑面积</v>
      </c>
      <c r="R41" s="669" t="s">
        <v>18</v>
      </c>
      <c r="S41" s="670">
        <f t="shared" si="12"/>
        <v>100</v>
      </c>
      <c r="T41" s="669" t="s">
        <v>18</v>
      </c>
      <c r="U41" s="670">
        <f t="shared" si="13"/>
        <v>100</v>
      </c>
      <c r="V41" s="669" t="s">
        <v>18</v>
      </c>
      <c r="W41" s="670">
        <f t="shared" si="14"/>
        <v>100</v>
      </c>
      <c r="X41" s="671"/>
      <c r="Y41" s="3444"/>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442"/>
      <c r="Q42" s="1263" t="str">
        <f t="shared" si="11"/>
        <v>内部装修</v>
      </c>
      <c r="R42" s="667" t="s">
        <v>18</v>
      </c>
      <c r="S42" s="668">
        <f t="shared" si="12"/>
        <v>100</v>
      </c>
      <c r="T42" s="667" t="s">
        <v>18</v>
      </c>
      <c r="U42" s="668">
        <f t="shared" si="13"/>
        <v>100</v>
      </c>
      <c r="V42" s="667" t="s">
        <v>18</v>
      </c>
      <c r="W42" s="668">
        <f t="shared" si="14"/>
        <v>100</v>
      </c>
      <c r="X42" s="1265"/>
      <c r="Y42" s="3444"/>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442"/>
      <c r="Q43" s="1263" t="str">
        <f t="shared" si="11"/>
        <v>内部装修维护情况</v>
      </c>
      <c r="R43" s="667" t="s">
        <v>18</v>
      </c>
      <c r="S43" s="668">
        <f t="shared" si="12"/>
        <v>100</v>
      </c>
      <c r="T43" s="667" t="s">
        <v>18</v>
      </c>
      <c r="U43" s="668">
        <f t="shared" si="13"/>
        <v>100</v>
      </c>
      <c r="V43" s="667" t="s">
        <v>18</v>
      </c>
      <c r="W43" s="668">
        <f t="shared" si="14"/>
        <v>100</v>
      </c>
      <c r="X43" s="1265"/>
      <c r="Y43" s="3444"/>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442"/>
      <c r="Q44" s="530">
        <f t="shared" si="11"/>
        <v>111</v>
      </c>
      <c r="R44" s="664" t="s">
        <v>18</v>
      </c>
      <c r="S44" s="665">
        <f t="shared" si="12"/>
        <v>100</v>
      </c>
      <c r="T44" s="664" t="s">
        <v>18</v>
      </c>
      <c r="U44" s="665">
        <f t="shared" si="13"/>
        <v>100</v>
      </c>
      <c r="V44" s="664" t="s">
        <v>18</v>
      </c>
      <c r="W44" s="665">
        <f t="shared" si="14"/>
        <v>100</v>
      </c>
      <c r="X44" s="666"/>
      <c r="Y44" s="3444"/>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442"/>
      <c r="Q45" s="1263">
        <f t="shared" si="11"/>
        <v>111</v>
      </c>
      <c r="R45" s="667" t="s">
        <v>18</v>
      </c>
      <c r="S45" s="668">
        <f t="shared" si="12"/>
        <v>100</v>
      </c>
      <c r="T45" s="667" t="s">
        <v>18</v>
      </c>
      <c r="U45" s="668">
        <f t="shared" si="13"/>
        <v>100</v>
      </c>
      <c r="V45" s="667" t="s">
        <v>18</v>
      </c>
      <c r="W45" s="668">
        <f t="shared" si="14"/>
        <v>100</v>
      </c>
      <c r="X45" s="1265"/>
      <c r="Y45" s="3444"/>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443"/>
      <c r="Q46" s="1263">
        <f t="shared" si="11"/>
        <v>111</v>
      </c>
      <c r="R46" s="667" t="s">
        <v>17</v>
      </c>
      <c r="S46" s="668">
        <f t="shared" si="12"/>
        <v>100</v>
      </c>
      <c r="T46" s="667" t="s">
        <v>17</v>
      </c>
      <c r="U46" s="668">
        <f t="shared" si="13"/>
        <v>100</v>
      </c>
      <c r="V46" s="667" t="s">
        <v>17</v>
      </c>
      <c r="W46" s="668">
        <f t="shared" si="14"/>
        <v>100</v>
      </c>
      <c r="X46" s="1265"/>
      <c r="Y46" s="3445"/>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2"/>
      <c r="M47" s="2485"/>
      <c r="N47" s="2485"/>
      <c r="O47" s="2485"/>
      <c r="P47" s="3438" t="str">
        <f>A47</f>
        <v>成交单价（元/平方米）</v>
      </c>
      <c r="Q47" s="3438"/>
      <c r="R47" s="3433">
        <f>E47</f>
        <v>0</v>
      </c>
      <c r="S47" s="3433"/>
      <c r="T47" s="3433">
        <f>G47</f>
        <v>0</v>
      </c>
      <c r="U47" s="3433"/>
      <c r="V47" s="3433">
        <f>I47</f>
        <v>0</v>
      </c>
      <c r="W47" s="3433"/>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2"/>
      <c r="M48" s="2485"/>
      <c r="N48" s="2485"/>
      <c r="O48" s="2485"/>
      <c r="P48" s="3438" t="str">
        <f>A48</f>
        <v>比较价值（元/平方米）</v>
      </c>
      <c r="Q48" s="3438"/>
      <c r="R48" s="3433" t="e">
        <f>IF(F1="售价",ROUND(PRODUCT(R47,AA7:AA46),0),ROUND(PRODUCT(R47,AA7:AA46),1))</f>
        <v>#DIV/0!</v>
      </c>
      <c r="S48" s="3433"/>
      <c r="T48" s="3433" t="e">
        <f>IF(F1="售价",ROUND(PRODUCT(T47,AB7:AB46),0),ROUND(PRODUCT(T47,AB7:AB46),1))</f>
        <v>#DIV/0!</v>
      </c>
      <c r="U48" s="3433"/>
      <c r="V48" s="3433" t="e">
        <f>IF(F1="售价",ROUND(PRODUCT(V47,AC7:AC46),0),ROUND(PRODUCT(V47,AC7:AC46),1))</f>
        <v>#DIV/0!</v>
      </c>
      <c r="W48" s="3433"/>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2"/>
      <c r="M49" s="2485"/>
      <c r="N49" s="2485"/>
      <c r="O49" s="2485"/>
      <c r="P49" s="3435" t="str">
        <f>A49</f>
        <v>估价对象XX用房的比较价值（楼面单价，元/平方米）</v>
      </c>
      <c r="Q49" s="3436"/>
      <c r="R49" s="3437" t="e">
        <f>IF(F1="售价",ROUND(IF(D48="简单平均",AVERAGE(R48:V48),R48*F48+T48*H48+V48*J48),0),ROUND(IF(D48="简单平均",AVERAGE(R48:V48),R48*F48+T48*H48+V48*J48),1))</f>
        <v>#DIV/0!</v>
      </c>
      <c r="S49" s="3437"/>
      <c r="T49" s="3437"/>
      <c r="U49" s="3437"/>
      <c r="V49" s="3437"/>
      <c r="W49" s="3437"/>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2025-4</v>
      </c>
      <c r="D58" s="1104">
        <f>EDATE(C58,-1)</f>
        <v>45717</v>
      </c>
      <c r="E58" s="1104">
        <f>EDATE(D58,-1)</f>
        <v>45689</v>
      </c>
      <c r="F58" s="1104">
        <f t="shared" ref="F58:O58" si="19">EDATE(E58,-1)</f>
        <v>45658</v>
      </c>
      <c r="G58" s="1104">
        <f t="shared" si="19"/>
        <v>45627</v>
      </c>
      <c r="H58" s="1104">
        <f t="shared" si="19"/>
        <v>45597</v>
      </c>
      <c r="I58" s="1104">
        <f t="shared" si="19"/>
        <v>45566</v>
      </c>
      <c r="J58" s="1104">
        <f t="shared" si="19"/>
        <v>45536</v>
      </c>
      <c r="K58" s="1104">
        <f t="shared" si="19"/>
        <v>45505</v>
      </c>
      <c r="L58" s="1104">
        <f t="shared" si="19"/>
        <v>45474</v>
      </c>
      <c r="M58" s="1104">
        <f t="shared" si="19"/>
        <v>45444</v>
      </c>
      <c r="N58" s="1104">
        <f t="shared" si="19"/>
        <v>45413</v>
      </c>
      <c r="O58" s="1104">
        <f t="shared" si="19"/>
        <v>45383</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H44" sqref="H44"/>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2170.1999999999998</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4.4">
      <c r="A4" s="345" t="s">
        <v>1769</v>
      </c>
      <c r="B4" s="346"/>
      <c r="C4" s="3421" t="s">
        <v>1770</v>
      </c>
      <c r="D4" s="3422"/>
      <c r="E4" s="3423" t="s">
        <v>1771</v>
      </c>
      <c r="F4" s="3424"/>
      <c r="G4" s="3421" t="s">
        <v>1772</v>
      </c>
      <c r="H4" s="3422"/>
      <c r="I4" s="3421" t="s">
        <v>1773</v>
      </c>
      <c r="J4" s="3422"/>
      <c r="K4" s="537" t="s">
        <v>1774</v>
      </c>
      <c r="L4" s="2484"/>
      <c r="M4" s="2485"/>
      <c r="N4" s="2485"/>
      <c r="O4" s="2485"/>
      <c r="P4" s="3425" t="s">
        <v>1775</v>
      </c>
      <c r="Q4" s="3426"/>
      <c r="R4" s="3408" t="s">
        <v>1771</v>
      </c>
      <c r="S4" s="3409"/>
      <c r="T4" s="3408" t="s">
        <v>1772</v>
      </c>
      <c r="U4" s="3409"/>
      <c r="V4" s="3433" t="s">
        <v>1773</v>
      </c>
      <c r="W4" s="3433"/>
      <c r="X4" s="1265"/>
      <c r="Y4" s="3408" t="s">
        <v>1775</v>
      </c>
      <c r="Z4" s="3409"/>
      <c r="AA4" s="3403" t="s">
        <v>1771</v>
      </c>
      <c r="AB4" s="3433" t="s">
        <v>1772</v>
      </c>
      <c r="AC4" s="3403" t="s">
        <v>1773</v>
      </c>
    </row>
    <row r="5" spans="1:29">
      <c r="A5" s="348"/>
      <c r="B5" s="349"/>
      <c r="C5" s="3414" t="s">
        <v>1673</v>
      </c>
      <c r="D5" s="3415"/>
      <c r="E5" s="3412" t="s">
        <v>1674</v>
      </c>
      <c r="F5" s="3413"/>
      <c r="G5" s="3414" t="s">
        <v>1675</v>
      </c>
      <c r="H5" s="3415"/>
      <c r="I5" s="3414" t="s">
        <v>1676</v>
      </c>
      <c r="J5" s="3415"/>
      <c r="K5" s="537"/>
      <c r="L5" s="2484"/>
      <c r="M5" s="2485"/>
      <c r="N5" s="2485"/>
      <c r="O5" s="2485"/>
      <c r="P5" s="3427"/>
      <c r="Q5" s="3428"/>
      <c r="R5" s="3410"/>
      <c r="S5" s="3411"/>
      <c r="T5" s="3410"/>
      <c r="U5" s="3411"/>
      <c r="V5" s="3433"/>
      <c r="W5" s="3433"/>
      <c r="X5" s="1265"/>
      <c r="Y5" s="3410"/>
      <c r="Z5" s="3411"/>
      <c r="AA5" s="3404"/>
      <c r="AB5" s="3433"/>
      <c r="AC5" s="3404"/>
    </row>
    <row r="6" spans="1:29" ht="15" thickBot="1">
      <c r="A6" s="350"/>
      <c r="B6" s="351"/>
      <c r="C6" s="3416" t="s">
        <v>1677</v>
      </c>
      <c r="D6" s="3417"/>
      <c r="E6" s="3418" t="s">
        <v>1677</v>
      </c>
      <c r="F6" s="3419"/>
      <c r="G6" s="3416" t="s">
        <v>1677</v>
      </c>
      <c r="H6" s="3417"/>
      <c r="I6" s="3416" t="s">
        <v>1677</v>
      </c>
      <c r="J6" s="3417"/>
      <c r="K6" s="537" t="s">
        <v>1678</v>
      </c>
      <c r="L6" s="2484"/>
      <c r="M6" s="2485"/>
      <c r="N6" s="2485"/>
      <c r="O6" s="2485"/>
      <c r="P6" s="3429"/>
      <c r="Q6" s="3430"/>
      <c r="R6" s="3410"/>
      <c r="S6" s="3411"/>
      <c r="T6" s="3431"/>
      <c r="U6" s="3432"/>
      <c r="V6" s="3433"/>
      <c r="W6" s="3433"/>
      <c r="X6" s="1265"/>
      <c r="Y6" s="3431"/>
      <c r="Z6" s="3432"/>
      <c r="AA6" s="3405"/>
      <c r="AB6" s="3433"/>
      <c r="AC6" s="3405"/>
    </row>
    <row r="7" spans="1:29" s="102" customFormat="1" ht="15" thickBot="1">
      <c r="A7" s="352" t="s">
        <v>1679</v>
      </c>
      <c r="B7" s="353"/>
      <c r="C7" s="354">
        <f>'数据-取费表'!B2</f>
        <v>45772</v>
      </c>
      <c r="D7" s="355">
        <v>100</v>
      </c>
      <c r="E7" s="356"/>
      <c r="F7" s="357">
        <f>SUMIF(58:58,YEAR(E7)&amp;"-"&amp;MONTH(E7),59:59)</f>
        <v>0</v>
      </c>
      <c r="G7" s="356"/>
      <c r="H7" s="355">
        <f>SUMIF(58:58,YEAR(G7)&amp;"-"&amp;MONTH(G7),59:59)</f>
        <v>0</v>
      </c>
      <c r="I7" s="356"/>
      <c r="J7" s="355">
        <f>SUMIF(58:58,YEAR(I7)&amp;"-"&amp;MONTH(I7),59:59)</f>
        <v>0</v>
      </c>
      <c r="K7" s="38"/>
      <c r="L7" s="2486"/>
      <c r="M7" s="2438"/>
      <c r="N7" s="2438"/>
      <c r="O7" s="2438"/>
      <c r="P7" s="3406" t="s">
        <v>1680</v>
      </c>
      <c r="Q7" s="3434"/>
      <c r="R7" s="664" t="s">
        <v>14</v>
      </c>
      <c r="S7" s="665">
        <f t="shared" ref="S7:S15" si="0">F7</f>
        <v>0</v>
      </c>
      <c r="T7" s="664" t="s">
        <v>14</v>
      </c>
      <c r="U7" s="665">
        <f t="shared" ref="U7:U15" si="1">H7</f>
        <v>0</v>
      </c>
      <c r="V7" s="664" t="s">
        <v>14</v>
      </c>
      <c r="W7" s="665">
        <f t="shared" ref="W7:W15" si="2">J7</f>
        <v>0</v>
      </c>
      <c r="X7" s="666"/>
      <c r="Y7" s="3406" t="s">
        <v>1680</v>
      </c>
      <c r="Z7" s="3407"/>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406" t="s">
        <v>1683</v>
      </c>
      <c r="Q8" s="3407"/>
      <c r="R8" s="664" t="s">
        <v>14</v>
      </c>
      <c r="S8" s="665">
        <f t="shared" si="0"/>
        <v>100</v>
      </c>
      <c r="T8" s="664" t="s">
        <v>14</v>
      </c>
      <c r="U8" s="665">
        <f t="shared" si="1"/>
        <v>100</v>
      </c>
      <c r="V8" s="664" t="s">
        <v>14</v>
      </c>
      <c r="W8" s="665">
        <f t="shared" si="2"/>
        <v>100</v>
      </c>
      <c r="X8" s="666"/>
      <c r="Y8" s="3406" t="s">
        <v>1683</v>
      </c>
      <c r="Z8" s="3407"/>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420" t="s">
        <v>1686</v>
      </c>
      <c r="Q9" s="530" t="str">
        <f t="shared" ref="Q9:Q15" si="6">B9</f>
        <v>用途</v>
      </c>
      <c r="R9" s="664" t="s">
        <v>14</v>
      </c>
      <c r="S9" s="665">
        <f t="shared" si="0"/>
        <v>100</v>
      </c>
      <c r="T9" s="664" t="s">
        <v>14</v>
      </c>
      <c r="U9" s="665">
        <f t="shared" si="1"/>
        <v>100</v>
      </c>
      <c r="V9" s="664" t="s">
        <v>14</v>
      </c>
      <c r="W9" s="665">
        <f t="shared" si="2"/>
        <v>100</v>
      </c>
      <c r="X9" s="666"/>
      <c r="Y9" s="3331"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420"/>
      <c r="Q10" s="530" t="str">
        <f t="shared" si="6"/>
        <v>土地使用年限（年）</v>
      </c>
      <c r="R10" s="664" t="s">
        <v>14</v>
      </c>
      <c r="S10" s="665">
        <f t="shared" si="0"/>
        <v>100</v>
      </c>
      <c r="T10" s="664" t="s">
        <v>14</v>
      </c>
      <c r="U10" s="665">
        <f t="shared" si="1"/>
        <v>100</v>
      </c>
      <c r="V10" s="664" t="s">
        <v>14</v>
      </c>
      <c r="W10" s="665">
        <f t="shared" si="2"/>
        <v>100</v>
      </c>
      <c r="X10" s="666"/>
      <c r="Y10" s="333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420"/>
      <c r="Q11" s="530" t="str">
        <f t="shared" si="6"/>
        <v>容积率</v>
      </c>
      <c r="R11" s="664" t="s">
        <v>14</v>
      </c>
      <c r="S11" s="665" t="e">
        <f t="shared" si="0"/>
        <v>#N/A</v>
      </c>
      <c r="T11" s="664" t="s">
        <v>14</v>
      </c>
      <c r="U11" s="665" t="e">
        <f t="shared" si="1"/>
        <v>#N/A</v>
      </c>
      <c r="V11" s="664" t="s">
        <v>14</v>
      </c>
      <c r="W11" s="665" t="e">
        <f t="shared" si="2"/>
        <v>#N/A</v>
      </c>
      <c r="X11" s="666"/>
      <c r="Y11" s="333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420"/>
      <c r="Q12" s="530">
        <f t="shared" si="6"/>
        <v>111</v>
      </c>
      <c r="R12" s="664" t="s">
        <v>14</v>
      </c>
      <c r="S12" s="665">
        <f t="shared" si="0"/>
        <v>100</v>
      </c>
      <c r="T12" s="664" t="s">
        <v>14</v>
      </c>
      <c r="U12" s="665">
        <f t="shared" si="1"/>
        <v>100</v>
      </c>
      <c r="V12" s="664" t="s">
        <v>14</v>
      </c>
      <c r="W12" s="665">
        <f t="shared" si="2"/>
        <v>100</v>
      </c>
      <c r="X12" s="666"/>
      <c r="Y12" s="333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420"/>
      <c r="Q13" s="530">
        <f t="shared" si="6"/>
        <v>111</v>
      </c>
      <c r="R13" s="664" t="s">
        <v>14</v>
      </c>
      <c r="S13" s="665">
        <f t="shared" si="0"/>
        <v>100</v>
      </c>
      <c r="T13" s="664" t="s">
        <v>14</v>
      </c>
      <c r="U13" s="665">
        <f t="shared" si="1"/>
        <v>100</v>
      </c>
      <c r="V13" s="664" t="s">
        <v>14</v>
      </c>
      <c r="W13" s="665">
        <f t="shared" si="2"/>
        <v>100</v>
      </c>
      <c r="X13" s="666"/>
      <c r="Y13" s="3331"/>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420"/>
      <c r="Q14" s="530">
        <f t="shared" si="6"/>
        <v>111</v>
      </c>
      <c r="R14" s="664" t="s">
        <v>14</v>
      </c>
      <c r="S14" s="665">
        <f t="shared" si="0"/>
        <v>100</v>
      </c>
      <c r="T14" s="664" t="s">
        <v>14</v>
      </c>
      <c r="U14" s="665">
        <f t="shared" si="1"/>
        <v>100</v>
      </c>
      <c r="V14" s="664" t="s">
        <v>14</v>
      </c>
      <c r="W14" s="665">
        <f t="shared" si="2"/>
        <v>100</v>
      </c>
      <c r="X14" s="666"/>
      <c r="Y14" s="3331"/>
      <c r="Z14" s="50">
        <f t="shared" si="7"/>
        <v>111</v>
      </c>
      <c r="AA14" s="50">
        <f t="shared" si="3"/>
        <v>1</v>
      </c>
      <c r="AB14" s="50">
        <f t="shared" si="4"/>
        <v>1</v>
      </c>
      <c r="AC14" s="50">
        <f t="shared" si="5"/>
        <v>1</v>
      </c>
    </row>
    <row r="15" spans="1:29" ht="96.6">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46" t="s">
        <v>1691</v>
      </c>
      <c r="Q15" s="1263" t="str">
        <f t="shared" si="6"/>
        <v>商业繁华度</v>
      </c>
      <c r="R15" s="667" t="s">
        <v>14</v>
      </c>
      <c r="S15" s="668">
        <f t="shared" si="0"/>
        <v>100</v>
      </c>
      <c r="T15" s="667" t="s">
        <v>14</v>
      </c>
      <c r="U15" s="668">
        <f t="shared" si="1"/>
        <v>100</v>
      </c>
      <c r="V15" s="667" t="s">
        <v>14</v>
      </c>
      <c r="W15" s="668">
        <f t="shared" si="2"/>
        <v>100</v>
      </c>
      <c r="X15" s="1265"/>
      <c r="Y15" s="3439"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447"/>
      <c r="Q16" s="1263"/>
      <c r="R16" s="667"/>
      <c r="S16" s="668"/>
      <c r="T16" s="667"/>
      <c r="U16" s="668"/>
      <c r="V16" s="667"/>
      <c r="W16" s="668"/>
      <c r="X16" s="1265"/>
      <c r="Y16" s="3440"/>
      <c r="Z16" s="1264"/>
      <c r="AA16" s="1264">
        <v>1</v>
      </c>
      <c r="AB16" s="1264">
        <v>1</v>
      </c>
      <c r="AC16" s="1264">
        <v>1</v>
      </c>
    </row>
    <row r="17" spans="1:29" ht="96.6">
      <c r="A17" s="367"/>
      <c r="B17" s="390" t="s">
        <v>1259</v>
      </c>
      <c r="C17" s="1754" t="str">
        <f>估价对象房地状况!C6</f>
        <v>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47"/>
      <c r="Q17" s="1263" t="str">
        <f>B17</f>
        <v>交通便捷度</v>
      </c>
      <c r="R17" s="667" t="s">
        <v>14</v>
      </c>
      <c r="S17" s="668">
        <f>F17</f>
        <v>100</v>
      </c>
      <c r="T17" s="667" t="s">
        <v>14</v>
      </c>
      <c r="U17" s="668">
        <f>H17</f>
        <v>100</v>
      </c>
      <c r="V17" s="667" t="s">
        <v>14</v>
      </c>
      <c r="W17" s="668">
        <f>J17</f>
        <v>100</v>
      </c>
      <c r="X17" s="1265"/>
      <c r="Y17" s="344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0"/>
      <c r="M18" s="2485"/>
      <c r="N18" s="2485"/>
      <c r="O18" s="2485"/>
      <c r="P18" s="3447"/>
      <c r="Q18" s="1263"/>
      <c r="R18" s="667"/>
      <c r="S18" s="668"/>
      <c r="T18" s="667"/>
      <c r="U18" s="668"/>
      <c r="V18" s="667"/>
      <c r="W18" s="668"/>
      <c r="X18" s="1265"/>
      <c r="Y18" s="3440"/>
      <c r="Z18" s="1264"/>
      <c r="AA18" s="1264">
        <v>1</v>
      </c>
      <c r="AB18" s="1264">
        <v>1</v>
      </c>
      <c r="AC18" s="1264">
        <v>1</v>
      </c>
    </row>
    <row r="19" spans="1:29" ht="82.8">
      <c r="A19" s="367"/>
      <c r="B19" s="390" t="s">
        <v>1778</v>
      </c>
      <c r="C19" s="1754" t="str">
        <f>估价对象房地状况!C7</f>
        <v>较好</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47"/>
      <c r="Q19" s="1263" t="str">
        <f>B19</f>
        <v>公共配套设施</v>
      </c>
      <c r="R19" s="667" t="s">
        <v>14</v>
      </c>
      <c r="S19" s="668">
        <f>F19</f>
        <v>100</v>
      </c>
      <c r="T19" s="667" t="s">
        <v>14</v>
      </c>
      <c r="U19" s="668">
        <f>H19</f>
        <v>100</v>
      </c>
      <c r="V19" s="667" t="s">
        <v>14</v>
      </c>
      <c r="W19" s="668">
        <f>J19</f>
        <v>100</v>
      </c>
      <c r="X19" s="1265"/>
      <c r="Y19" s="344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0"/>
      <c r="M20" s="2485"/>
      <c r="N20" s="2485"/>
      <c r="O20" s="2485"/>
      <c r="P20" s="3447"/>
      <c r="Q20" s="1263"/>
      <c r="R20" s="667"/>
      <c r="S20" s="668"/>
      <c r="T20" s="667"/>
      <c r="U20" s="668"/>
      <c r="V20" s="667"/>
      <c r="W20" s="668"/>
      <c r="X20" s="1265"/>
      <c r="Y20" s="3440"/>
      <c r="Z20" s="1264"/>
      <c r="AA20" s="1264">
        <v>1</v>
      </c>
      <c r="AB20" s="1264">
        <v>1</v>
      </c>
      <c r="AC20" s="1264">
        <v>1</v>
      </c>
    </row>
    <row r="21" spans="1:29" ht="41.4">
      <c r="A21" s="367"/>
      <c r="B21" s="586" t="s">
        <v>1779</v>
      </c>
      <c r="C21" s="1754" t="str">
        <f>估价对象房地状况!C8</f>
        <v>估价对象所在区域基础设施水平“七通一平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47"/>
      <c r="Q21" s="1263" t="str">
        <f>B21</f>
        <v>基础设施水平</v>
      </c>
      <c r="R21" s="667" t="s">
        <v>14</v>
      </c>
      <c r="S21" s="668">
        <f>F21</f>
        <v>100</v>
      </c>
      <c r="T21" s="667" t="s">
        <v>14</v>
      </c>
      <c r="U21" s="668">
        <f>H21</f>
        <v>100</v>
      </c>
      <c r="V21" s="667" t="s">
        <v>14</v>
      </c>
      <c r="W21" s="668">
        <f>J21</f>
        <v>100</v>
      </c>
      <c r="X21" s="1265"/>
      <c r="Y21" s="344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0"/>
      <c r="M22" s="2485"/>
      <c r="N22" s="2485"/>
      <c r="O22" s="2485"/>
      <c r="P22" s="3447"/>
      <c r="Q22" s="1263"/>
      <c r="R22" s="667"/>
      <c r="S22" s="668"/>
      <c r="T22" s="667"/>
      <c r="U22" s="668"/>
      <c r="V22" s="667"/>
      <c r="W22" s="668"/>
      <c r="X22" s="1265"/>
      <c r="Y22" s="3440"/>
      <c r="Z22" s="1264"/>
      <c r="AA22" s="1264">
        <v>1</v>
      </c>
      <c r="AB22" s="1264">
        <v>1</v>
      </c>
      <c r="AC22" s="1264">
        <v>1</v>
      </c>
    </row>
    <row r="23" spans="1:29" ht="96.6">
      <c r="A23" s="367"/>
      <c r="B23" s="390" t="s">
        <v>1261</v>
      </c>
      <c r="C23" s="1806" t="str">
        <f>估价对象房地状况!C9</f>
        <v>较好</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47"/>
      <c r="Q23" s="1263" t="str">
        <f>B23</f>
        <v>自然及人文环境</v>
      </c>
      <c r="R23" s="667" t="s">
        <v>14</v>
      </c>
      <c r="S23" s="668">
        <f>F23</f>
        <v>100</v>
      </c>
      <c r="T23" s="667" t="s">
        <v>14</v>
      </c>
      <c r="U23" s="668">
        <f>H23</f>
        <v>100</v>
      </c>
      <c r="V23" s="667" t="s">
        <v>14</v>
      </c>
      <c r="W23" s="668">
        <f>J23</f>
        <v>100</v>
      </c>
      <c r="X23" s="1265"/>
      <c r="Y23" s="3440"/>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0"/>
      <c r="M24" s="2485"/>
      <c r="N24" s="2485"/>
      <c r="O24" s="2485"/>
      <c r="P24" s="3447"/>
      <c r="Q24" s="1263"/>
      <c r="R24" s="667"/>
      <c r="S24" s="668"/>
      <c r="T24" s="667"/>
      <c r="U24" s="668"/>
      <c r="V24" s="667"/>
      <c r="W24" s="668"/>
      <c r="X24" s="1265"/>
      <c r="Y24" s="3440"/>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47"/>
      <c r="Q25" s="1263" t="str">
        <f t="shared" ref="Q25:Q46" si="11">B25</f>
        <v>临街状况</v>
      </c>
      <c r="R25" s="667" t="s">
        <v>14</v>
      </c>
      <c r="S25" s="668">
        <f>F25</f>
        <v>100</v>
      </c>
      <c r="T25" s="667" t="s">
        <v>14</v>
      </c>
      <c r="U25" s="668">
        <f>H25</f>
        <v>100</v>
      </c>
      <c r="V25" s="667" t="s">
        <v>14</v>
      </c>
      <c r="W25" s="668">
        <f>J25</f>
        <v>100</v>
      </c>
      <c r="X25" s="1265"/>
      <c r="Y25" s="3440"/>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47"/>
      <c r="Q26" s="1263" t="str">
        <f t="shared" si="11"/>
        <v>平面位置/可视性</v>
      </c>
      <c r="R26" s="667" t="s">
        <v>14</v>
      </c>
      <c r="S26" s="668">
        <f>F26</f>
        <v>100</v>
      </c>
      <c r="T26" s="667" t="s">
        <v>14</v>
      </c>
      <c r="U26" s="668">
        <f>H26</f>
        <v>100</v>
      </c>
      <c r="V26" s="667" t="s">
        <v>14</v>
      </c>
      <c r="W26" s="668">
        <f>J26</f>
        <v>100</v>
      </c>
      <c r="X26" s="1265"/>
      <c r="Y26" s="3440"/>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6"/>
      <c r="M27" s="2438"/>
      <c r="N27" s="2438"/>
      <c r="O27" s="2438"/>
      <c r="P27" s="3447"/>
      <c r="Q27" s="530" t="str">
        <f t="shared" si="11"/>
        <v>人流量</v>
      </c>
      <c r="R27" s="664" t="s">
        <v>14</v>
      </c>
      <c r="S27" s="665">
        <f>F27</f>
        <v>100</v>
      </c>
      <c r="T27" s="664" t="s">
        <v>14</v>
      </c>
      <c r="U27" s="665">
        <f>H27</f>
        <v>100</v>
      </c>
      <c r="V27" s="664" t="s">
        <v>14</v>
      </c>
      <c r="W27" s="665">
        <f>J27</f>
        <v>100</v>
      </c>
      <c r="X27" s="666"/>
      <c r="Y27" s="3440"/>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47"/>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40"/>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47"/>
      <c r="Q29" s="1263">
        <f t="shared" si="11"/>
        <v>111</v>
      </c>
      <c r="R29" s="667" t="s">
        <v>14</v>
      </c>
      <c r="S29" s="668">
        <f t="shared" si="12"/>
        <v>100</v>
      </c>
      <c r="T29" s="667" t="s">
        <v>14</v>
      </c>
      <c r="U29" s="668">
        <f t="shared" si="13"/>
        <v>100</v>
      </c>
      <c r="V29" s="667" t="s">
        <v>14</v>
      </c>
      <c r="W29" s="668">
        <f t="shared" si="14"/>
        <v>100</v>
      </c>
      <c r="X29" s="1265"/>
      <c r="Y29" s="3440"/>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47"/>
      <c r="Q30" s="1263">
        <f t="shared" si="11"/>
        <v>111</v>
      </c>
      <c r="R30" s="667" t="s">
        <v>14</v>
      </c>
      <c r="S30" s="668">
        <f t="shared" si="12"/>
        <v>100</v>
      </c>
      <c r="T30" s="667" t="s">
        <v>14</v>
      </c>
      <c r="U30" s="668">
        <f t="shared" si="13"/>
        <v>100</v>
      </c>
      <c r="V30" s="667" t="s">
        <v>14</v>
      </c>
      <c r="W30" s="668">
        <f t="shared" si="14"/>
        <v>100</v>
      </c>
      <c r="X30" s="1265"/>
      <c r="Y30" s="3440"/>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47"/>
      <c r="Q31" s="1263">
        <f t="shared" si="11"/>
        <v>111</v>
      </c>
      <c r="R31" s="667" t="s">
        <v>14</v>
      </c>
      <c r="S31" s="668">
        <f t="shared" si="12"/>
        <v>100</v>
      </c>
      <c r="T31" s="667" t="s">
        <v>14</v>
      </c>
      <c r="U31" s="668">
        <f t="shared" si="13"/>
        <v>100</v>
      </c>
      <c r="V31" s="667" t="s">
        <v>14</v>
      </c>
      <c r="W31" s="668">
        <f t="shared" si="14"/>
        <v>100</v>
      </c>
      <c r="X31" s="1265"/>
      <c r="Y31" s="3440"/>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441" t="s">
        <v>1696</v>
      </c>
      <c r="Q32" s="1263" t="str">
        <f t="shared" si="11"/>
        <v>商业类型</v>
      </c>
      <c r="R32" s="667" t="s">
        <v>14</v>
      </c>
      <c r="S32" s="668">
        <f t="shared" si="12"/>
        <v>100</v>
      </c>
      <c r="T32" s="667" t="s">
        <v>14</v>
      </c>
      <c r="U32" s="668">
        <f t="shared" si="13"/>
        <v>100</v>
      </c>
      <c r="V32" s="667" t="s">
        <v>14</v>
      </c>
      <c r="W32" s="668">
        <f t="shared" si="14"/>
        <v>100</v>
      </c>
      <c r="X32" s="1265"/>
      <c r="Y32" s="3444"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442"/>
      <c r="Q33" s="531" t="str">
        <f t="shared" si="11"/>
        <v>项目建筑规模</v>
      </c>
      <c r="R33" s="669" t="s">
        <v>14</v>
      </c>
      <c r="S33" s="670" t="e">
        <f t="shared" si="12"/>
        <v>#N/A</v>
      </c>
      <c r="T33" s="669" t="s">
        <v>14</v>
      </c>
      <c r="U33" s="670" t="e">
        <f t="shared" si="13"/>
        <v>#N/A</v>
      </c>
      <c r="V33" s="669" t="s">
        <v>14</v>
      </c>
      <c r="W33" s="670" t="e">
        <f t="shared" si="14"/>
        <v>#N/A</v>
      </c>
      <c r="X33" s="671"/>
      <c r="Y33" s="3444"/>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42"/>
      <c r="Q34" s="1263" t="str">
        <f t="shared" si="11"/>
        <v>建筑结构</v>
      </c>
      <c r="R34" s="667" t="s">
        <v>14</v>
      </c>
      <c r="S34" s="668">
        <f t="shared" si="12"/>
        <v>100</v>
      </c>
      <c r="T34" s="667" t="s">
        <v>14</v>
      </c>
      <c r="U34" s="668">
        <f t="shared" si="13"/>
        <v>100</v>
      </c>
      <c r="V34" s="667" t="s">
        <v>14</v>
      </c>
      <c r="W34" s="668">
        <f t="shared" si="14"/>
        <v>100</v>
      </c>
      <c r="X34" s="1265"/>
      <c r="Y34" s="3444"/>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442"/>
      <c r="Q35" s="1263" t="str">
        <f t="shared" si="11"/>
        <v>公共部分装修</v>
      </c>
      <c r="R35" s="667" t="s">
        <v>14</v>
      </c>
      <c r="S35" s="668">
        <f t="shared" si="12"/>
        <v>100</v>
      </c>
      <c r="T35" s="667" t="s">
        <v>14</v>
      </c>
      <c r="U35" s="668">
        <f t="shared" si="13"/>
        <v>100</v>
      </c>
      <c r="V35" s="667" t="s">
        <v>14</v>
      </c>
      <c r="W35" s="668">
        <f t="shared" si="14"/>
        <v>100</v>
      </c>
      <c r="X35" s="1265"/>
      <c r="Y35" s="3444"/>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442"/>
      <c r="Q36" s="1263" t="str">
        <f t="shared" si="11"/>
        <v>成新度</v>
      </c>
      <c r="R36" s="667" t="s">
        <v>14</v>
      </c>
      <c r="S36" s="668" t="e">
        <f t="shared" si="12"/>
        <v>#N/A</v>
      </c>
      <c r="T36" s="667" t="s">
        <v>14</v>
      </c>
      <c r="U36" s="668" t="e">
        <f t="shared" si="13"/>
        <v>#N/A</v>
      </c>
      <c r="V36" s="667" t="s">
        <v>14</v>
      </c>
      <c r="W36" s="668" t="e">
        <f t="shared" si="14"/>
        <v>#N/A</v>
      </c>
      <c r="X36" s="1265"/>
      <c r="Y36" s="3444"/>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8"/>
      <c r="N37" s="2438"/>
      <c r="O37" s="2438"/>
      <c r="P37" s="3442"/>
      <c r="Q37" s="530" t="str">
        <f t="shared" si="11"/>
        <v>市政基础设施</v>
      </c>
      <c r="R37" s="664" t="s">
        <v>14</v>
      </c>
      <c r="S37" s="665">
        <f t="shared" si="12"/>
        <v>100</v>
      </c>
      <c r="T37" s="664" t="s">
        <v>14</v>
      </c>
      <c r="U37" s="665">
        <f t="shared" si="13"/>
        <v>100</v>
      </c>
      <c r="V37" s="664" t="s">
        <v>14</v>
      </c>
      <c r="W37" s="665">
        <f t="shared" si="14"/>
        <v>100</v>
      </c>
      <c r="X37" s="666"/>
      <c r="Y37" s="3444"/>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442" t="s">
        <v>1696</v>
      </c>
      <c r="Q38" s="1263" t="str">
        <f t="shared" si="11"/>
        <v>业态</v>
      </c>
      <c r="R38" s="667" t="s">
        <v>14</v>
      </c>
      <c r="S38" s="668">
        <f t="shared" si="12"/>
        <v>100</v>
      </c>
      <c r="T38" s="667" t="s">
        <v>14</v>
      </c>
      <c r="U38" s="668">
        <f t="shared" si="13"/>
        <v>100</v>
      </c>
      <c r="V38" s="667" t="s">
        <v>14</v>
      </c>
      <c r="W38" s="668">
        <f t="shared" si="14"/>
        <v>100</v>
      </c>
      <c r="X38" s="1265"/>
      <c r="Y38" s="3444"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442"/>
      <c r="Q39" s="1263" t="str">
        <f t="shared" si="11"/>
        <v>层高</v>
      </c>
      <c r="R39" s="667" t="s">
        <v>14</v>
      </c>
      <c r="S39" s="668">
        <f t="shared" si="12"/>
        <v>100</v>
      </c>
      <c r="T39" s="667" t="s">
        <v>14</v>
      </c>
      <c r="U39" s="668">
        <f t="shared" si="13"/>
        <v>100</v>
      </c>
      <c r="V39" s="667" t="s">
        <v>14</v>
      </c>
      <c r="W39" s="668">
        <f t="shared" si="14"/>
        <v>100</v>
      </c>
      <c r="X39" s="1265"/>
      <c r="Y39" s="3444"/>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42"/>
      <c r="Q40" s="1263" t="str">
        <f t="shared" si="11"/>
        <v>单套建筑面积</v>
      </c>
      <c r="R40" s="667" t="s">
        <v>14</v>
      </c>
      <c r="S40" s="668">
        <f t="shared" si="12"/>
        <v>100</v>
      </c>
      <c r="T40" s="667" t="s">
        <v>14</v>
      </c>
      <c r="U40" s="668">
        <f t="shared" si="13"/>
        <v>100</v>
      </c>
      <c r="V40" s="667" t="s">
        <v>14</v>
      </c>
      <c r="W40" s="668">
        <f t="shared" si="14"/>
        <v>100</v>
      </c>
      <c r="X40" s="1265"/>
      <c r="Y40" s="3444"/>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42"/>
      <c r="Q41" s="531" t="str">
        <f t="shared" si="11"/>
        <v>进深比</v>
      </c>
      <c r="R41" s="669" t="s">
        <v>14</v>
      </c>
      <c r="S41" s="670">
        <f t="shared" si="12"/>
        <v>100</v>
      </c>
      <c r="T41" s="669" t="s">
        <v>14</v>
      </c>
      <c r="U41" s="670">
        <f t="shared" si="13"/>
        <v>100</v>
      </c>
      <c r="V41" s="669" t="s">
        <v>14</v>
      </c>
      <c r="W41" s="670">
        <f t="shared" si="14"/>
        <v>100</v>
      </c>
      <c r="X41" s="671"/>
      <c r="Y41" s="3444"/>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442"/>
      <c r="Q42" s="1263" t="str">
        <f t="shared" si="11"/>
        <v>内部装修</v>
      </c>
      <c r="R42" s="667" t="s">
        <v>14</v>
      </c>
      <c r="S42" s="668">
        <f t="shared" si="12"/>
        <v>100</v>
      </c>
      <c r="T42" s="667" t="s">
        <v>14</v>
      </c>
      <c r="U42" s="668">
        <f t="shared" si="13"/>
        <v>100</v>
      </c>
      <c r="V42" s="667" t="s">
        <v>14</v>
      </c>
      <c r="W42" s="668">
        <f t="shared" si="14"/>
        <v>100</v>
      </c>
      <c r="X42" s="1265"/>
      <c r="Y42" s="3444"/>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442"/>
      <c r="Q43" s="1263" t="str">
        <f t="shared" si="11"/>
        <v>内部装修维护情况</v>
      </c>
      <c r="R43" s="667" t="s">
        <v>14</v>
      </c>
      <c r="S43" s="668">
        <f t="shared" si="12"/>
        <v>100</v>
      </c>
      <c r="T43" s="667" t="s">
        <v>14</v>
      </c>
      <c r="U43" s="668">
        <f t="shared" si="13"/>
        <v>100</v>
      </c>
      <c r="V43" s="667" t="s">
        <v>14</v>
      </c>
      <c r="W43" s="668">
        <f t="shared" si="14"/>
        <v>100</v>
      </c>
      <c r="X43" s="1265"/>
      <c r="Y43" s="3444"/>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442"/>
      <c r="Q44" s="530">
        <f t="shared" si="11"/>
        <v>111</v>
      </c>
      <c r="R44" s="664" t="s">
        <v>14</v>
      </c>
      <c r="S44" s="665">
        <f t="shared" si="12"/>
        <v>100</v>
      </c>
      <c r="T44" s="664" t="s">
        <v>14</v>
      </c>
      <c r="U44" s="665">
        <f t="shared" si="13"/>
        <v>100</v>
      </c>
      <c r="V44" s="664" t="s">
        <v>14</v>
      </c>
      <c r="W44" s="665">
        <f t="shared" si="14"/>
        <v>100</v>
      </c>
      <c r="X44" s="666"/>
      <c r="Y44" s="3444"/>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42"/>
      <c r="Q45" s="1263">
        <f t="shared" si="11"/>
        <v>111</v>
      </c>
      <c r="R45" s="667" t="s">
        <v>14</v>
      </c>
      <c r="S45" s="668">
        <f t="shared" si="12"/>
        <v>100</v>
      </c>
      <c r="T45" s="667" t="s">
        <v>14</v>
      </c>
      <c r="U45" s="668">
        <f t="shared" si="13"/>
        <v>100</v>
      </c>
      <c r="V45" s="667" t="s">
        <v>14</v>
      </c>
      <c r="W45" s="668">
        <f t="shared" si="14"/>
        <v>100</v>
      </c>
      <c r="X45" s="1265"/>
      <c r="Y45" s="3444"/>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43"/>
      <c r="Q46" s="1263">
        <f t="shared" si="11"/>
        <v>111</v>
      </c>
      <c r="R46" s="667" t="s">
        <v>14</v>
      </c>
      <c r="S46" s="668">
        <f t="shared" si="12"/>
        <v>100</v>
      </c>
      <c r="T46" s="667" t="s">
        <v>14</v>
      </c>
      <c r="U46" s="668">
        <f t="shared" si="13"/>
        <v>100</v>
      </c>
      <c r="V46" s="667" t="s">
        <v>14</v>
      </c>
      <c r="W46" s="668">
        <f t="shared" si="14"/>
        <v>100</v>
      </c>
      <c r="X46" s="1265"/>
      <c r="Y46" s="3445"/>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2"/>
      <c r="M47" s="2485"/>
      <c r="N47" s="2485"/>
      <c r="O47" s="2485"/>
      <c r="P47" s="3438" t="str">
        <f>A47</f>
        <v>成交单价（元/平方米）</v>
      </c>
      <c r="Q47" s="3438"/>
      <c r="R47" s="3433">
        <f>E47</f>
        <v>0</v>
      </c>
      <c r="S47" s="3433"/>
      <c r="T47" s="3433">
        <f>G47</f>
        <v>0</v>
      </c>
      <c r="U47" s="3433"/>
      <c r="V47" s="3433">
        <f>I47</f>
        <v>0</v>
      </c>
      <c r="W47" s="3433"/>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2"/>
      <c r="M48" s="2485"/>
      <c r="N48" s="2485"/>
      <c r="O48" s="2485"/>
      <c r="P48" s="3438" t="str">
        <f>A48</f>
        <v>比较价值（元/平方米）</v>
      </c>
      <c r="Q48" s="3438"/>
      <c r="R48" s="3433" t="e">
        <f>IF(F1="售价",ROUND(PRODUCT(R47,AA7:AA46),0),ROUND(PRODUCT(R47,AA7:AA46),1))</f>
        <v>#DIV/0!</v>
      </c>
      <c r="S48" s="3433"/>
      <c r="T48" s="3433" t="e">
        <f>IF(F1="售价",ROUND(PRODUCT(T47,AB7:AB46),0),ROUND(PRODUCT(T47,AB7:AB46),1))</f>
        <v>#DIV/0!</v>
      </c>
      <c r="U48" s="3433"/>
      <c r="V48" s="3433" t="e">
        <f>IF(F1="售价",ROUND(PRODUCT(V47,AC7:AC46),0),ROUND(PRODUCT(V47,AC7:AC46),1))</f>
        <v>#DIV/0!</v>
      </c>
      <c r="W48" s="3433"/>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2"/>
      <c r="M49" s="2485"/>
      <c r="N49" s="2485"/>
      <c r="O49" s="2485"/>
      <c r="P49" s="3435" t="str">
        <f>A49</f>
        <v>估价对象XX用房的比较价值（楼面单价，元/平方米）</v>
      </c>
      <c r="Q49" s="3436"/>
      <c r="R49" s="3437" t="e">
        <f>IF(F1="售价",ROUND(IF(D48="简单平均",AVERAGE(R48:V48),R48*F48+T48*H48+V48*J48),0),ROUND(IF(D48="简单平均",AVERAGE(R48:V48),R48*F48+T48*H48+V48*J48),1))</f>
        <v>#DIV/0!</v>
      </c>
      <c r="S49" s="3437"/>
      <c r="T49" s="3437"/>
      <c r="U49" s="3437"/>
      <c r="V49" s="3437"/>
      <c r="W49" s="3437"/>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4.4">
      <c r="A58" s="440" t="s">
        <v>1679</v>
      </c>
      <c r="B58" s="441"/>
      <c r="C58" s="1103" t="str">
        <f>YEAR(C7)&amp;"-"&amp;MONTH(C7)</f>
        <v>2025-4</v>
      </c>
      <c r="D58" s="1104">
        <f>EDATE(C58,-1)</f>
        <v>45717</v>
      </c>
      <c r="E58" s="1104">
        <f t="shared" ref="E58:N58" si="16">EDATE(D58,-1)</f>
        <v>45689</v>
      </c>
      <c r="F58" s="1104">
        <f t="shared" si="16"/>
        <v>45658</v>
      </c>
      <c r="G58" s="1104">
        <f t="shared" si="16"/>
        <v>45627</v>
      </c>
      <c r="H58" s="1104">
        <f t="shared" si="16"/>
        <v>45597</v>
      </c>
      <c r="I58" s="1104">
        <f t="shared" si="16"/>
        <v>45566</v>
      </c>
      <c r="J58" s="1104">
        <f t="shared" si="16"/>
        <v>45536</v>
      </c>
      <c r="K58" s="1104">
        <f t="shared" si="16"/>
        <v>45505</v>
      </c>
      <c r="L58" s="1104">
        <f t="shared" si="16"/>
        <v>45474</v>
      </c>
      <c r="M58" s="1104">
        <f t="shared" si="16"/>
        <v>45444</v>
      </c>
      <c r="N58" s="1104">
        <f t="shared" si="16"/>
        <v>45413</v>
      </c>
      <c r="O58" s="1104">
        <f>EDATE(N58,-1)</f>
        <v>45383</v>
      </c>
      <c r="P58" s="2507"/>
      <c r="Q58" s="2508"/>
      <c r="R58" s="2508"/>
      <c r="S58" s="2508"/>
      <c r="T58" s="2508"/>
      <c r="U58" s="2508"/>
      <c r="V58" s="2508"/>
      <c r="W58" s="2508"/>
      <c r="X58" s="2508"/>
      <c r="Y58" s="2508"/>
      <c r="Z58" s="2508"/>
      <c r="AA58" s="2508"/>
      <c r="AB58" s="2508"/>
      <c r="AC58" s="2508"/>
    </row>
    <row r="59" spans="1:29" s="102" customFormat="1">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4.4">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4"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ht="14.4">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4"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9.4"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4"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4.4"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4"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4"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4"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4"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4"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ht="14.4">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4.4" thickTop="1">
      <c r="A88" s="370"/>
      <c r="B88" s="469" t="str">
        <f>B26</f>
        <v>平面位置/可视性</v>
      </c>
      <c r="C88" s="485"/>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4"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4.4"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4.4"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4"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4"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4"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4"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4"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4"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4"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ht="14.4">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4"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4"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4"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4"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4"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4"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4"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4"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受贵公司委托，我公司对北京市丰台区角门东里11号楼房地产抵押价值进行了预评估。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估价对象为北京市丰台区角门东里11号楼房地产，为所有。根据《国有土地使用证》[]，估价对象（分摊）出让国有建设用地使用权面积为1778.06平方米，建筑面积为2170.2平方米。</v>
      </c>
    </row>
    <row r="8" spans="1:1" ht="54.6">
      <c r="A8" s="1385" t="s">
        <v>901</v>
      </c>
    </row>
    <row r="9" spans="1:1" ht="17.399999999999999">
      <c r="A9" s="1384" t="s">
        <v>902</v>
      </c>
    </row>
    <row r="10" spans="1:1" ht="52.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估价对象为北京市丰台区角门东里11号楼房地产,属开发建设的，该项目尚在开发建设中。根据《国有土地使用证》[]，估价对象（分摊）出让国有建设用地使用权面积为1778.06平方米，规划建筑面积为2170.2平方米。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丰台区角门东里11号楼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2025年4月25日（评估专业人员实地查勘之日）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25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本次评估采用的主估价方法为成本法和收益法。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H44" sqref="H44"/>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2170.1999999999998</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4.4">
      <c r="A4" s="345" t="s">
        <v>1769</v>
      </c>
      <c r="B4" s="346"/>
      <c r="C4" s="3421" t="s">
        <v>1770</v>
      </c>
      <c r="D4" s="3422"/>
      <c r="E4" s="3423" t="s">
        <v>1771</v>
      </c>
      <c r="F4" s="3424"/>
      <c r="G4" s="3421" t="s">
        <v>1772</v>
      </c>
      <c r="H4" s="3422"/>
      <c r="I4" s="3421" t="s">
        <v>1773</v>
      </c>
      <c r="J4" s="3422"/>
      <c r="K4" s="537" t="s">
        <v>1774</v>
      </c>
      <c r="L4" s="2484"/>
      <c r="M4" s="2485"/>
      <c r="N4" s="2485"/>
      <c r="O4" s="2485"/>
      <c r="P4" s="3454" t="s">
        <v>1775</v>
      </c>
      <c r="Q4" s="3455"/>
      <c r="R4" s="3449" t="s">
        <v>1771</v>
      </c>
      <c r="S4" s="3450"/>
      <c r="T4" s="3449" t="s">
        <v>1772</v>
      </c>
      <c r="U4" s="3450"/>
      <c r="V4" s="3458" t="s">
        <v>1773</v>
      </c>
      <c r="W4" s="3458"/>
      <c r="X4" s="1809"/>
      <c r="Y4" s="3449" t="s">
        <v>1775</v>
      </c>
      <c r="Z4" s="3450"/>
      <c r="AA4" s="3448" t="s">
        <v>1771</v>
      </c>
      <c r="AB4" s="3448" t="s">
        <v>1772</v>
      </c>
      <c r="AC4" s="3451" t="s">
        <v>1773</v>
      </c>
    </row>
    <row r="5" spans="1:29">
      <c r="A5" s="348"/>
      <c r="B5" s="349"/>
      <c r="C5" s="3414" t="s">
        <v>1673</v>
      </c>
      <c r="D5" s="3415"/>
      <c r="E5" s="3412" t="s">
        <v>1674</v>
      </c>
      <c r="F5" s="3413"/>
      <c r="G5" s="3414" t="s">
        <v>1675</v>
      </c>
      <c r="H5" s="3415"/>
      <c r="I5" s="3414" t="s">
        <v>1676</v>
      </c>
      <c r="J5" s="3415"/>
      <c r="K5" s="537"/>
      <c r="L5" s="2484"/>
      <c r="M5" s="2485"/>
      <c r="N5" s="2485"/>
      <c r="O5" s="2485"/>
      <c r="P5" s="3456"/>
      <c r="Q5" s="3428"/>
      <c r="R5" s="3410"/>
      <c r="S5" s="3411"/>
      <c r="T5" s="3410"/>
      <c r="U5" s="3411"/>
      <c r="V5" s="3433"/>
      <c r="W5" s="3433"/>
      <c r="X5" s="1265"/>
      <c r="Y5" s="3410"/>
      <c r="Z5" s="3411"/>
      <c r="AA5" s="3404"/>
      <c r="AB5" s="3404"/>
      <c r="AC5" s="3452"/>
    </row>
    <row r="6" spans="1:29" ht="15" thickBot="1">
      <c r="A6" s="350"/>
      <c r="B6" s="351"/>
      <c r="C6" s="3416" t="s">
        <v>1677</v>
      </c>
      <c r="D6" s="3417"/>
      <c r="E6" s="3418" t="s">
        <v>1677</v>
      </c>
      <c r="F6" s="3419"/>
      <c r="G6" s="3416" t="s">
        <v>1677</v>
      </c>
      <c r="H6" s="3417"/>
      <c r="I6" s="3416" t="s">
        <v>1677</v>
      </c>
      <c r="J6" s="3417"/>
      <c r="K6" s="537" t="s">
        <v>1678</v>
      </c>
      <c r="L6" s="2484"/>
      <c r="M6" s="2485"/>
      <c r="N6" s="2485"/>
      <c r="O6" s="2485"/>
      <c r="P6" s="3457"/>
      <c r="Q6" s="3430"/>
      <c r="R6" s="3410"/>
      <c r="S6" s="3411"/>
      <c r="T6" s="3431"/>
      <c r="U6" s="3432"/>
      <c r="V6" s="3433"/>
      <c r="W6" s="3433"/>
      <c r="X6" s="1265"/>
      <c r="Y6" s="3431"/>
      <c r="Z6" s="3432"/>
      <c r="AA6" s="3405"/>
      <c r="AB6" s="3405"/>
      <c r="AC6" s="3453"/>
    </row>
    <row r="7" spans="1:29" s="102" customFormat="1" ht="15" thickBot="1">
      <c r="A7" s="352" t="s">
        <v>1679</v>
      </c>
      <c r="B7" s="353"/>
      <c r="C7" s="354">
        <f>'数据-取费表'!B2</f>
        <v>45772</v>
      </c>
      <c r="D7" s="355">
        <v>100</v>
      </c>
      <c r="E7" s="356"/>
      <c r="F7" s="357">
        <f>SUMIF(59:59,YEAR(E7)&amp;"-"&amp;MONTH(E7),60:60)</f>
        <v>0</v>
      </c>
      <c r="G7" s="356"/>
      <c r="H7" s="355">
        <f>SUMIF(59:59,YEAR(G7)&amp;"-"&amp;MONTH(G7),60:60)</f>
        <v>0</v>
      </c>
      <c r="I7" s="356"/>
      <c r="J7" s="355">
        <f>SUMIF(59:59,YEAR(I7)&amp;"-"&amp;MONTH(I7),60:60)</f>
        <v>0</v>
      </c>
      <c r="K7" s="38"/>
      <c r="L7" s="2486"/>
      <c r="M7" s="2438"/>
      <c r="N7" s="2438"/>
      <c r="O7" s="2438"/>
      <c r="P7" s="3459" t="s">
        <v>1680</v>
      </c>
      <c r="Q7" s="3434"/>
      <c r="R7" s="664" t="s">
        <v>14</v>
      </c>
      <c r="S7" s="665">
        <f t="shared" ref="S7:S15" si="0">F7</f>
        <v>0</v>
      </c>
      <c r="T7" s="664" t="s">
        <v>14</v>
      </c>
      <c r="U7" s="665">
        <f t="shared" ref="U7:U15" si="1">H7</f>
        <v>0</v>
      </c>
      <c r="V7" s="664" t="s">
        <v>14</v>
      </c>
      <c r="W7" s="665">
        <f t="shared" ref="W7:W15" si="2">J7</f>
        <v>0</v>
      </c>
      <c r="X7" s="666"/>
      <c r="Y7" s="3406" t="s">
        <v>1680</v>
      </c>
      <c r="Z7" s="3407"/>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8"/>
      <c r="N8" s="2438"/>
      <c r="O8" s="2438"/>
      <c r="P8" s="3459" t="s">
        <v>1683</v>
      </c>
      <c r="Q8" s="3407"/>
      <c r="R8" s="664" t="s">
        <v>14</v>
      </c>
      <c r="S8" s="665">
        <f t="shared" si="0"/>
        <v>100</v>
      </c>
      <c r="T8" s="664" t="s">
        <v>14</v>
      </c>
      <c r="U8" s="665">
        <f t="shared" si="1"/>
        <v>100</v>
      </c>
      <c r="V8" s="664" t="s">
        <v>14</v>
      </c>
      <c r="W8" s="665">
        <f t="shared" si="2"/>
        <v>100</v>
      </c>
      <c r="X8" s="666"/>
      <c r="Y8" s="3406" t="s">
        <v>1683</v>
      </c>
      <c r="Z8" s="3407"/>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8"/>
      <c r="N9" s="2438"/>
      <c r="O9" s="2438"/>
      <c r="P9" s="3420" t="s">
        <v>1686</v>
      </c>
      <c r="Q9" s="530" t="str">
        <f t="shared" ref="Q9:Q15" si="6">B9</f>
        <v>用途</v>
      </c>
      <c r="R9" s="664" t="s">
        <v>14</v>
      </c>
      <c r="S9" s="665">
        <f t="shared" si="0"/>
        <v>100</v>
      </c>
      <c r="T9" s="664" t="s">
        <v>14</v>
      </c>
      <c r="U9" s="665">
        <f t="shared" si="1"/>
        <v>100</v>
      </c>
      <c r="V9" s="664" t="s">
        <v>14</v>
      </c>
      <c r="W9" s="665">
        <f t="shared" si="2"/>
        <v>100</v>
      </c>
      <c r="X9" s="666"/>
      <c r="Y9" s="3331" t="s">
        <v>1687</v>
      </c>
      <c r="Z9" s="50" t="str">
        <f t="shared" ref="Z9:Z15" si="7">Q9</f>
        <v>用途</v>
      </c>
      <c r="AA9" s="50">
        <f t="shared" si="3"/>
        <v>1</v>
      </c>
      <c r="AB9" s="50">
        <f t="shared" si="4"/>
        <v>1</v>
      </c>
      <c r="AC9" s="802">
        <f t="shared" si="5"/>
        <v>1</v>
      </c>
    </row>
    <row r="10" spans="1:29" s="366" customFormat="1" ht="28.8">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420"/>
      <c r="Q10" s="530" t="str">
        <f t="shared" si="6"/>
        <v>土地使用年限（年）</v>
      </c>
      <c r="R10" s="664" t="s">
        <v>14</v>
      </c>
      <c r="S10" s="665">
        <f t="shared" si="0"/>
        <v>100</v>
      </c>
      <c r="T10" s="664" t="s">
        <v>14</v>
      </c>
      <c r="U10" s="665">
        <f t="shared" si="1"/>
        <v>100</v>
      </c>
      <c r="V10" s="664" t="s">
        <v>14</v>
      </c>
      <c r="W10" s="665">
        <f t="shared" si="2"/>
        <v>100</v>
      </c>
      <c r="X10" s="666"/>
      <c r="Y10" s="3331"/>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420"/>
      <c r="Q11" s="530" t="str">
        <f t="shared" si="6"/>
        <v>容积率</v>
      </c>
      <c r="R11" s="664" t="s">
        <v>14</v>
      </c>
      <c r="S11" s="665">
        <f t="shared" si="0"/>
        <v>100</v>
      </c>
      <c r="T11" s="664" t="s">
        <v>14</v>
      </c>
      <c r="U11" s="665">
        <f t="shared" si="1"/>
        <v>100</v>
      </c>
      <c r="V11" s="664" t="s">
        <v>14</v>
      </c>
      <c r="W11" s="665">
        <f t="shared" si="2"/>
        <v>100</v>
      </c>
      <c r="X11" s="666"/>
      <c r="Y11" s="333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420"/>
      <c r="Q12" s="530">
        <f t="shared" si="6"/>
        <v>111</v>
      </c>
      <c r="R12" s="664" t="s">
        <v>14</v>
      </c>
      <c r="S12" s="665">
        <f t="shared" si="0"/>
        <v>100</v>
      </c>
      <c r="T12" s="664" t="s">
        <v>14</v>
      </c>
      <c r="U12" s="665">
        <f t="shared" si="1"/>
        <v>100</v>
      </c>
      <c r="V12" s="664" t="s">
        <v>14</v>
      </c>
      <c r="W12" s="665">
        <f t="shared" si="2"/>
        <v>100</v>
      </c>
      <c r="X12" s="666"/>
      <c r="Y12" s="333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420"/>
      <c r="Q13" s="530">
        <f t="shared" si="6"/>
        <v>111</v>
      </c>
      <c r="R13" s="664" t="s">
        <v>14</v>
      </c>
      <c r="S13" s="665">
        <f t="shared" si="0"/>
        <v>100</v>
      </c>
      <c r="T13" s="664" t="s">
        <v>14</v>
      </c>
      <c r="U13" s="665">
        <f t="shared" si="1"/>
        <v>100</v>
      </c>
      <c r="V13" s="664" t="s">
        <v>14</v>
      </c>
      <c r="W13" s="665">
        <f t="shared" si="2"/>
        <v>100</v>
      </c>
      <c r="X13" s="666"/>
      <c r="Y13" s="3331"/>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420"/>
      <c r="Q14" s="530">
        <f t="shared" si="6"/>
        <v>111</v>
      </c>
      <c r="R14" s="664" t="s">
        <v>14</v>
      </c>
      <c r="S14" s="665">
        <f t="shared" si="0"/>
        <v>100</v>
      </c>
      <c r="T14" s="664" t="s">
        <v>14</v>
      </c>
      <c r="U14" s="665">
        <f t="shared" si="1"/>
        <v>100</v>
      </c>
      <c r="V14" s="664" t="s">
        <v>14</v>
      </c>
      <c r="W14" s="665">
        <f t="shared" si="2"/>
        <v>100</v>
      </c>
      <c r="X14" s="666"/>
      <c r="Y14" s="3331"/>
      <c r="Z14" s="50">
        <f t="shared" si="7"/>
        <v>111</v>
      </c>
      <c r="AA14" s="50">
        <f t="shared" si="3"/>
        <v>1</v>
      </c>
      <c r="AB14" s="50">
        <f t="shared" si="4"/>
        <v>1</v>
      </c>
      <c r="AC14" s="802">
        <f t="shared" si="5"/>
        <v>1</v>
      </c>
    </row>
    <row r="15" spans="1:29" ht="110.4">
      <c r="A15" s="379" t="s">
        <v>1690</v>
      </c>
      <c r="B15" s="554" t="s">
        <v>1811</v>
      </c>
      <c r="C15" s="1811" t="str">
        <f>估价对象房地状况!C5</f>
        <v>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446" t="s">
        <v>1691</v>
      </c>
      <c r="Q15" s="1263" t="str">
        <f t="shared" si="6"/>
        <v>办公集聚程度</v>
      </c>
      <c r="R15" s="667" t="s">
        <v>14</v>
      </c>
      <c r="S15" s="668">
        <f t="shared" si="0"/>
        <v>100</v>
      </c>
      <c r="T15" s="667" t="s">
        <v>14</v>
      </c>
      <c r="U15" s="668">
        <f t="shared" si="1"/>
        <v>100</v>
      </c>
      <c r="V15" s="667" t="s">
        <v>14</v>
      </c>
      <c r="W15" s="668">
        <f t="shared" si="2"/>
        <v>100</v>
      </c>
      <c r="X15" s="1265"/>
      <c r="Y15" s="3439"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0"/>
      <c r="M16" s="2485"/>
      <c r="N16" s="2485"/>
      <c r="O16" s="2485"/>
      <c r="P16" s="3447"/>
      <c r="Q16" s="1263"/>
      <c r="R16" s="667"/>
      <c r="S16" s="668"/>
      <c r="T16" s="667"/>
      <c r="U16" s="668"/>
      <c r="V16" s="667"/>
      <c r="W16" s="668"/>
      <c r="X16" s="1265"/>
      <c r="Y16" s="3440"/>
      <c r="Z16" s="1264"/>
      <c r="AA16" s="1264">
        <v>1</v>
      </c>
      <c r="AB16" s="1264">
        <v>1</v>
      </c>
      <c r="AC16" s="1812">
        <v>1</v>
      </c>
    </row>
    <row r="17" spans="1:29" ht="96.6">
      <c r="A17" s="367"/>
      <c r="B17" s="556" t="s">
        <v>1259</v>
      </c>
      <c r="C17" s="1813" t="str">
        <f>估价对象房地状况!C6</f>
        <v>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447"/>
      <c r="Q17" s="1263" t="str">
        <f>B17</f>
        <v>交通便捷度</v>
      </c>
      <c r="R17" s="667" t="s">
        <v>14</v>
      </c>
      <c r="S17" s="668">
        <f>F17</f>
        <v>100</v>
      </c>
      <c r="T17" s="667" t="s">
        <v>14</v>
      </c>
      <c r="U17" s="668">
        <f>H17</f>
        <v>100</v>
      </c>
      <c r="V17" s="667" t="s">
        <v>14</v>
      </c>
      <c r="W17" s="668">
        <f>J17</f>
        <v>100</v>
      </c>
      <c r="X17" s="1265"/>
      <c r="Y17" s="3440"/>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0"/>
      <c r="M18" s="2485"/>
      <c r="N18" s="2485"/>
      <c r="O18" s="2485"/>
      <c r="P18" s="3447"/>
      <c r="Q18" s="1263"/>
      <c r="R18" s="667"/>
      <c r="S18" s="668"/>
      <c r="T18" s="667"/>
      <c r="U18" s="668"/>
      <c r="V18" s="667"/>
      <c r="W18" s="668"/>
      <c r="X18" s="1265"/>
      <c r="Y18" s="3440"/>
      <c r="Z18" s="1264"/>
      <c r="AA18" s="1264">
        <v>1</v>
      </c>
      <c r="AB18" s="1264">
        <v>1</v>
      </c>
      <c r="AC18" s="1812">
        <v>1</v>
      </c>
    </row>
    <row r="19" spans="1:29" ht="82.8">
      <c r="A19" s="367"/>
      <c r="B19" s="556" t="s">
        <v>1812</v>
      </c>
      <c r="C19" s="1813" t="str">
        <f>估价对象房地状况!C7</f>
        <v>较好</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447"/>
      <c r="Q19" s="1263" t="str">
        <f>B19</f>
        <v>公共配套设施</v>
      </c>
      <c r="R19" s="667" t="s">
        <v>14</v>
      </c>
      <c r="S19" s="668">
        <f>F19</f>
        <v>100</v>
      </c>
      <c r="T19" s="667" t="s">
        <v>14</v>
      </c>
      <c r="U19" s="668">
        <f>H19</f>
        <v>100</v>
      </c>
      <c r="V19" s="667" t="s">
        <v>14</v>
      </c>
      <c r="W19" s="668">
        <f>J19</f>
        <v>100</v>
      </c>
      <c r="X19" s="1265"/>
      <c r="Y19" s="3440"/>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0"/>
      <c r="M20" s="2485"/>
      <c r="N20" s="2485"/>
      <c r="O20" s="2485"/>
      <c r="P20" s="3447"/>
      <c r="Q20" s="1263"/>
      <c r="R20" s="667"/>
      <c r="S20" s="668"/>
      <c r="T20" s="667"/>
      <c r="U20" s="668"/>
      <c r="V20" s="667"/>
      <c r="W20" s="668"/>
      <c r="X20" s="1265"/>
      <c r="Y20" s="3440"/>
      <c r="Z20" s="1264"/>
      <c r="AA20" s="1264">
        <v>1</v>
      </c>
      <c r="AB20" s="1264">
        <v>1</v>
      </c>
      <c r="AC20" s="1812">
        <v>1</v>
      </c>
    </row>
    <row r="21" spans="1:29" ht="41.4">
      <c r="A21" s="367"/>
      <c r="B21" s="557" t="s">
        <v>1813</v>
      </c>
      <c r="C21" s="1813" t="str">
        <f>估价对象房地状况!C8</f>
        <v>估价对象所在区域基础设施水平“七通一平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447"/>
      <c r="Q21" s="1263" t="str">
        <f>B21</f>
        <v>基础设施水平</v>
      </c>
      <c r="R21" s="667" t="s">
        <v>14</v>
      </c>
      <c r="S21" s="668">
        <f>F21</f>
        <v>100</v>
      </c>
      <c r="T21" s="667" t="s">
        <v>14</v>
      </c>
      <c r="U21" s="668">
        <f>H21</f>
        <v>100</v>
      </c>
      <c r="V21" s="667" t="s">
        <v>14</v>
      </c>
      <c r="W21" s="668">
        <f>J21</f>
        <v>100</v>
      </c>
      <c r="X21" s="1265"/>
      <c r="Y21" s="3440"/>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0"/>
      <c r="M22" s="2485"/>
      <c r="N22" s="2485"/>
      <c r="O22" s="2485"/>
      <c r="P22" s="3447"/>
      <c r="Q22" s="1263"/>
      <c r="R22" s="667"/>
      <c r="S22" s="668"/>
      <c r="T22" s="667"/>
      <c r="U22" s="668"/>
      <c r="V22" s="667"/>
      <c r="W22" s="668"/>
      <c r="X22" s="1265"/>
      <c r="Y22" s="3440"/>
      <c r="Z22" s="1264"/>
      <c r="AA22" s="1264">
        <v>1</v>
      </c>
      <c r="AB22" s="1264">
        <v>1</v>
      </c>
      <c r="AC22" s="1812">
        <v>1</v>
      </c>
    </row>
    <row r="23" spans="1:29" ht="96.6">
      <c r="A23" s="367"/>
      <c r="B23" s="556" t="s">
        <v>1814</v>
      </c>
      <c r="C23" s="1813" t="str">
        <f>估价对象房地状况!C9</f>
        <v>较好</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447"/>
      <c r="Q23" s="1263" t="str">
        <f>B23</f>
        <v>环境质量</v>
      </c>
      <c r="R23" s="667" t="s">
        <v>14</v>
      </c>
      <c r="S23" s="668">
        <f>F23</f>
        <v>100</v>
      </c>
      <c r="T23" s="667" t="s">
        <v>14</v>
      </c>
      <c r="U23" s="668">
        <f>H23</f>
        <v>100</v>
      </c>
      <c r="V23" s="667" t="s">
        <v>14</v>
      </c>
      <c r="W23" s="668">
        <f>J23</f>
        <v>100</v>
      </c>
      <c r="X23" s="1265"/>
      <c r="Y23" s="3440"/>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0"/>
      <c r="M24" s="2485"/>
      <c r="N24" s="2485"/>
      <c r="O24" s="2485"/>
      <c r="P24" s="3447"/>
      <c r="Q24" s="1263"/>
      <c r="R24" s="667"/>
      <c r="S24" s="668"/>
      <c r="T24" s="667"/>
      <c r="U24" s="668"/>
      <c r="V24" s="667"/>
      <c r="W24" s="668"/>
      <c r="X24" s="1265"/>
      <c r="Y24" s="3440"/>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0"/>
      <c r="M25" s="2485"/>
      <c r="N25" s="2485"/>
      <c r="O25" s="2485"/>
      <c r="P25" s="3447"/>
      <c r="Q25" s="1263" t="str">
        <f>B25</f>
        <v>毗邻道路的类型与等级</v>
      </c>
      <c r="R25" s="667" t="s">
        <v>14</v>
      </c>
      <c r="S25" s="668">
        <f>F25</f>
        <v>100</v>
      </c>
      <c r="T25" s="667" t="s">
        <v>14</v>
      </c>
      <c r="U25" s="668">
        <f>H25</f>
        <v>100</v>
      </c>
      <c r="V25" s="667" t="s">
        <v>14</v>
      </c>
      <c r="W25" s="668">
        <f>J25</f>
        <v>100</v>
      </c>
      <c r="X25" s="1265"/>
      <c r="Y25" s="3440"/>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0"/>
      <c r="M26" s="2485"/>
      <c r="N26" s="2485"/>
      <c r="O26" s="2485"/>
      <c r="P26" s="3447"/>
      <c r="Q26" s="1263"/>
      <c r="R26" s="667"/>
      <c r="S26" s="668"/>
      <c r="T26" s="667"/>
      <c r="U26" s="668"/>
      <c r="V26" s="667"/>
      <c r="W26" s="668"/>
      <c r="X26" s="1265"/>
      <c r="Y26" s="3440"/>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447"/>
      <c r="Q27" s="1263" t="str">
        <f t="shared" ref="Q27:Q47" si="11">B27</f>
        <v>楼层</v>
      </c>
      <c r="R27" s="667" t="s">
        <v>14</v>
      </c>
      <c r="S27" s="668">
        <f>F27</f>
        <v>100</v>
      </c>
      <c r="T27" s="667" t="s">
        <v>14</v>
      </c>
      <c r="U27" s="668">
        <f>H27</f>
        <v>100</v>
      </c>
      <c r="V27" s="667" t="s">
        <v>14</v>
      </c>
      <c r="W27" s="668">
        <f>J27</f>
        <v>100</v>
      </c>
      <c r="X27" s="1265"/>
      <c r="Y27" s="3440"/>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447"/>
      <c r="Q28" s="530" t="str">
        <f t="shared" si="11"/>
        <v>朝向</v>
      </c>
      <c r="R28" s="664" t="s">
        <v>14</v>
      </c>
      <c r="S28" s="665">
        <f>F28</f>
        <v>100</v>
      </c>
      <c r="T28" s="664" t="s">
        <v>14</v>
      </c>
      <c r="U28" s="665">
        <f>H28</f>
        <v>100</v>
      </c>
      <c r="V28" s="664" t="s">
        <v>14</v>
      </c>
      <c r="W28" s="665">
        <f>J28</f>
        <v>100</v>
      </c>
      <c r="X28" s="666"/>
      <c r="Y28" s="3440"/>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447"/>
      <c r="Q29" s="1263">
        <f t="shared" si="11"/>
        <v>111</v>
      </c>
      <c r="R29" s="667" t="s">
        <v>14</v>
      </c>
      <c r="S29" s="668">
        <f t="shared" ref="S29:S47" si="12">F29</f>
        <v>100</v>
      </c>
      <c r="T29" s="667" t="s">
        <v>14</v>
      </c>
      <c r="U29" s="668">
        <f t="shared" ref="U29:U47" si="13">H29</f>
        <v>100</v>
      </c>
      <c r="V29" s="667" t="s">
        <v>14</v>
      </c>
      <c r="W29" s="668">
        <f t="shared" ref="W29:W47" si="14">J29</f>
        <v>100</v>
      </c>
      <c r="X29" s="1265"/>
      <c r="Y29" s="3440"/>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447"/>
      <c r="Q30" s="1263">
        <f t="shared" si="11"/>
        <v>111</v>
      </c>
      <c r="R30" s="667" t="s">
        <v>14</v>
      </c>
      <c r="S30" s="668">
        <f t="shared" si="12"/>
        <v>100</v>
      </c>
      <c r="T30" s="667" t="s">
        <v>14</v>
      </c>
      <c r="U30" s="668">
        <f t="shared" si="13"/>
        <v>100</v>
      </c>
      <c r="V30" s="667" t="s">
        <v>14</v>
      </c>
      <c r="W30" s="668">
        <f t="shared" si="14"/>
        <v>100</v>
      </c>
      <c r="X30" s="1265"/>
      <c r="Y30" s="3440"/>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447"/>
      <c r="Q31" s="1263">
        <f t="shared" si="11"/>
        <v>111</v>
      </c>
      <c r="R31" s="667" t="s">
        <v>14</v>
      </c>
      <c r="S31" s="668">
        <f t="shared" si="12"/>
        <v>100</v>
      </c>
      <c r="T31" s="667" t="s">
        <v>14</v>
      </c>
      <c r="U31" s="668">
        <f t="shared" si="13"/>
        <v>100</v>
      </c>
      <c r="V31" s="667" t="s">
        <v>14</v>
      </c>
      <c r="W31" s="668">
        <f t="shared" si="14"/>
        <v>100</v>
      </c>
      <c r="X31" s="1265"/>
      <c r="Y31" s="3440"/>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447"/>
      <c r="Q32" s="1263">
        <f t="shared" si="11"/>
        <v>111</v>
      </c>
      <c r="R32" s="667" t="s">
        <v>14</v>
      </c>
      <c r="S32" s="668">
        <f t="shared" si="12"/>
        <v>100</v>
      </c>
      <c r="T32" s="667" t="s">
        <v>14</v>
      </c>
      <c r="U32" s="668">
        <f t="shared" si="13"/>
        <v>100</v>
      </c>
      <c r="V32" s="667" t="s">
        <v>14</v>
      </c>
      <c r="W32" s="668">
        <f t="shared" si="14"/>
        <v>100</v>
      </c>
      <c r="X32" s="1265"/>
      <c r="Y32" s="3440"/>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0"/>
      <c r="M33" s="2485"/>
      <c r="N33" s="2485"/>
      <c r="O33" s="2485"/>
      <c r="P33" s="3441" t="s">
        <v>1696</v>
      </c>
      <c r="Q33" s="1263" t="str">
        <f t="shared" si="11"/>
        <v>建筑类型</v>
      </c>
      <c r="R33" s="667" t="s">
        <v>14</v>
      </c>
      <c r="S33" s="668">
        <f t="shared" si="12"/>
        <v>100</v>
      </c>
      <c r="T33" s="667" t="s">
        <v>14</v>
      </c>
      <c r="U33" s="668">
        <f t="shared" si="13"/>
        <v>100</v>
      </c>
      <c r="V33" s="667" t="s">
        <v>14</v>
      </c>
      <c r="W33" s="668">
        <f t="shared" si="14"/>
        <v>100</v>
      </c>
      <c r="X33" s="1265"/>
      <c r="Y33" s="3444"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442"/>
      <c r="Q34" s="531" t="str">
        <f t="shared" si="11"/>
        <v>项目建筑规模</v>
      </c>
      <c r="R34" s="669" t="s">
        <v>14</v>
      </c>
      <c r="S34" s="670" t="e">
        <f t="shared" si="12"/>
        <v>#N/A</v>
      </c>
      <c r="T34" s="669" t="s">
        <v>14</v>
      </c>
      <c r="U34" s="670" t="e">
        <f t="shared" si="13"/>
        <v>#N/A</v>
      </c>
      <c r="V34" s="669" t="s">
        <v>14</v>
      </c>
      <c r="W34" s="670" t="e">
        <f t="shared" si="14"/>
        <v>#N/A</v>
      </c>
      <c r="X34" s="671"/>
      <c r="Y34" s="3444"/>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442"/>
      <c r="Q35" s="1263" t="str">
        <f t="shared" si="11"/>
        <v>建筑结构</v>
      </c>
      <c r="R35" s="667" t="s">
        <v>14</v>
      </c>
      <c r="S35" s="668">
        <f t="shared" si="12"/>
        <v>100</v>
      </c>
      <c r="T35" s="667" t="s">
        <v>14</v>
      </c>
      <c r="U35" s="668">
        <f t="shared" si="13"/>
        <v>100</v>
      </c>
      <c r="V35" s="667" t="s">
        <v>14</v>
      </c>
      <c r="W35" s="668">
        <f t="shared" si="14"/>
        <v>100</v>
      </c>
      <c r="X35" s="1265"/>
      <c r="Y35" s="3444"/>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442"/>
      <c r="Q36" s="1263" t="str">
        <f t="shared" si="11"/>
        <v>公共部分装修</v>
      </c>
      <c r="R36" s="667" t="s">
        <v>14</v>
      </c>
      <c r="S36" s="668">
        <f t="shared" si="12"/>
        <v>100</v>
      </c>
      <c r="T36" s="667" t="s">
        <v>14</v>
      </c>
      <c r="U36" s="668">
        <f t="shared" si="13"/>
        <v>100</v>
      </c>
      <c r="V36" s="667" t="s">
        <v>14</v>
      </c>
      <c r="W36" s="668">
        <f t="shared" si="14"/>
        <v>100</v>
      </c>
      <c r="X36" s="1265"/>
      <c r="Y36" s="3444"/>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442"/>
      <c r="Q37" s="1263" t="str">
        <f t="shared" si="11"/>
        <v>成新度</v>
      </c>
      <c r="R37" s="667" t="s">
        <v>14</v>
      </c>
      <c r="S37" s="668" t="e">
        <f t="shared" si="12"/>
        <v>#N/A</v>
      </c>
      <c r="T37" s="667" t="s">
        <v>14</v>
      </c>
      <c r="U37" s="668" t="e">
        <f t="shared" si="13"/>
        <v>#N/A</v>
      </c>
      <c r="V37" s="667" t="s">
        <v>14</v>
      </c>
      <c r="W37" s="668" t="e">
        <f t="shared" si="14"/>
        <v>#N/A</v>
      </c>
      <c r="X37" s="1265"/>
      <c r="Y37" s="3444"/>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8"/>
      <c r="N38" s="2438"/>
      <c r="O38" s="2438"/>
      <c r="P38" s="3442"/>
      <c r="Q38" s="530" t="str">
        <f t="shared" si="11"/>
        <v>写字楼等级</v>
      </c>
      <c r="R38" s="664" t="s">
        <v>14</v>
      </c>
      <c r="S38" s="665">
        <f t="shared" si="12"/>
        <v>100</v>
      </c>
      <c r="T38" s="664" t="s">
        <v>14</v>
      </c>
      <c r="U38" s="665">
        <f t="shared" si="13"/>
        <v>100</v>
      </c>
      <c r="V38" s="664" t="s">
        <v>14</v>
      </c>
      <c r="W38" s="665">
        <f t="shared" si="14"/>
        <v>100</v>
      </c>
      <c r="X38" s="666"/>
      <c r="Y38" s="3444"/>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442" t="s">
        <v>1696</v>
      </c>
      <c r="Q39" s="1263" t="str">
        <f t="shared" si="11"/>
        <v>物业管理</v>
      </c>
      <c r="R39" s="667" t="s">
        <v>14</v>
      </c>
      <c r="S39" s="668">
        <f t="shared" si="12"/>
        <v>100</v>
      </c>
      <c r="T39" s="667" t="s">
        <v>14</v>
      </c>
      <c r="U39" s="668">
        <f t="shared" si="13"/>
        <v>100</v>
      </c>
      <c r="V39" s="667" t="s">
        <v>14</v>
      </c>
      <c r="W39" s="668">
        <f t="shared" si="14"/>
        <v>100</v>
      </c>
      <c r="X39" s="1265"/>
      <c r="Y39" s="3444"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442"/>
      <c r="Q40" s="1263" t="str">
        <f t="shared" si="11"/>
        <v>市政基础设施</v>
      </c>
      <c r="R40" s="667" t="s">
        <v>14</v>
      </c>
      <c r="S40" s="668">
        <f t="shared" si="12"/>
        <v>100</v>
      </c>
      <c r="T40" s="667" t="s">
        <v>14</v>
      </c>
      <c r="U40" s="668">
        <f t="shared" si="13"/>
        <v>100</v>
      </c>
      <c r="V40" s="667" t="s">
        <v>14</v>
      </c>
      <c r="W40" s="668">
        <f t="shared" si="14"/>
        <v>100</v>
      </c>
      <c r="X40" s="1265"/>
      <c r="Y40" s="3444"/>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442"/>
      <c r="Q41" s="1263" t="str">
        <f t="shared" si="11"/>
        <v>层高</v>
      </c>
      <c r="R41" s="667" t="s">
        <v>14</v>
      </c>
      <c r="S41" s="668">
        <f t="shared" si="12"/>
        <v>100</v>
      </c>
      <c r="T41" s="667" t="s">
        <v>14</v>
      </c>
      <c r="U41" s="668">
        <f t="shared" si="13"/>
        <v>100</v>
      </c>
      <c r="V41" s="667" t="s">
        <v>14</v>
      </c>
      <c r="W41" s="668">
        <f t="shared" si="14"/>
        <v>100</v>
      </c>
      <c r="X41" s="1265"/>
      <c r="Y41" s="3444"/>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42"/>
      <c r="Q42" s="531" t="str">
        <f t="shared" si="11"/>
        <v>单套建筑面积</v>
      </c>
      <c r="R42" s="669" t="s">
        <v>14</v>
      </c>
      <c r="S42" s="670">
        <f t="shared" si="12"/>
        <v>100</v>
      </c>
      <c r="T42" s="669" t="s">
        <v>14</v>
      </c>
      <c r="U42" s="670">
        <f t="shared" si="13"/>
        <v>100</v>
      </c>
      <c r="V42" s="669" t="s">
        <v>14</v>
      </c>
      <c r="W42" s="670">
        <f t="shared" si="14"/>
        <v>100</v>
      </c>
      <c r="X42" s="671"/>
      <c r="Y42" s="3444"/>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442"/>
      <c r="Q43" s="1263" t="str">
        <f t="shared" si="11"/>
        <v>内部装修</v>
      </c>
      <c r="R43" s="667" t="s">
        <v>14</v>
      </c>
      <c r="S43" s="668">
        <f t="shared" si="12"/>
        <v>100</v>
      </c>
      <c r="T43" s="667" t="s">
        <v>14</v>
      </c>
      <c r="U43" s="668">
        <f t="shared" si="13"/>
        <v>100</v>
      </c>
      <c r="V43" s="667" t="s">
        <v>14</v>
      </c>
      <c r="W43" s="668">
        <f t="shared" si="14"/>
        <v>100</v>
      </c>
      <c r="X43" s="1265"/>
      <c r="Y43" s="3444"/>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0"/>
      <c r="M44" s="2485"/>
      <c r="N44" s="2485"/>
      <c r="O44" s="2485"/>
      <c r="P44" s="3442"/>
      <c r="Q44" s="1263" t="str">
        <f t="shared" si="11"/>
        <v>内部装修维护情况</v>
      </c>
      <c r="R44" s="667" t="s">
        <v>14</v>
      </c>
      <c r="S44" s="668">
        <f t="shared" si="12"/>
        <v>100</v>
      </c>
      <c r="T44" s="667" t="s">
        <v>14</v>
      </c>
      <c r="U44" s="668">
        <f t="shared" si="13"/>
        <v>100</v>
      </c>
      <c r="V44" s="667" t="s">
        <v>14</v>
      </c>
      <c r="W44" s="668">
        <f t="shared" si="14"/>
        <v>100</v>
      </c>
      <c r="X44" s="1265"/>
      <c r="Y44" s="3444"/>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442"/>
      <c r="Q45" s="530">
        <f t="shared" si="11"/>
        <v>111</v>
      </c>
      <c r="R45" s="664" t="s">
        <v>14</v>
      </c>
      <c r="S45" s="665">
        <f t="shared" si="12"/>
        <v>100</v>
      </c>
      <c r="T45" s="664" t="s">
        <v>14</v>
      </c>
      <c r="U45" s="665">
        <f t="shared" si="13"/>
        <v>100</v>
      </c>
      <c r="V45" s="664" t="s">
        <v>14</v>
      </c>
      <c r="W45" s="665">
        <f t="shared" si="14"/>
        <v>100</v>
      </c>
      <c r="X45" s="666"/>
      <c r="Y45" s="3444"/>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42"/>
      <c r="Q46" s="1263">
        <f t="shared" si="11"/>
        <v>111</v>
      </c>
      <c r="R46" s="667" t="s">
        <v>14</v>
      </c>
      <c r="S46" s="668">
        <f t="shared" si="12"/>
        <v>100</v>
      </c>
      <c r="T46" s="667" t="s">
        <v>14</v>
      </c>
      <c r="U46" s="668">
        <f t="shared" si="13"/>
        <v>100</v>
      </c>
      <c r="V46" s="667" t="s">
        <v>14</v>
      </c>
      <c r="W46" s="668">
        <f t="shared" si="14"/>
        <v>100</v>
      </c>
      <c r="X46" s="1265"/>
      <c r="Y46" s="3444"/>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43"/>
      <c r="Q47" s="1263">
        <f t="shared" si="11"/>
        <v>111</v>
      </c>
      <c r="R47" s="667" t="s">
        <v>14</v>
      </c>
      <c r="S47" s="668">
        <f t="shared" si="12"/>
        <v>100</v>
      </c>
      <c r="T47" s="667" t="s">
        <v>14</v>
      </c>
      <c r="U47" s="668">
        <f t="shared" si="13"/>
        <v>100</v>
      </c>
      <c r="V47" s="667" t="s">
        <v>14</v>
      </c>
      <c r="W47" s="668">
        <f t="shared" si="14"/>
        <v>100</v>
      </c>
      <c r="X47" s="1265"/>
      <c r="Y47" s="3445"/>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2"/>
      <c r="M48" s="2485"/>
      <c r="N48" s="2485"/>
      <c r="O48" s="2485"/>
      <c r="P48" s="3420" t="str">
        <f>A48</f>
        <v>成交单价（元/平方米）</v>
      </c>
      <c r="Q48" s="3438"/>
      <c r="R48" s="3433">
        <f>E48</f>
        <v>0</v>
      </c>
      <c r="S48" s="3433"/>
      <c r="T48" s="3433">
        <f>G48</f>
        <v>0</v>
      </c>
      <c r="U48" s="3433"/>
      <c r="V48" s="3433">
        <f>I48</f>
        <v>0</v>
      </c>
      <c r="W48" s="3433"/>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2"/>
      <c r="M49" s="2485"/>
      <c r="N49" s="2485"/>
      <c r="O49" s="2485"/>
      <c r="P49" s="3420" t="str">
        <f>A49</f>
        <v>比较价值（元/平方米）</v>
      </c>
      <c r="Q49" s="3438"/>
      <c r="R49" s="3433" t="e">
        <f>IF(F1="售价",ROUND(PRODUCT(R48,AA7:AA47),0),ROUND(PRODUCT(R48,AA7:AA47),1))</f>
        <v>#DIV/0!</v>
      </c>
      <c r="S49" s="3433"/>
      <c r="T49" s="3433" t="e">
        <f>IF(F1="售价",ROUND(PRODUCT(T48,AB7:AB47),0),ROUND(PRODUCT(T48,AB7:AB47),1))</f>
        <v>#DIV/0!</v>
      </c>
      <c r="U49" s="3433"/>
      <c r="V49" s="3433" t="e">
        <f>IF(F1="售价",ROUND(PRODUCT(V48,AC7:AC47),0),ROUND(PRODUCT(V48,AC7:AC47),1))</f>
        <v>#DIV/0!</v>
      </c>
      <c r="W49" s="3433"/>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2"/>
      <c r="M50" s="2485"/>
      <c r="N50" s="2485"/>
      <c r="O50" s="2485"/>
      <c r="P50" s="3460" t="str">
        <f>A50</f>
        <v>估价对象XX用房的比较价值（楼面单价，元/平方米）</v>
      </c>
      <c r="Q50" s="3461"/>
      <c r="R50" s="3462" t="e">
        <f>IF(F1="售价",ROUND(IF(D49="简单平均",AVERAGE(R49:V49),R49*F49+T49*H49+V49*J49),0),ROUND(IF(D49="简单平均",AVERAGE(R49:V49),R49*F49+T49*H49+V49*J49),1))</f>
        <v>#DIV/0!</v>
      </c>
      <c r="S50" s="3462"/>
      <c r="T50" s="3462"/>
      <c r="U50" s="3462"/>
      <c r="V50" s="3462"/>
      <c r="W50" s="3462"/>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4.4">
      <c r="A59" s="440" t="s">
        <v>1679</v>
      </c>
      <c r="B59" s="441"/>
      <c r="C59" s="1103" t="str">
        <f>YEAR(C7)&amp;"-"&amp;MONTH(C7)</f>
        <v>2025-4</v>
      </c>
      <c r="D59" s="1104">
        <f>EDATE(C59,-1)</f>
        <v>45717</v>
      </c>
      <c r="E59" s="1104">
        <f>EDATE(D59,-1)</f>
        <v>45689</v>
      </c>
      <c r="F59" s="1104">
        <f t="shared" ref="F59:O59" si="16">EDATE(E59,-1)</f>
        <v>45658</v>
      </c>
      <c r="G59" s="1104">
        <f t="shared" si="16"/>
        <v>45627</v>
      </c>
      <c r="H59" s="1104">
        <f t="shared" si="16"/>
        <v>45597</v>
      </c>
      <c r="I59" s="1104">
        <f t="shared" si="16"/>
        <v>45566</v>
      </c>
      <c r="J59" s="1104">
        <f t="shared" si="16"/>
        <v>45536</v>
      </c>
      <c r="K59" s="1104">
        <f t="shared" si="16"/>
        <v>45505</v>
      </c>
      <c r="L59" s="1104">
        <f t="shared" si="16"/>
        <v>45474</v>
      </c>
      <c r="M59" s="1104">
        <f t="shared" si="16"/>
        <v>45444</v>
      </c>
      <c r="N59" s="1104">
        <f t="shared" si="16"/>
        <v>45413</v>
      </c>
      <c r="O59" s="1104">
        <f t="shared" si="16"/>
        <v>45383</v>
      </c>
      <c r="P59" s="2525"/>
      <c r="Q59" s="2508"/>
      <c r="R59" s="2508"/>
      <c r="S59" s="2508"/>
      <c r="T59" s="2508"/>
      <c r="U59" s="2508"/>
      <c r="V59" s="2508"/>
      <c r="W59" s="2508"/>
      <c r="X59" s="2508"/>
      <c r="Y59" s="2508"/>
      <c r="Z59" s="2508"/>
      <c r="AA59" s="2508"/>
      <c r="AB59" s="2508"/>
      <c r="AC59" s="2508"/>
    </row>
    <row r="60" spans="1:29" s="102" customFormat="1">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4.4">
      <c r="A62" s="455" t="s">
        <v>1681</v>
      </c>
      <c r="B62" s="444"/>
      <c r="C62" s="456" t="s">
        <v>1776</v>
      </c>
      <c r="D62" s="31"/>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4" thickBot="1">
      <c r="A63" s="455"/>
      <c r="B63" s="444"/>
      <c r="C63" s="445">
        <v>100</v>
      </c>
      <c r="D63" s="446"/>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ht="14.4">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4"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9.4"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4"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4.4"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4"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4"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4"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4"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4"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ht="14.4">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9.4" thickTop="1">
      <c r="A87" s="370"/>
      <c r="B87" s="469" t="s">
        <v>1823</v>
      </c>
      <c r="C87" s="485"/>
      <c r="D87" s="485"/>
      <c r="E87" s="485"/>
      <c r="F87" s="485"/>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8"/>
      <c r="S88" s="2438"/>
      <c r="T88" s="2438"/>
      <c r="U88" s="2438"/>
      <c r="V88" s="2438"/>
      <c r="W88" s="2438"/>
      <c r="X88" s="2438"/>
      <c r="Y88" s="2438"/>
      <c r="Z88" s="2438"/>
      <c r="AA88" s="2438"/>
      <c r="AB88" s="2438"/>
      <c r="AC88" s="2438"/>
    </row>
    <row r="89" spans="1:29" s="102" customFormat="1" ht="14.4" thickTop="1">
      <c r="A89" s="370"/>
      <c r="B89" s="469" t="str">
        <f>B27</f>
        <v>楼层</v>
      </c>
      <c r="C89" s="485"/>
      <c r="D89" s="485"/>
      <c r="E89" s="485"/>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4.4"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4"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4"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4"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4"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4"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ht="14.4">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4"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4"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4"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4"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4"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4"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4"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4"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F7:F47 H7:H47 J7:J47">
    <cfRule type="cellIs" dxfId="94" priority="1" operator="notEqual">
      <formula>100</formula>
    </cfRule>
  </conditionalFormatting>
  <conditionalFormatting sqref="F49">
    <cfRule type="expression" dxfId="93" priority="4">
      <formula>$D$49="简单平均"</formula>
    </cfRule>
  </conditionalFormatting>
  <conditionalFormatting sqref="F53:F55 H53:H55">
    <cfRule type="containsText" dxfId="92" priority="17" stopIfTrue="1" operator="containsText" text="超过">
      <formula>NOT(ISERROR(SEARCH("超过",F53)))</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G55">
    <cfRule type="expression" dxfId="89" priority="13" stopIfTrue="1">
      <formula>$H$55="超过30%"</formula>
    </cfRule>
  </conditionalFormatting>
  <conditionalFormatting sqref="H49">
    <cfRule type="expression" dxfId="88" priority="3">
      <formula>$D$49="简单平均"</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J49">
    <cfRule type="expression" dxfId="84" priority="2">
      <formula>$D$49="简单平均"</formula>
    </cfRule>
  </conditionalFormatting>
  <conditionalFormatting sqref="J53:J55">
    <cfRule type="containsText" dxfId="83"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2170.1999999999998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421" t="s">
        <v>1770</v>
      </c>
      <c r="D4" s="3422"/>
      <c r="E4" s="3423" t="s">
        <v>1771</v>
      </c>
      <c r="F4" s="3424"/>
      <c r="G4" s="3421" t="s">
        <v>1772</v>
      </c>
      <c r="H4" s="3422"/>
      <c r="I4" s="3421" t="s">
        <v>1773</v>
      </c>
      <c r="J4" s="3422"/>
      <c r="K4" s="537" t="s">
        <v>1774</v>
      </c>
      <c r="L4" s="860"/>
      <c r="M4" s="861"/>
      <c r="N4" s="861"/>
      <c r="O4" s="861"/>
      <c r="P4" s="3425" t="s">
        <v>1775</v>
      </c>
      <c r="Q4" s="3426"/>
      <c r="R4" s="3408" t="s">
        <v>1771</v>
      </c>
      <c r="S4" s="3409"/>
      <c r="T4" s="3408" t="s">
        <v>1772</v>
      </c>
      <c r="U4" s="3409"/>
      <c r="V4" s="3433" t="s">
        <v>1773</v>
      </c>
      <c r="W4" s="3433"/>
      <c r="X4" s="1265"/>
      <c r="Y4" s="3408" t="s">
        <v>1775</v>
      </c>
      <c r="Z4" s="3409"/>
      <c r="AA4" s="3403" t="s">
        <v>1771</v>
      </c>
      <c r="AB4" s="3404" t="s">
        <v>1772</v>
      </c>
      <c r="AC4" s="3403" t="s">
        <v>1773</v>
      </c>
    </row>
    <row r="5" spans="1:29">
      <c r="A5" s="348"/>
      <c r="B5" s="349"/>
      <c r="C5" s="3414" t="s">
        <v>1673</v>
      </c>
      <c r="D5" s="3415"/>
      <c r="E5" s="3412" t="s">
        <v>1674</v>
      </c>
      <c r="F5" s="3413"/>
      <c r="G5" s="3414" t="s">
        <v>1675</v>
      </c>
      <c r="H5" s="3415"/>
      <c r="I5" s="3414" t="s">
        <v>1676</v>
      </c>
      <c r="J5" s="3415"/>
      <c r="K5" s="537"/>
      <c r="L5" s="860"/>
      <c r="M5" s="861"/>
      <c r="N5" s="861"/>
      <c r="O5" s="861"/>
      <c r="P5" s="3427"/>
      <c r="Q5" s="3428"/>
      <c r="R5" s="3410"/>
      <c r="S5" s="3411"/>
      <c r="T5" s="3410"/>
      <c r="U5" s="3411"/>
      <c r="V5" s="3433"/>
      <c r="W5" s="3433"/>
      <c r="X5" s="1265"/>
      <c r="Y5" s="3410"/>
      <c r="Z5" s="3411"/>
      <c r="AA5" s="3404"/>
      <c r="AB5" s="3404"/>
      <c r="AC5" s="3404"/>
    </row>
    <row r="6" spans="1:29" ht="15" thickBot="1">
      <c r="A6" s="350"/>
      <c r="B6" s="351"/>
      <c r="C6" s="3416" t="s">
        <v>1677</v>
      </c>
      <c r="D6" s="3417"/>
      <c r="E6" s="3418" t="s">
        <v>1677</v>
      </c>
      <c r="F6" s="3419"/>
      <c r="G6" s="3416" t="s">
        <v>1677</v>
      </c>
      <c r="H6" s="3417"/>
      <c r="I6" s="3416" t="s">
        <v>1677</v>
      </c>
      <c r="J6" s="3417"/>
      <c r="K6" s="537" t="s">
        <v>1678</v>
      </c>
      <c r="L6" s="860"/>
      <c r="M6" s="861"/>
      <c r="N6" s="861"/>
      <c r="O6" s="861"/>
      <c r="P6" s="3429"/>
      <c r="Q6" s="3430"/>
      <c r="R6" s="3410"/>
      <c r="S6" s="3411"/>
      <c r="T6" s="3431"/>
      <c r="U6" s="3432"/>
      <c r="V6" s="3433"/>
      <c r="W6" s="3433"/>
      <c r="X6" s="1265"/>
      <c r="Y6" s="3431"/>
      <c r="Z6" s="3432"/>
      <c r="AA6" s="3405"/>
      <c r="AB6" s="3405"/>
      <c r="AC6" s="3405"/>
    </row>
    <row r="7" spans="1:29" s="102" customFormat="1" ht="15" thickBot="1">
      <c r="A7" s="352" t="s">
        <v>1679</v>
      </c>
      <c r="B7" s="353"/>
      <c r="C7" s="354">
        <f>'数据-取费表'!B2</f>
        <v>45772</v>
      </c>
      <c r="D7" s="355">
        <v>100</v>
      </c>
      <c r="E7" s="356"/>
      <c r="F7" s="357">
        <f>SUMIF(52:52,YEAR(E7)&amp;"-"&amp;MONTH(E7),53:53)</f>
        <v>0</v>
      </c>
      <c r="G7" s="356"/>
      <c r="H7" s="355">
        <f>SUMIF(52:52,YEAR(G7)&amp;"-"&amp;MONTH(G7),53:53)</f>
        <v>0</v>
      </c>
      <c r="I7" s="356"/>
      <c r="J7" s="355">
        <f>SUMIF(52:52,YEAR(I7)&amp;"-"&amp;MONTH(I7),53:53)</f>
        <v>0</v>
      </c>
      <c r="K7" s="38"/>
      <c r="L7" s="862"/>
      <c r="M7" s="863"/>
      <c r="N7" s="863"/>
      <c r="O7" s="863"/>
      <c r="P7" s="3406" t="s">
        <v>1680</v>
      </c>
      <c r="Q7" s="3434"/>
      <c r="R7" s="664" t="s">
        <v>14</v>
      </c>
      <c r="S7" s="665">
        <f t="shared" ref="S7:S15" si="0">F7</f>
        <v>0</v>
      </c>
      <c r="T7" s="664" t="s">
        <v>14</v>
      </c>
      <c r="U7" s="665">
        <f t="shared" ref="U7:U15" si="1">H7</f>
        <v>0</v>
      </c>
      <c r="V7" s="664" t="s">
        <v>14</v>
      </c>
      <c r="W7" s="665">
        <f t="shared" ref="W7:W15" si="2">J7</f>
        <v>0</v>
      </c>
      <c r="X7" s="666"/>
      <c r="Y7" s="3406" t="s">
        <v>1680</v>
      </c>
      <c r="Z7" s="3407"/>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6" t="s">
        <v>1683</v>
      </c>
      <c r="Q8" s="3407"/>
      <c r="R8" s="664" t="s">
        <v>14</v>
      </c>
      <c r="S8" s="665">
        <f t="shared" si="0"/>
        <v>100</v>
      </c>
      <c r="T8" s="664" t="s">
        <v>14</v>
      </c>
      <c r="U8" s="665">
        <f t="shared" si="1"/>
        <v>100</v>
      </c>
      <c r="V8" s="664" t="s">
        <v>14</v>
      </c>
      <c r="W8" s="665">
        <f t="shared" si="2"/>
        <v>100</v>
      </c>
      <c r="X8" s="666"/>
      <c r="Y8" s="3406" t="s">
        <v>1683</v>
      </c>
      <c r="Z8" s="3407"/>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38" t="s">
        <v>1686</v>
      </c>
      <c r="Q9" s="530" t="str">
        <f t="shared" ref="Q9:Q15" si="6">B9</f>
        <v>用途</v>
      </c>
      <c r="R9" s="664" t="s">
        <v>14</v>
      </c>
      <c r="S9" s="665">
        <f t="shared" si="0"/>
        <v>100</v>
      </c>
      <c r="T9" s="664" t="s">
        <v>14</v>
      </c>
      <c r="U9" s="665">
        <f t="shared" si="1"/>
        <v>100</v>
      </c>
      <c r="V9" s="664" t="s">
        <v>14</v>
      </c>
      <c r="W9" s="665">
        <f t="shared" si="2"/>
        <v>100</v>
      </c>
      <c r="X9" s="666"/>
      <c r="Y9" s="3331"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438"/>
      <c r="Q10" s="530" t="str">
        <f t="shared" si="6"/>
        <v>土地使用年限（年）</v>
      </c>
      <c r="R10" s="664" t="s">
        <v>14</v>
      </c>
      <c r="S10" s="665">
        <f t="shared" si="0"/>
        <v>100</v>
      </c>
      <c r="T10" s="664" t="s">
        <v>14</v>
      </c>
      <c r="U10" s="665">
        <f t="shared" si="1"/>
        <v>100</v>
      </c>
      <c r="V10" s="664" t="s">
        <v>14</v>
      </c>
      <c r="W10" s="665">
        <f t="shared" si="2"/>
        <v>100</v>
      </c>
      <c r="X10" s="666"/>
      <c r="Y10" s="333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38"/>
      <c r="Q11" s="530" t="str">
        <f t="shared" si="6"/>
        <v>容积率</v>
      </c>
      <c r="R11" s="664" t="s">
        <v>14</v>
      </c>
      <c r="S11" s="665">
        <f t="shared" si="0"/>
        <v>100</v>
      </c>
      <c r="T11" s="664" t="s">
        <v>14</v>
      </c>
      <c r="U11" s="665">
        <f t="shared" si="1"/>
        <v>100</v>
      </c>
      <c r="V11" s="664" t="s">
        <v>14</v>
      </c>
      <c r="W11" s="665">
        <f t="shared" si="2"/>
        <v>100</v>
      </c>
      <c r="X11" s="666"/>
      <c r="Y11" s="333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38"/>
      <c r="Q12" s="530">
        <f t="shared" si="6"/>
        <v>111</v>
      </c>
      <c r="R12" s="664" t="s">
        <v>14</v>
      </c>
      <c r="S12" s="665">
        <f t="shared" si="0"/>
        <v>100</v>
      </c>
      <c r="T12" s="664" t="s">
        <v>14</v>
      </c>
      <c r="U12" s="665">
        <f t="shared" si="1"/>
        <v>100</v>
      </c>
      <c r="V12" s="664" t="s">
        <v>14</v>
      </c>
      <c r="W12" s="665">
        <f t="shared" si="2"/>
        <v>100</v>
      </c>
      <c r="X12" s="666"/>
      <c r="Y12" s="333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38"/>
      <c r="Q13" s="530">
        <f t="shared" si="6"/>
        <v>111</v>
      </c>
      <c r="R13" s="664" t="s">
        <v>14</v>
      </c>
      <c r="S13" s="665">
        <f t="shared" si="0"/>
        <v>100</v>
      </c>
      <c r="T13" s="664" t="s">
        <v>14</v>
      </c>
      <c r="U13" s="665">
        <f t="shared" si="1"/>
        <v>100</v>
      </c>
      <c r="V13" s="664" t="s">
        <v>14</v>
      </c>
      <c r="W13" s="665">
        <f t="shared" si="2"/>
        <v>100</v>
      </c>
      <c r="X13" s="666"/>
      <c r="Y13" s="3331"/>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38"/>
      <c r="Q14" s="530">
        <f t="shared" si="6"/>
        <v>111</v>
      </c>
      <c r="R14" s="664" t="s">
        <v>14</v>
      </c>
      <c r="S14" s="665">
        <f t="shared" si="0"/>
        <v>100</v>
      </c>
      <c r="T14" s="664" t="s">
        <v>14</v>
      </c>
      <c r="U14" s="665">
        <f t="shared" si="1"/>
        <v>100</v>
      </c>
      <c r="V14" s="664" t="s">
        <v>14</v>
      </c>
      <c r="W14" s="665">
        <f t="shared" si="2"/>
        <v>100</v>
      </c>
      <c r="X14" s="666"/>
      <c r="Y14" s="3331"/>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39" t="s">
        <v>1691</v>
      </c>
      <c r="Q15" s="1263" t="str">
        <f t="shared" si="6"/>
        <v>产业集聚程度</v>
      </c>
      <c r="R15" s="667" t="s">
        <v>14</v>
      </c>
      <c r="S15" s="668">
        <f t="shared" si="0"/>
        <v>100</v>
      </c>
      <c r="T15" s="667" t="s">
        <v>14</v>
      </c>
      <c r="U15" s="668">
        <f t="shared" si="1"/>
        <v>100</v>
      </c>
      <c r="V15" s="667" t="s">
        <v>14</v>
      </c>
      <c r="W15" s="668">
        <f t="shared" si="2"/>
        <v>100</v>
      </c>
      <c r="X15" s="1265"/>
      <c r="Y15" s="3439"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40"/>
      <c r="Q16" s="1263"/>
      <c r="R16" s="667"/>
      <c r="S16" s="668"/>
      <c r="T16" s="667"/>
      <c r="U16" s="668"/>
      <c r="V16" s="667"/>
      <c r="W16" s="668"/>
      <c r="X16" s="1265"/>
      <c r="Y16" s="3440"/>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40"/>
      <c r="Q17" s="1263" t="str">
        <f>B17</f>
        <v>交通便捷度</v>
      </c>
      <c r="R17" s="667" t="s">
        <v>14</v>
      </c>
      <c r="S17" s="668">
        <f>F17</f>
        <v>100</v>
      </c>
      <c r="T17" s="667" t="s">
        <v>14</v>
      </c>
      <c r="U17" s="668">
        <f>H17</f>
        <v>100</v>
      </c>
      <c r="V17" s="667" t="s">
        <v>14</v>
      </c>
      <c r="W17" s="668">
        <f>J17</f>
        <v>100</v>
      </c>
      <c r="X17" s="1265"/>
      <c r="Y17" s="344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40"/>
      <c r="Q18" s="1263"/>
      <c r="R18" s="667"/>
      <c r="S18" s="668"/>
      <c r="T18" s="667"/>
      <c r="U18" s="668"/>
      <c r="V18" s="667"/>
      <c r="W18" s="668"/>
      <c r="X18" s="1265"/>
      <c r="Y18" s="3440"/>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40"/>
      <c r="Q19" s="1263" t="str">
        <f>B19</f>
        <v>公共配套设施</v>
      </c>
      <c r="R19" s="667" t="s">
        <v>14</v>
      </c>
      <c r="S19" s="668">
        <f>F19</f>
        <v>100</v>
      </c>
      <c r="T19" s="667" t="s">
        <v>14</v>
      </c>
      <c r="U19" s="668">
        <f>H19</f>
        <v>100</v>
      </c>
      <c r="V19" s="667" t="s">
        <v>14</v>
      </c>
      <c r="W19" s="668">
        <f>J19</f>
        <v>100</v>
      </c>
      <c r="X19" s="1265"/>
      <c r="Y19" s="344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40"/>
      <c r="Q20" s="1263"/>
      <c r="R20" s="667"/>
      <c r="S20" s="668"/>
      <c r="T20" s="667"/>
      <c r="U20" s="668"/>
      <c r="V20" s="667"/>
      <c r="W20" s="668"/>
      <c r="X20" s="1265"/>
      <c r="Y20" s="3440"/>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40"/>
      <c r="Q21" s="1263" t="str">
        <f>B21</f>
        <v>基础设施水平</v>
      </c>
      <c r="R21" s="667" t="s">
        <v>14</v>
      </c>
      <c r="S21" s="668">
        <f>F21</f>
        <v>100</v>
      </c>
      <c r="T21" s="667" t="s">
        <v>14</v>
      </c>
      <c r="U21" s="668">
        <f>H21</f>
        <v>100</v>
      </c>
      <c r="V21" s="667" t="s">
        <v>14</v>
      </c>
      <c r="W21" s="668">
        <f>J21</f>
        <v>100</v>
      </c>
      <c r="X21" s="1265"/>
      <c r="Y21" s="344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40"/>
      <c r="Q22" s="1263"/>
      <c r="R22" s="667"/>
      <c r="S22" s="668"/>
      <c r="T22" s="667"/>
      <c r="U22" s="668"/>
      <c r="V22" s="667"/>
      <c r="W22" s="668"/>
      <c r="X22" s="1265"/>
      <c r="Y22" s="3440"/>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40"/>
      <c r="Q23" s="1263" t="str">
        <f>B23</f>
        <v>环境质量</v>
      </c>
      <c r="R23" s="667" t="s">
        <v>14</v>
      </c>
      <c r="S23" s="668">
        <f>F23</f>
        <v>100</v>
      </c>
      <c r="T23" s="667" t="s">
        <v>14</v>
      </c>
      <c r="U23" s="668">
        <f>H23</f>
        <v>100</v>
      </c>
      <c r="V23" s="667" t="s">
        <v>14</v>
      </c>
      <c r="W23" s="668">
        <f>J23</f>
        <v>100</v>
      </c>
      <c r="X23" s="1265"/>
      <c r="Y23" s="3440"/>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40"/>
      <c r="Q24" s="1263"/>
      <c r="R24" s="667"/>
      <c r="S24" s="668"/>
      <c r="T24" s="667"/>
      <c r="U24" s="668"/>
      <c r="V24" s="667"/>
      <c r="W24" s="668"/>
      <c r="X24" s="1265"/>
      <c r="Y24" s="3440"/>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40"/>
      <c r="Q25" s="1263">
        <f>B25</f>
        <v>111</v>
      </c>
      <c r="R25" s="667" t="s">
        <v>14</v>
      </c>
      <c r="S25" s="668">
        <f>F25</f>
        <v>100</v>
      </c>
      <c r="T25" s="667" t="s">
        <v>14</v>
      </c>
      <c r="U25" s="668">
        <f>H25</f>
        <v>100</v>
      </c>
      <c r="V25" s="667" t="s">
        <v>14</v>
      </c>
      <c r="W25" s="668">
        <f>J25</f>
        <v>100</v>
      </c>
      <c r="X25" s="1265"/>
      <c r="Y25" s="3440"/>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40"/>
      <c r="Q26" s="1263">
        <f t="shared" ref="Q26:Q40" si="11">B26</f>
        <v>111</v>
      </c>
      <c r="R26" s="667" t="s">
        <v>14</v>
      </c>
      <c r="S26" s="668">
        <f>F26</f>
        <v>100</v>
      </c>
      <c r="T26" s="667" t="s">
        <v>14</v>
      </c>
      <c r="U26" s="668">
        <f>H26</f>
        <v>100</v>
      </c>
      <c r="V26" s="667" t="s">
        <v>14</v>
      </c>
      <c r="W26" s="668">
        <f>J26</f>
        <v>100</v>
      </c>
      <c r="X26" s="1265"/>
      <c r="Y26" s="3440"/>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40"/>
      <c r="Q27" s="530">
        <f t="shared" si="11"/>
        <v>111</v>
      </c>
      <c r="R27" s="664" t="s">
        <v>14</v>
      </c>
      <c r="S27" s="665">
        <f>F27</f>
        <v>100</v>
      </c>
      <c r="T27" s="664" t="s">
        <v>14</v>
      </c>
      <c r="U27" s="665">
        <f>H27</f>
        <v>100</v>
      </c>
      <c r="V27" s="664" t="s">
        <v>14</v>
      </c>
      <c r="W27" s="665">
        <f>J27</f>
        <v>100</v>
      </c>
      <c r="X27" s="666"/>
      <c r="Y27" s="3440"/>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40"/>
      <c r="Q28" s="1263">
        <f t="shared" si="11"/>
        <v>111</v>
      </c>
      <c r="R28" s="667" t="s">
        <v>14</v>
      </c>
      <c r="S28" s="668">
        <f t="shared" ref="S28:S40" si="12">F28</f>
        <v>100</v>
      </c>
      <c r="T28" s="667" t="s">
        <v>14</v>
      </c>
      <c r="U28" s="668">
        <f t="shared" ref="U28:U40" si="13">H28</f>
        <v>100</v>
      </c>
      <c r="V28" s="667" t="s">
        <v>14</v>
      </c>
      <c r="W28" s="668">
        <f t="shared" ref="W28:W40" si="14">J28</f>
        <v>100</v>
      </c>
      <c r="X28" s="1265"/>
      <c r="Y28" s="3440"/>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63" t="s">
        <v>1696</v>
      </c>
      <c r="Q29" s="1263" t="str">
        <f t="shared" si="11"/>
        <v>建筑类型</v>
      </c>
      <c r="R29" s="667" t="s">
        <v>14</v>
      </c>
      <c r="S29" s="668">
        <f t="shared" si="12"/>
        <v>100</v>
      </c>
      <c r="T29" s="667" t="s">
        <v>14</v>
      </c>
      <c r="U29" s="668">
        <f t="shared" si="13"/>
        <v>100</v>
      </c>
      <c r="V29" s="667" t="s">
        <v>14</v>
      </c>
      <c r="W29" s="668">
        <f t="shared" si="14"/>
        <v>100</v>
      </c>
      <c r="X29" s="1265"/>
      <c r="Y29" s="3444"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44"/>
      <c r="Q30" s="531" t="str">
        <f t="shared" si="11"/>
        <v>项目建筑规模</v>
      </c>
      <c r="R30" s="669" t="s">
        <v>14</v>
      </c>
      <c r="S30" s="670" t="e">
        <f t="shared" si="12"/>
        <v>#N/A</v>
      </c>
      <c r="T30" s="669" t="s">
        <v>14</v>
      </c>
      <c r="U30" s="670" t="e">
        <f t="shared" si="13"/>
        <v>#N/A</v>
      </c>
      <c r="V30" s="669" t="s">
        <v>14</v>
      </c>
      <c r="W30" s="670" t="e">
        <f t="shared" si="14"/>
        <v>#N/A</v>
      </c>
      <c r="X30" s="671"/>
      <c r="Y30" s="3444"/>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44"/>
      <c r="Q31" s="1263" t="str">
        <f t="shared" si="11"/>
        <v>建筑结构</v>
      </c>
      <c r="R31" s="667" t="s">
        <v>14</v>
      </c>
      <c r="S31" s="668">
        <f t="shared" si="12"/>
        <v>100</v>
      </c>
      <c r="T31" s="667" t="s">
        <v>14</v>
      </c>
      <c r="U31" s="668">
        <f t="shared" si="13"/>
        <v>100</v>
      </c>
      <c r="V31" s="667" t="s">
        <v>14</v>
      </c>
      <c r="W31" s="668">
        <f t="shared" si="14"/>
        <v>100</v>
      </c>
      <c r="X31" s="1265"/>
      <c r="Y31" s="3444"/>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44"/>
      <c r="Q32" s="1263" t="str">
        <f t="shared" si="11"/>
        <v>公共部分装修</v>
      </c>
      <c r="R32" s="667" t="s">
        <v>14</v>
      </c>
      <c r="S32" s="668">
        <f t="shared" si="12"/>
        <v>100</v>
      </c>
      <c r="T32" s="667" t="s">
        <v>14</v>
      </c>
      <c r="U32" s="668">
        <f t="shared" si="13"/>
        <v>100</v>
      </c>
      <c r="V32" s="667" t="s">
        <v>14</v>
      </c>
      <c r="W32" s="668">
        <f t="shared" si="14"/>
        <v>100</v>
      </c>
      <c r="X32" s="1265"/>
      <c r="Y32" s="3444"/>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44"/>
      <c r="Q33" s="1263" t="str">
        <f t="shared" si="11"/>
        <v>成新度</v>
      </c>
      <c r="R33" s="667" t="s">
        <v>14</v>
      </c>
      <c r="S33" s="668" t="e">
        <f t="shared" si="12"/>
        <v>#N/A</v>
      </c>
      <c r="T33" s="667" t="s">
        <v>14</v>
      </c>
      <c r="U33" s="668" t="e">
        <f t="shared" si="13"/>
        <v>#N/A</v>
      </c>
      <c r="V33" s="667" t="s">
        <v>14</v>
      </c>
      <c r="W33" s="668" t="e">
        <f t="shared" si="14"/>
        <v>#N/A</v>
      </c>
      <c r="X33" s="1265"/>
      <c r="Y33" s="3444"/>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44"/>
      <c r="Q34" s="530" t="str">
        <f t="shared" si="11"/>
        <v>物业管理</v>
      </c>
      <c r="R34" s="664" t="s">
        <v>14</v>
      </c>
      <c r="S34" s="665">
        <f t="shared" si="12"/>
        <v>100</v>
      </c>
      <c r="T34" s="664" t="s">
        <v>14</v>
      </c>
      <c r="U34" s="665">
        <f t="shared" si="13"/>
        <v>100</v>
      </c>
      <c r="V34" s="664" t="s">
        <v>14</v>
      </c>
      <c r="W34" s="665">
        <f t="shared" si="14"/>
        <v>100</v>
      </c>
      <c r="X34" s="666"/>
      <c r="Y34" s="3444"/>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44" t="s">
        <v>1696</v>
      </c>
      <c r="Q35" s="1263" t="str">
        <f t="shared" si="11"/>
        <v>市政基础设施</v>
      </c>
      <c r="R35" s="667" t="s">
        <v>14</v>
      </c>
      <c r="S35" s="668">
        <f t="shared" si="12"/>
        <v>100</v>
      </c>
      <c r="T35" s="667" t="s">
        <v>14</v>
      </c>
      <c r="U35" s="668">
        <f t="shared" si="13"/>
        <v>100</v>
      </c>
      <c r="V35" s="667" t="s">
        <v>14</v>
      </c>
      <c r="W35" s="668">
        <f t="shared" si="14"/>
        <v>100</v>
      </c>
      <c r="X35" s="1265"/>
      <c r="Y35" s="3444"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44"/>
      <c r="Q36" s="1263" t="str">
        <f t="shared" si="11"/>
        <v>内部装修</v>
      </c>
      <c r="R36" s="667" t="s">
        <v>14</v>
      </c>
      <c r="S36" s="668">
        <f t="shared" si="12"/>
        <v>100</v>
      </c>
      <c r="T36" s="667" t="s">
        <v>14</v>
      </c>
      <c r="U36" s="668">
        <f t="shared" si="13"/>
        <v>100</v>
      </c>
      <c r="V36" s="667" t="s">
        <v>14</v>
      </c>
      <c r="W36" s="668">
        <f t="shared" si="14"/>
        <v>100</v>
      </c>
      <c r="X36" s="1265"/>
      <c r="Y36" s="3444"/>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44"/>
      <c r="Q37" s="1263" t="str">
        <f t="shared" si="11"/>
        <v>内部装修状况</v>
      </c>
      <c r="R37" s="667" t="s">
        <v>14</v>
      </c>
      <c r="S37" s="668">
        <f t="shared" si="12"/>
        <v>100</v>
      </c>
      <c r="T37" s="667" t="s">
        <v>14</v>
      </c>
      <c r="U37" s="668">
        <f t="shared" si="13"/>
        <v>100</v>
      </c>
      <c r="V37" s="667" t="s">
        <v>14</v>
      </c>
      <c r="W37" s="668">
        <f t="shared" si="14"/>
        <v>100</v>
      </c>
      <c r="X37" s="1265"/>
      <c r="Y37" s="3444"/>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44"/>
      <c r="Q38" s="531">
        <f t="shared" si="11"/>
        <v>111</v>
      </c>
      <c r="R38" s="669" t="s">
        <v>14</v>
      </c>
      <c r="S38" s="670">
        <f t="shared" si="12"/>
        <v>100</v>
      </c>
      <c r="T38" s="669" t="s">
        <v>14</v>
      </c>
      <c r="U38" s="670">
        <f t="shared" si="13"/>
        <v>100</v>
      </c>
      <c r="V38" s="669" t="s">
        <v>14</v>
      </c>
      <c r="W38" s="670">
        <f t="shared" si="14"/>
        <v>100</v>
      </c>
      <c r="X38" s="671"/>
      <c r="Y38" s="3444"/>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44"/>
      <c r="Q39" s="1263">
        <f t="shared" si="11"/>
        <v>111</v>
      </c>
      <c r="R39" s="667" t="s">
        <v>14</v>
      </c>
      <c r="S39" s="668">
        <f t="shared" si="12"/>
        <v>100</v>
      </c>
      <c r="T39" s="667" t="s">
        <v>14</v>
      </c>
      <c r="U39" s="668">
        <f t="shared" si="13"/>
        <v>100</v>
      </c>
      <c r="V39" s="667" t="s">
        <v>14</v>
      </c>
      <c r="W39" s="668">
        <f t="shared" si="14"/>
        <v>100</v>
      </c>
      <c r="X39" s="1265"/>
      <c r="Y39" s="3444"/>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45"/>
      <c r="Q40" s="1263">
        <f t="shared" si="11"/>
        <v>111</v>
      </c>
      <c r="R40" s="667" t="s">
        <v>14</v>
      </c>
      <c r="S40" s="668">
        <f t="shared" si="12"/>
        <v>100</v>
      </c>
      <c r="T40" s="667" t="s">
        <v>14</v>
      </c>
      <c r="U40" s="668">
        <f t="shared" si="13"/>
        <v>100</v>
      </c>
      <c r="V40" s="667" t="s">
        <v>14</v>
      </c>
      <c r="W40" s="668">
        <f t="shared" si="14"/>
        <v>100</v>
      </c>
      <c r="X40" s="1265"/>
      <c r="Y40" s="3445"/>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38" t="str">
        <f>A41</f>
        <v>成交单价（元/平方米）</v>
      </c>
      <c r="Q41" s="3438"/>
      <c r="R41" s="3433">
        <f>E41</f>
        <v>0</v>
      </c>
      <c r="S41" s="3433"/>
      <c r="T41" s="3433">
        <f>G41</f>
        <v>0</v>
      </c>
      <c r="U41" s="3433"/>
      <c r="V41" s="3433">
        <f>I41</f>
        <v>0</v>
      </c>
      <c r="W41" s="3433"/>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38" t="str">
        <f>A42</f>
        <v>比较价值（元/平方米）</v>
      </c>
      <c r="Q42" s="3438"/>
      <c r="R42" s="3433" t="e">
        <f>IF(F1="售价",ROUND(PRODUCT(R41,AA7:AA40),0),ROUND(PRODUCT(R41,AA7:AA40),1))</f>
        <v>#DIV/0!</v>
      </c>
      <c r="S42" s="3433"/>
      <c r="T42" s="3433" t="e">
        <f>IF(F1="售价",ROUND(PRODUCT(T41,AB7:AB40),0),ROUND(PRODUCT(T41,AB7:AB40),1))</f>
        <v>#DIV/0!</v>
      </c>
      <c r="U42" s="3433"/>
      <c r="V42" s="3433" t="e">
        <f>IF(F1="售价",ROUND(PRODUCT(V41,AC7:AC40),0),ROUND(PRODUCT(V41,AC7:AC40),1))</f>
        <v>#DIV/0!</v>
      </c>
      <c r="W42" s="3433"/>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35" t="str">
        <f>A43</f>
        <v>估价对象XX用房的比较价值（楼面单价，元/平方米）</v>
      </c>
      <c r="Q43" s="3436"/>
      <c r="R43" s="3437" t="e">
        <f>IF(F1="售价",ROUND(IF(D42="简单平均",AVERAGE(R42:V42),R42*F42+T42*H42+V42*J42),0),ROUND(IF(D42="简单平均",AVERAGE(R42:V42),R42*F42+T42*H42+V42*J42),1))</f>
        <v>#DIV/0!</v>
      </c>
      <c r="S43" s="3437"/>
      <c r="T43" s="3437"/>
      <c r="U43" s="3437"/>
      <c r="V43" s="3437"/>
      <c r="W43" s="3437"/>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2025-4</v>
      </c>
      <c r="D52" s="1104">
        <f>EDATE(C52,-1)</f>
        <v>45717</v>
      </c>
      <c r="E52" s="1104">
        <f t="shared" ref="E52:O52" si="16">EDATE(D52,-1)</f>
        <v>45689</v>
      </c>
      <c r="F52" s="1104">
        <f t="shared" si="16"/>
        <v>45658</v>
      </c>
      <c r="G52" s="1104">
        <f t="shared" si="16"/>
        <v>45627</v>
      </c>
      <c r="H52" s="1104">
        <f t="shared" si="16"/>
        <v>45597</v>
      </c>
      <c r="I52" s="1104">
        <f t="shared" si="16"/>
        <v>45566</v>
      </c>
      <c r="J52" s="1104">
        <f t="shared" si="16"/>
        <v>45536</v>
      </c>
      <c r="K52" s="1104">
        <f t="shared" si="16"/>
        <v>45505</v>
      </c>
      <c r="L52" s="1104">
        <f t="shared" si="16"/>
        <v>45474</v>
      </c>
      <c r="M52" s="1104">
        <f t="shared" si="16"/>
        <v>45444</v>
      </c>
      <c r="N52" s="1104">
        <f t="shared" si="16"/>
        <v>45413</v>
      </c>
      <c r="O52" s="1104">
        <f t="shared" si="16"/>
        <v>45383</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6"/>
      <c r="O54" s="2537"/>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3329</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4.4">
      <c r="A4" s="345" t="s">
        <v>1769</v>
      </c>
      <c r="B4" s="346"/>
      <c r="C4" s="3421" t="s">
        <v>1770</v>
      </c>
      <c r="D4" s="3422"/>
      <c r="E4" s="3423" t="s">
        <v>1771</v>
      </c>
      <c r="F4" s="3424"/>
      <c r="G4" s="3421" t="s">
        <v>1772</v>
      </c>
      <c r="H4" s="3422"/>
      <c r="I4" s="3421" t="s">
        <v>1773</v>
      </c>
      <c r="J4" s="3422"/>
      <c r="K4" s="537" t="s">
        <v>1774</v>
      </c>
      <c r="L4" s="2484"/>
      <c r="M4" s="2485"/>
      <c r="N4" s="2485"/>
      <c r="O4" s="2485"/>
      <c r="P4" s="3425" t="s">
        <v>1775</v>
      </c>
      <c r="Q4" s="3426"/>
      <c r="R4" s="3408" t="s">
        <v>1771</v>
      </c>
      <c r="S4" s="3409"/>
      <c r="T4" s="3408" t="s">
        <v>1772</v>
      </c>
      <c r="U4" s="3409"/>
      <c r="V4" s="3433" t="s">
        <v>1773</v>
      </c>
      <c r="W4" s="3433"/>
      <c r="X4" s="1265"/>
      <c r="Y4" s="3408" t="s">
        <v>1775</v>
      </c>
      <c r="Z4" s="3409"/>
      <c r="AA4" s="3403" t="s">
        <v>1771</v>
      </c>
      <c r="AB4" s="3404" t="s">
        <v>1772</v>
      </c>
      <c r="AC4" s="3403" t="s">
        <v>1773</v>
      </c>
    </row>
    <row r="5" spans="1:29">
      <c r="A5" s="348"/>
      <c r="B5" s="349"/>
      <c r="C5" s="3414" t="s">
        <v>1673</v>
      </c>
      <c r="D5" s="3415"/>
      <c r="E5" s="3412" t="s">
        <v>1674</v>
      </c>
      <c r="F5" s="3413"/>
      <c r="G5" s="3414" t="s">
        <v>1675</v>
      </c>
      <c r="H5" s="3415"/>
      <c r="I5" s="3414" t="s">
        <v>1676</v>
      </c>
      <c r="J5" s="3415"/>
      <c r="K5" s="537"/>
      <c r="L5" s="2484"/>
      <c r="M5" s="2485"/>
      <c r="N5" s="2485"/>
      <c r="O5" s="2485"/>
      <c r="P5" s="3427"/>
      <c r="Q5" s="3428"/>
      <c r="R5" s="3410"/>
      <c r="S5" s="3411"/>
      <c r="T5" s="3410"/>
      <c r="U5" s="3411"/>
      <c r="V5" s="3433"/>
      <c r="W5" s="3433"/>
      <c r="X5" s="1265"/>
      <c r="Y5" s="3410"/>
      <c r="Z5" s="3411"/>
      <c r="AA5" s="3404"/>
      <c r="AB5" s="3404"/>
      <c r="AC5" s="3404"/>
    </row>
    <row r="6" spans="1:29" ht="15" thickBot="1">
      <c r="A6" s="350"/>
      <c r="B6" s="351"/>
      <c r="C6" s="3416" t="s">
        <v>1677</v>
      </c>
      <c r="D6" s="3417"/>
      <c r="E6" s="3418" t="s">
        <v>1677</v>
      </c>
      <c r="F6" s="3419"/>
      <c r="G6" s="3416" t="s">
        <v>1677</v>
      </c>
      <c r="H6" s="3417"/>
      <c r="I6" s="3416" t="s">
        <v>1677</v>
      </c>
      <c r="J6" s="3417"/>
      <c r="K6" s="537" t="s">
        <v>1678</v>
      </c>
      <c r="L6" s="2484"/>
      <c r="M6" s="2485"/>
      <c r="N6" s="2485"/>
      <c r="O6" s="2485"/>
      <c r="P6" s="3429"/>
      <c r="Q6" s="3430"/>
      <c r="R6" s="3410"/>
      <c r="S6" s="3411"/>
      <c r="T6" s="3431"/>
      <c r="U6" s="3432"/>
      <c r="V6" s="3433"/>
      <c r="W6" s="3433"/>
      <c r="X6" s="1265"/>
      <c r="Y6" s="3431"/>
      <c r="Z6" s="3432"/>
      <c r="AA6" s="3405"/>
      <c r="AB6" s="3405"/>
      <c r="AC6" s="3405"/>
    </row>
    <row r="7" spans="1:29" s="102" customFormat="1" ht="15" thickBot="1">
      <c r="A7" s="352" t="s">
        <v>1679</v>
      </c>
      <c r="B7" s="353"/>
      <c r="C7" s="354">
        <f>'数据-取费表'!B2</f>
        <v>45772</v>
      </c>
      <c r="D7" s="355">
        <v>100</v>
      </c>
      <c r="E7" s="356"/>
      <c r="F7" s="357">
        <f>SUMIF(48:48,YEAR(E7)&amp;"-"&amp;MONTH(E7),49:49)</f>
        <v>0</v>
      </c>
      <c r="G7" s="356"/>
      <c r="H7" s="355">
        <f>SUMIF(48:48,YEAR(G7)&amp;"-"&amp;MONTH(G7),49:49)</f>
        <v>0</v>
      </c>
      <c r="I7" s="356"/>
      <c r="J7" s="355">
        <f>SUMIF(48:48,YEAR(I7)&amp;"-"&amp;MONTH(I7),49:49)</f>
        <v>0</v>
      </c>
      <c r="K7" s="38"/>
      <c r="L7" s="2486"/>
      <c r="M7" s="2438"/>
      <c r="N7" s="2438"/>
      <c r="O7" s="2438"/>
      <c r="P7" s="3406" t="s">
        <v>1680</v>
      </c>
      <c r="Q7" s="3434"/>
      <c r="R7" s="664" t="s">
        <v>14</v>
      </c>
      <c r="S7" s="665">
        <f t="shared" ref="S7:S14" si="0">F7</f>
        <v>0</v>
      </c>
      <c r="T7" s="664" t="s">
        <v>14</v>
      </c>
      <c r="U7" s="665">
        <f t="shared" ref="U7:U14" si="1">H7</f>
        <v>0</v>
      </c>
      <c r="V7" s="664" t="s">
        <v>14</v>
      </c>
      <c r="W7" s="665">
        <f t="shared" ref="W7:W14" si="2">J7</f>
        <v>0</v>
      </c>
      <c r="X7" s="666"/>
      <c r="Y7" s="3406" t="s">
        <v>1680</v>
      </c>
      <c r="Z7" s="3407"/>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406" t="s">
        <v>1683</v>
      </c>
      <c r="Q8" s="3407"/>
      <c r="R8" s="664" t="s">
        <v>14</v>
      </c>
      <c r="S8" s="665">
        <f t="shared" si="0"/>
        <v>100</v>
      </c>
      <c r="T8" s="664" t="s">
        <v>14</v>
      </c>
      <c r="U8" s="665">
        <f t="shared" si="1"/>
        <v>100</v>
      </c>
      <c r="V8" s="664" t="s">
        <v>14</v>
      </c>
      <c r="W8" s="665">
        <f t="shared" si="2"/>
        <v>100</v>
      </c>
      <c r="X8" s="666"/>
      <c r="Y8" s="3406" t="s">
        <v>1683</v>
      </c>
      <c r="Z8" s="3407"/>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438" t="s">
        <v>1686</v>
      </c>
      <c r="Q9" s="530" t="str">
        <f t="shared" ref="Q9:Q14" si="6">B9</f>
        <v>用途</v>
      </c>
      <c r="R9" s="664" t="s">
        <v>14</v>
      </c>
      <c r="S9" s="665">
        <f t="shared" si="0"/>
        <v>100</v>
      </c>
      <c r="T9" s="664" t="s">
        <v>14</v>
      </c>
      <c r="U9" s="665">
        <f t="shared" si="1"/>
        <v>100</v>
      </c>
      <c r="V9" s="664" t="s">
        <v>14</v>
      </c>
      <c r="W9" s="665">
        <f t="shared" si="2"/>
        <v>100</v>
      </c>
      <c r="X9" s="666"/>
      <c r="Y9" s="3331" t="s">
        <v>1687</v>
      </c>
      <c r="Z9" s="50" t="str">
        <f t="shared" ref="Z9:Z14" si="7">Q9</f>
        <v>用途</v>
      </c>
      <c r="AA9" s="50">
        <f t="shared" si="3"/>
        <v>1</v>
      </c>
      <c r="AB9" s="50">
        <f t="shared" si="4"/>
        <v>1</v>
      </c>
      <c r="AC9" s="50">
        <f t="shared" si="5"/>
        <v>1</v>
      </c>
    </row>
    <row r="10" spans="1:29" s="366" customFormat="1" ht="28.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38"/>
      <c r="Q10" s="530" t="str">
        <f t="shared" si="6"/>
        <v>土地使用年限（年）</v>
      </c>
      <c r="R10" s="664" t="s">
        <v>14</v>
      </c>
      <c r="S10" s="665">
        <f t="shared" si="0"/>
        <v>100</v>
      </c>
      <c r="T10" s="664" t="s">
        <v>14</v>
      </c>
      <c r="U10" s="665">
        <f t="shared" si="1"/>
        <v>100</v>
      </c>
      <c r="V10" s="664" t="s">
        <v>14</v>
      </c>
      <c r="W10" s="665">
        <f t="shared" si="2"/>
        <v>100</v>
      </c>
      <c r="X10" s="666"/>
      <c r="Y10" s="333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38"/>
      <c r="Q11" s="530">
        <f t="shared" si="6"/>
        <v>111</v>
      </c>
      <c r="R11" s="664" t="s">
        <v>14</v>
      </c>
      <c r="S11" s="665">
        <f t="shared" si="0"/>
        <v>100</v>
      </c>
      <c r="T11" s="664" t="s">
        <v>14</v>
      </c>
      <c r="U11" s="665">
        <f t="shared" si="1"/>
        <v>100</v>
      </c>
      <c r="V11" s="664" t="s">
        <v>14</v>
      </c>
      <c r="W11" s="665">
        <f t="shared" si="2"/>
        <v>100</v>
      </c>
      <c r="X11" s="666"/>
      <c r="Y11" s="333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438"/>
      <c r="Q12" s="530">
        <f t="shared" si="6"/>
        <v>111</v>
      </c>
      <c r="R12" s="664" t="s">
        <v>14</v>
      </c>
      <c r="S12" s="665">
        <f t="shared" si="0"/>
        <v>100</v>
      </c>
      <c r="T12" s="664" t="s">
        <v>14</v>
      </c>
      <c r="U12" s="665">
        <f t="shared" si="1"/>
        <v>100</v>
      </c>
      <c r="V12" s="664" t="s">
        <v>14</v>
      </c>
      <c r="W12" s="665">
        <f t="shared" si="2"/>
        <v>100</v>
      </c>
      <c r="X12" s="666"/>
      <c r="Y12" s="3331"/>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38"/>
      <c r="Q13" s="530">
        <f t="shared" si="6"/>
        <v>111</v>
      </c>
      <c r="R13" s="664" t="s">
        <v>14</v>
      </c>
      <c r="S13" s="665">
        <f t="shared" si="0"/>
        <v>100</v>
      </c>
      <c r="T13" s="664" t="s">
        <v>14</v>
      </c>
      <c r="U13" s="665">
        <f t="shared" si="1"/>
        <v>100</v>
      </c>
      <c r="V13" s="664" t="s">
        <v>14</v>
      </c>
      <c r="W13" s="665">
        <f t="shared" si="2"/>
        <v>100</v>
      </c>
      <c r="X13" s="666"/>
      <c r="Y13" s="3331"/>
      <c r="Z13" s="50">
        <f t="shared" si="7"/>
        <v>111</v>
      </c>
      <c r="AA13" s="50">
        <f t="shared" si="3"/>
        <v>1</v>
      </c>
      <c r="AB13" s="50">
        <f t="shared" si="4"/>
        <v>1</v>
      </c>
      <c r="AC13" s="50">
        <f t="shared" si="5"/>
        <v>1</v>
      </c>
    </row>
    <row r="14" spans="1:29" ht="110.4">
      <c r="A14" s="345" t="s">
        <v>1690</v>
      </c>
      <c r="B14" s="554" t="s">
        <v>1833</v>
      </c>
      <c r="C14" s="1819" t="str">
        <f>IF(B1="工业",估价对象房地状况!G4,估价对象房地状况!C6)</f>
        <v>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39" t="s">
        <v>1691</v>
      </c>
      <c r="Q14" s="1263" t="str">
        <f t="shared" si="6"/>
        <v>交通便捷度</v>
      </c>
      <c r="R14" s="667" t="s">
        <v>14</v>
      </c>
      <c r="S14" s="668">
        <f t="shared" si="0"/>
        <v>100</v>
      </c>
      <c r="T14" s="667" t="s">
        <v>14</v>
      </c>
      <c r="U14" s="668">
        <f t="shared" si="1"/>
        <v>100</v>
      </c>
      <c r="V14" s="667" t="s">
        <v>14</v>
      </c>
      <c r="W14" s="668">
        <f t="shared" si="2"/>
        <v>100</v>
      </c>
      <c r="X14" s="1265"/>
      <c r="Y14" s="3439"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440"/>
      <c r="Q15" s="1263"/>
      <c r="R15" s="667"/>
      <c r="S15" s="668"/>
      <c r="T15" s="667"/>
      <c r="U15" s="668"/>
      <c r="V15" s="667"/>
      <c r="W15" s="668"/>
      <c r="X15" s="1265"/>
      <c r="Y15" s="3440"/>
      <c r="Z15" s="1264"/>
      <c r="AA15" s="1264">
        <v>1</v>
      </c>
      <c r="AB15" s="1264">
        <v>1</v>
      </c>
      <c r="AC15" s="1264">
        <v>1</v>
      </c>
    </row>
    <row r="16" spans="1:29" ht="96.6">
      <c r="A16" s="348"/>
      <c r="B16" s="556" t="s">
        <v>1812</v>
      </c>
      <c r="C16" s="1754" t="str">
        <f>IF(B1="工业",估价对象房地状况!G5,估价对象房地状况!C7)</f>
        <v>较好</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40"/>
      <c r="Q16" s="1263" t="str">
        <f>B16</f>
        <v>公共配套设施</v>
      </c>
      <c r="R16" s="667" t="s">
        <v>14</v>
      </c>
      <c r="S16" s="668">
        <f>F16</f>
        <v>100</v>
      </c>
      <c r="T16" s="667" t="s">
        <v>14</v>
      </c>
      <c r="U16" s="668">
        <f>H16</f>
        <v>100</v>
      </c>
      <c r="V16" s="667" t="s">
        <v>14</v>
      </c>
      <c r="W16" s="668">
        <f>J16</f>
        <v>100</v>
      </c>
      <c r="X16" s="1265"/>
      <c r="Y16" s="3440"/>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440"/>
      <c r="Q17" s="1263"/>
      <c r="R17" s="667"/>
      <c r="S17" s="668"/>
      <c r="T17" s="667"/>
      <c r="U17" s="668"/>
      <c r="V17" s="667"/>
      <c r="W17" s="668"/>
      <c r="X17" s="1265"/>
      <c r="Y17" s="3440"/>
      <c r="Z17" s="1264"/>
      <c r="AA17" s="1264">
        <v>1</v>
      </c>
      <c r="AB17" s="1264">
        <v>1</v>
      </c>
      <c r="AC17" s="1264">
        <v>1</v>
      </c>
    </row>
    <row r="18" spans="1:29" ht="41.4">
      <c r="A18" s="348"/>
      <c r="B18" s="557" t="s">
        <v>1813</v>
      </c>
      <c r="C18" s="1754" t="str">
        <f>IF(B1="工业",估价对象房地状况!G6,估价对象房地状况!C8)</f>
        <v>估价对象所在区域基础设施水平“七通一平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40"/>
      <c r="Q18" s="1263" t="str">
        <f>B18</f>
        <v>基础设施水平</v>
      </c>
      <c r="R18" s="667" t="s">
        <v>14</v>
      </c>
      <c r="S18" s="668">
        <f>F18</f>
        <v>100</v>
      </c>
      <c r="T18" s="667" t="s">
        <v>14</v>
      </c>
      <c r="U18" s="668">
        <f>H18</f>
        <v>100</v>
      </c>
      <c r="V18" s="667" t="s">
        <v>14</v>
      </c>
      <c r="W18" s="668">
        <f>J18</f>
        <v>100</v>
      </c>
      <c r="X18" s="1265"/>
      <c r="Y18" s="3440"/>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440"/>
      <c r="Q19" s="1263"/>
      <c r="R19" s="667"/>
      <c r="S19" s="668"/>
      <c r="T19" s="667"/>
      <c r="U19" s="668"/>
      <c r="V19" s="667"/>
      <c r="W19" s="668"/>
      <c r="X19" s="1265"/>
      <c r="Y19" s="3440"/>
      <c r="Z19" s="1264"/>
      <c r="AA19" s="1264">
        <v>1</v>
      </c>
      <c r="AB19" s="1264">
        <v>1</v>
      </c>
      <c r="AC19" s="1264">
        <v>1</v>
      </c>
    </row>
    <row r="20" spans="1:29" ht="110.4">
      <c r="A20" s="348"/>
      <c r="B20" s="556" t="s">
        <v>1834</v>
      </c>
      <c r="C20" s="1754" t="str">
        <f>IF(B1="工业",估价对象房地状况!G7,估价对象房地状况!C9)</f>
        <v>较好</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40"/>
      <c r="Q20" s="1263" t="str">
        <f>B20</f>
        <v>自然及人文环境</v>
      </c>
      <c r="R20" s="667" t="s">
        <v>14</v>
      </c>
      <c r="S20" s="668">
        <f>F20</f>
        <v>100</v>
      </c>
      <c r="T20" s="667" t="s">
        <v>14</v>
      </c>
      <c r="U20" s="668">
        <f>H20</f>
        <v>100</v>
      </c>
      <c r="V20" s="667" t="s">
        <v>14</v>
      </c>
      <c r="W20" s="668">
        <f>J20</f>
        <v>100</v>
      </c>
      <c r="X20" s="1265"/>
      <c r="Y20" s="3440"/>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440"/>
      <c r="Q21" s="1263"/>
      <c r="R21" s="667"/>
      <c r="S21" s="668"/>
      <c r="T21" s="667"/>
      <c r="U21" s="668"/>
      <c r="V21" s="667"/>
      <c r="W21" s="668"/>
      <c r="X21" s="1265"/>
      <c r="Y21" s="3440"/>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40"/>
      <c r="Q22" s="1263" t="str">
        <f>B22</f>
        <v>楼层</v>
      </c>
      <c r="R22" s="667" t="s">
        <v>14</v>
      </c>
      <c r="S22" s="668">
        <f>F22</f>
        <v>100</v>
      </c>
      <c r="T22" s="667" t="s">
        <v>14</v>
      </c>
      <c r="U22" s="668">
        <f>H22</f>
        <v>100</v>
      </c>
      <c r="V22" s="667" t="s">
        <v>14</v>
      </c>
      <c r="W22" s="668">
        <f>J22</f>
        <v>100</v>
      </c>
      <c r="X22" s="1265"/>
      <c r="Y22" s="3440"/>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40"/>
      <c r="Q23" s="1263">
        <f>B23</f>
        <v>111</v>
      </c>
      <c r="R23" s="667" t="s">
        <v>14</v>
      </c>
      <c r="S23" s="668">
        <f>F23</f>
        <v>100</v>
      </c>
      <c r="T23" s="667" t="s">
        <v>14</v>
      </c>
      <c r="U23" s="668">
        <f>H23</f>
        <v>100</v>
      </c>
      <c r="V23" s="667" t="s">
        <v>14</v>
      </c>
      <c r="W23" s="668">
        <f>J23</f>
        <v>100</v>
      </c>
      <c r="X23" s="1265"/>
      <c r="Y23" s="3440"/>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40"/>
      <c r="Q24" s="1263">
        <f t="shared" ref="Q24:Q36" si="11">B24</f>
        <v>111</v>
      </c>
      <c r="R24" s="667" t="s">
        <v>14</v>
      </c>
      <c r="S24" s="668">
        <f>F24</f>
        <v>100</v>
      </c>
      <c r="T24" s="667" t="s">
        <v>14</v>
      </c>
      <c r="U24" s="668">
        <f>H24</f>
        <v>100</v>
      </c>
      <c r="V24" s="667" t="s">
        <v>14</v>
      </c>
      <c r="W24" s="668">
        <f>J24</f>
        <v>100</v>
      </c>
      <c r="X24" s="1265"/>
      <c r="Y24" s="3440"/>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440"/>
      <c r="Q25" s="530">
        <f t="shared" si="11"/>
        <v>111</v>
      </c>
      <c r="R25" s="664" t="s">
        <v>14</v>
      </c>
      <c r="S25" s="665">
        <f>F25</f>
        <v>100</v>
      </c>
      <c r="T25" s="664" t="s">
        <v>14</v>
      </c>
      <c r="U25" s="665">
        <f>H25</f>
        <v>100</v>
      </c>
      <c r="V25" s="664" t="s">
        <v>14</v>
      </c>
      <c r="W25" s="665">
        <f>J25</f>
        <v>100</v>
      </c>
      <c r="X25" s="666"/>
      <c r="Y25" s="3440"/>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63"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44"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44"/>
      <c r="Q27" s="531" t="str">
        <f t="shared" si="11"/>
        <v>项目停车位配比</v>
      </c>
      <c r="R27" s="669" t="s">
        <v>14</v>
      </c>
      <c r="S27" s="670">
        <f t="shared" si="12"/>
        <v>100</v>
      </c>
      <c r="T27" s="669" t="s">
        <v>14</v>
      </c>
      <c r="U27" s="670">
        <f t="shared" si="13"/>
        <v>100</v>
      </c>
      <c r="V27" s="669" t="s">
        <v>14</v>
      </c>
      <c r="W27" s="670">
        <f t="shared" si="14"/>
        <v>100</v>
      </c>
      <c r="X27" s="671"/>
      <c r="Y27" s="3444"/>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44"/>
      <c r="Q28" s="1263" t="str">
        <f t="shared" si="11"/>
        <v>公共部分装修</v>
      </c>
      <c r="R28" s="667" t="s">
        <v>14</v>
      </c>
      <c r="S28" s="668">
        <f t="shared" si="12"/>
        <v>100</v>
      </c>
      <c r="T28" s="667" t="s">
        <v>14</v>
      </c>
      <c r="U28" s="668">
        <f t="shared" si="13"/>
        <v>100</v>
      </c>
      <c r="V28" s="667" t="s">
        <v>14</v>
      </c>
      <c r="W28" s="668">
        <f t="shared" si="14"/>
        <v>100</v>
      </c>
      <c r="X28" s="1265"/>
      <c r="Y28" s="3444"/>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44"/>
      <c r="Q29" s="1263" t="str">
        <f t="shared" si="11"/>
        <v>成新率</v>
      </c>
      <c r="R29" s="667" t="s">
        <v>14</v>
      </c>
      <c r="S29" s="668" t="e">
        <f t="shared" si="12"/>
        <v>#N/A</v>
      </c>
      <c r="T29" s="667" t="s">
        <v>14</v>
      </c>
      <c r="U29" s="668" t="e">
        <f t="shared" si="13"/>
        <v>#N/A</v>
      </c>
      <c r="V29" s="667" t="s">
        <v>14</v>
      </c>
      <c r="W29" s="668" t="e">
        <f t="shared" si="14"/>
        <v>#N/A</v>
      </c>
      <c r="X29" s="1265"/>
      <c r="Y29" s="3444"/>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44"/>
      <c r="Q30" s="1263" t="str">
        <f t="shared" si="11"/>
        <v>物业等级</v>
      </c>
      <c r="R30" s="667" t="s">
        <v>14</v>
      </c>
      <c r="S30" s="668">
        <f t="shared" si="12"/>
        <v>100</v>
      </c>
      <c r="T30" s="667" t="s">
        <v>14</v>
      </c>
      <c r="U30" s="668">
        <f t="shared" si="13"/>
        <v>100</v>
      </c>
      <c r="V30" s="667" t="s">
        <v>14</v>
      </c>
      <c r="W30" s="668">
        <f t="shared" si="14"/>
        <v>100</v>
      </c>
      <c r="X30" s="1265"/>
      <c r="Y30" s="3444"/>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444"/>
      <c r="Q31" s="530" t="str">
        <f t="shared" si="11"/>
        <v>停车位面积</v>
      </c>
      <c r="R31" s="664" t="s">
        <v>14</v>
      </c>
      <c r="S31" s="665" t="e">
        <f t="shared" si="12"/>
        <v>#N/A</v>
      </c>
      <c r="T31" s="664" t="s">
        <v>14</v>
      </c>
      <c r="U31" s="665" t="e">
        <f t="shared" si="13"/>
        <v>#N/A</v>
      </c>
      <c r="V31" s="664" t="s">
        <v>14</v>
      </c>
      <c r="W31" s="665" t="e">
        <f t="shared" si="14"/>
        <v>#N/A</v>
      </c>
      <c r="X31" s="666"/>
      <c r="Y31" s="3444"/>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44" t="s">
        <v>1696</v>
      </c>
      <c r="Q32" s="1263" t="str">
        <f t="shared" si="11"/>
        <v>车位类型</v>
      </c>
      <c r="R32" s="667" t="s">
        <v>14</v>
      </c>
      <c r="S32" s="668">
        <f t="shared" si="12"/>
        <v>100</v>
      </c>
      <c r="T32" s="667" t="s">
        <v>14</v>
      </c>
      <c r="U32" s="668">
        <f t="shared" si="13"/>
        <v>100</v>
      </c>
      <c r="V32" s="667" t="s">
        <v>14</v>
      </c>
      <c r="W32" s="668">
        <f t="shared" si="14"/>
        <v>100</v>
      </c>
      <c r="X32" s="1265"/>
      <c r="Y32" s="3444"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44"/>
      <c r="Q33" s="1263" t="str">
        <f t="shared" si="11"/>
        <v>是否直接入户</v>
      </c>
      <c r="R33" s="667" t="s">
        <v>14</v>
      </c>
      <c r="S33" s="668">
        <f t="shared" si="12"/>
        <v>100</v>
      </c>
      <c r="T33" s="667" t="s">
        <v>14</v>
      </c>
      <c r="U33" s="668">
        <f t="shared" si="13"/>
        <v>100</v>
      </c>
      <c r="V33" s="667" t="s">
        <v>14</v>
      </c>
      <c r="W33" s="668">
        <f t="shared" si="14"/>
        <v>100</v>
      </c>
      <c r="X33" s="1265"/>
      <c r="Y33" s="3444"/>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44"/>
      <c r="Q34" s="1263">
        <f t="shared" si="11"/>
        <v>111</v>
      </c>
      <c r="R34" s="667" t="s">
        <v>14</v>
      </c>
      <c r="S34" s="668">
        <f t="shared" si="12"/>
        <v>100</v>
      </c>
      <c r="T34" s="667" t="s">
        <v>14</v>
      </c>
      <c r="U34" s="668">
        <f t="shared" si="13"/>
        <v>100</v>
      </c>
      <c r="V34" s="667" t="s">
        <v>14</v>
      </c>
      <c r="W34" s="668">
        <f t="shared" si="14"/>
        <v>100</v>
      </c>
      <c r="X34" s="1265"/>
      <c r="Y34" s="3444"/>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44"/>
      <c r="Q35" s="531">
        <f t="shared" si="11"/>
        <v>111</v>
      </c>
      <c r="R35" s="669" t="s">
        <v>14</v>
      </c>
      <c r="S35" s="670">
        <f t="shared" si="12"/>
        <v>100</v>
      </c>
      <c r="T35" s="669" t="s">
        <v>14</v>
      </c>
      <c r="U35" s="670">
        <f t="shared" si="13"/>
        <v>100</v>
      </c>
      <c r="V35" s="669" t="s">
        <v>14</v>
      </c>
      <c r="W35" s="670">
        <f t="shared" si="14"/>
        <v>100</v>
      </c>
      <c r="X35" s="671"/>
      <c r="Y35" s="3444"/>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44"/>
      <c r="Q36" s="1263">
        <f t="shared" si="11"/>
        <v>111</v>
      </c>
      <c r="R36" s="667" t="s">
        <v>14</v>
      </c>
      <c r="S36" s="668">
        <f t="shared" si="12"/>
        <v>100</v>
      </c>
      <c r="T36" s="667" t="s">
        <v>14</v>
      </c>
      <c r="U36" s="668">
        <f t="shared" si="13"/>
        <v>100</v>
      </c>
      <c r="V36" s="667" t="s">
        <v>14</v>
      </c>
      <c r="W36" s="668">
        <f t="shared" si="14"/>
        <v>100</v>
      </c>
      <c r="X36" s="1265"/>
      <c r="Y36" s="3444"/>
      <c r="Z36" s="1264">
        <f t="shared" si="15"/>
        <v>111</v>
      </c>
      <c r="AA36" s="1264">
        <f t="shared" si="3"/>
        <v>1</v>
      </c>
      <c r="AB36" s="1264">
        <f t="shared" si="4"/>
        <v>1</v>
      </c>
      <c r="AC36" s="1264">
        <f t="shared" si="5"/>
        <v>1</v>
      </c>
    </row>
    <row r="37" spans="1:29" ht="14.4">
      <c r="A37" s="416" t="s">
        <v>1844</v>
      </c>
      <c r="B37" s="1821" t="s">
        <v>3350</v>
      </c>
      <c r="C37" s="1081" t="s">
        <v>0</v>
      </c>
      <c r="D37" s="418"/>
      <c r="E37" s="419"/>
      <c r="F37" s="420"/>
      <c r="G37" s="421"/>
      <c r="H37" s="422"/>
      <c r="I37" s="419"/>
      <c r="J37" s="422"/>
      <c r="K37" s="545"/>
      <c r="L37" s="2492"/>
      <c r="M37" s="2485"/>
      <c r="N37" s="2485"/>
      <c r="O37" s="2485"/>
      <c r="P37" s="3438" t="str">
        <f>A37</f>
        <v>成交单价</v>
      </c>
      <c r="Q37" s="3438"/>
      <c r="R37" s="3433">
        <f>E37</f>
        <v>0</v>
      </c>
      <c r="S37" s="3433"/>
      <c r="T37" s="3433">
        <f>G37</f>
        <v>0</v>
      </c>
      <c r="U37" s="3433"/>
      <c r="V37" s="3433">
        <f>I37</f>
        <v>0</v>
      </c>
      <c r="W37" s="3433"/>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2"/>
      <c r="M38" s="2485"/>
      <c r="N38" s="2485"/>
      <c r="O38" s="2485"/>
      <c r="P38" s="3438" t="str">
        <f>A38</f>
        <v>比较价值（元/平方米）</v>
      </c>
      <c r="Q38" s="3438"/>
      <c r="R38" s="3433" t="e">
        <f>IF(F1="售价",ROUND(PRODUCT(R37,AA7:AA36),0),ROUND(PRODUCT(R37,AA7:AA36),1))</f>
        <v>#DIV/0!</v>
      </c>
      <c r="S38" s="3433"/>
      <c r="T38" s="3433" t="e">
        <f>IF(F1="售价",ROUND(PRODUCT(T37,AB7:AB36),0),ROUND(PRODUCT(T37,AB7:AB36),1))</f>
        <v>#DIV/0!</v>
      </c>
      <c r="U38" s="3433"/>
      <c r="V38" s="3433" t="e">
        <f>IF(F1="售价",ROUND(PRODUCT(V37,AC7:AC36),0),ROUND(PRODUCT(V37,AC7:AC36),1))</f>
        <v>#DIV/0!</v>
      </c>
      <c r="W38" s="3433"/>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2"/>
      <c r="M39" s="2485"/>
      <c r="N39" s="2485"/>
      <c r="O39" s="2485"/>
      <c r="P39" s="3435" t="str">
        <f>A39</f>
        <v>估价对象XX用房的比较价值（楼面单价，元/平方米）</v>
      </c>
      <c r="Q39" s="3436"/>
      <c r="R39" s="3464" t="e">
        <f>IF(F1="售价",ROUND(IF(D38="简单平均",AVERAGE(R38:W38),R38*F38+T38*H38+V38*J38),0),ROUND(IF(D38="简单平均",AVERAGE(R38:V38),R38*F38+T38*H38+V38*J38),1))</f>
        <v>#DIV/0!</v>
      </c>
      <c r="S39" s="3464"/>
      <c r="T39" s="3464"/>
      <c r="U39" s="3464"/>
      <c r="V39" s="3464"/>
      <c r="W39" s="3464"/>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4.4">
      <c r="A48" s="440" t="s">
        <v>1851</v>
      </c>
      <c r="B48" s="441"/>
      <c r="C48" s="1103" t="str">
        <f>YEAR(C7)&amp;"-"&amp;MONTH(C7)</f>
        <v>2025-4</v>
      </c>
      <c r="D48" s="1104">
        <f>EDATE(C48,-1)</f>
        <v>45717</v>
      </c>
      <c r="E48" s="1104">
        <f t="shared" ref="E48:O48" si="16">EDATE(D48,-1)</f>
        <v>45689</v>
      </c>
      <c r="F48" s="1104">
        <f t="shared" si="16"/>
        <v>45658</v>
      </c>
      <c r="G48" s="1104">
        <f t="shared" si="16"/>
        <v>45627</v>
      </c>
      <c r="H48" s="1104">
        <f t="shared" si="16"/>
        <v>45597</v>
      </c>
      <c r="I48" s="1104">
        <f t="shared" si="16"/>
        <v>45566</v>
      </c>
      <c r="J48" s="1104">
        <f t="shared" si="16"/>
        <v>45536</v>
      </c>
      <c r="K48" s="1104">
        <f t="shared" si="16"/>
        <v>45505</v>
      </c>
      <c r="L48" s="1104">
        <f t="shared" si="16"/>
        <v>45474</v>
      </c>
      <c r="M48" s="1104">
        <f t="shared" si="16"/>
        <v>45444</v>
      </c>
      <c r="N48" s="1104">
        <f t="shared" si="16"/>
        <v>45413</v>
      </c>
      <c r="O48" s="1104">
        <f t="shared" si="16"/>
        <v>45383</v>
      </c>
      <c r="P48" s="2525"/>
      <c r="Q48" s="2508"/>
      <c r="R48" s="2508"/>
      <c r="S48" s="2508"/>
      <c r="T48" s="2508"/>
      <c r="U48" s="2508"/>
      <c r="V48" s="2508"/>
      <c r="W48" s="2508"/>
      <c r="X48" s="2508"/>
      <c r="Y48" s="2508"/>
      <c r="Z48" s="2508"/>
      <c r="AA48" s="2508"/>
      <c r="AB48" s="2508"/>
      <c r="AC48" s="2508"/>
    </row>
    <row r="49" spans="1:29" s="102" customFormat="1">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4.4">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4.4"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ht="14.4">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4"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9.4"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4"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4"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4"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4"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4"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4"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4"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4"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4.4"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4.4"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4.4"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4.4"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4"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9.4"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4"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4"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4"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4"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4"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4"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3330</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21" t="s">
        <v>1770</v>
      </c>
      <c r="D4" s="3422"/>
      <c r="E4" s="3423" t="s">
        <v>1771</v>
      </c>
      <c r="F4" s="3424"/>
      <c r="G4" s="3421" t="s">
        <v>1772</v>
      </c>
      <c r="H4" s="3422"/>
      <c r="I4" s="3421" t="s">
        <v>1773</v>
      </c>
      <c r="J4" s="3422"/>
      <c r="K4" s="537" t="s">
        <v>1774</v>
      </c>
      <c r="L4" s="2484"/>
      <c r="M4" s="2485"/>
      <c r="N4" s="2485"/>
      <c r="O4" s="2485"/>
      <c r="P4" s="3425" t="s">
        <v>1775</v>
      </c>
      <c r="Q4" s="3426"/>
      <c r="R4" s="3408" t="s">
        <v>1771</v>
      </c>
      <c r="S4" s="3409"/>
      <c r="T4" s="3408" t="s">
        <v>1772</v>
      </c>
      <c r="U4" s="3409"/>
      <c r="V4" s="3433" t="s">
        <v>1773</v>
      </c>
      <c r="W4" s="3433"/>
      <c r="X4" s="1265"/>
      <c r="Y4" s="3408" t="s">
        <v>1775</v>
      </c>
      <c r="Z4" s="3409"/>
      <c r="AA4" s="3403" t="s">
        <v>1771</v>
      </c>
      <c r="AB4" s="3404" t="s">
        <v>1772</v>
      </c>
      <c r="AC4" s="3403" t="s">
        <v>1773</v>
      </c>
    </row>
    <row r="5" spans="1:29">
      <c r="A5" s="348"/>
      <c r="B5" s="349"/>
      <c r="C5" s="3414" t="s">
        <v>1673</v>
      </c>
      <c r="D5" s="3415"/>
      <c r="E5" s="3412" t="s">
        <v>1674</v>
      </c>
      <c r="F5" s="3413"/>
      <c r="G5" s="3414" t="s">
        <v>1675</v>
      </c>
      <c r="H5" s="3415"/>
      <c r="I5" s="3414" t="s">
        <v>1676</v>
      </c>
      <c r="J5" s="3415"/>
      <c r="K5" s="537"/>
      <c r="L5" s="2484"/>
      <c r="M5" s="2485"/>
      <c r="N5" s="2485"/>
      <c r="O5" s="2485"/>
      <c r="P5" s="3427"/>
      <c r="Q5" s="3428"/>
      <c r="R5" s="3410"/>
      <c r="S5" s="3411"/>
      <c r="T5" s="3410"/>
      <c r="U5" s="3411"/>
      <c r="V5" s="3433"/>
      <c r="W5" s="3433"/>
      <c r="X5" s="1265"/>
      <c r="Y5" s="3410"/>
      <c r="Z5" s="3411"/>
      <c r="AA5" s="3404"/>
      <c r="AB5" s="3404"/>
      <c r="AC5" s="3404"/>
    </row>
    <row r="6" spans="1:29" ht="15" thickBot="1">
      <c r="A6" s="350"/>
      <c r="B6" s="351"/>
      <c r="C6" s="3416" t="s">
        <v>1677</v>
      </c>
      <c r="D6" s="3417"/>
      <c r="E6" s="3418" t="s">
        <v>1677</v>
      </c>
      <c r="F6" s="3419"/>
      <c r="G6" s="3416" t="s">
        <v>1677</v>
      </c>
      <c r="H6" s="3417"/>
      <c r="I6" s="3416" t="s">
        <v>1677</v>
      </c>
      <c r="J6" s="3417"/>
      <c r="K6" s="537" t="s">
        <v>1678</v>
      </c>
      <c r="L6" s="2484"/>
      <c r="M6" s="2485"/>
      <c r="N6" s="2485"/>
      <c r="O6" s="2485"/>
      <c r="P6" s="3429"/>
      <c r="Q6" s="3430"/>
      <c r="R6" s="3410"/>
      <c r="S6" s="3411"/>
      <c r="T6" s="3431"/>
      <c r="U6" s="3432"/>
      <c r="V6" s="3433"/>
      <c r="W6" s="3433"/>
      <c r="X6" s="1265"/>
      <c r="Y6" s="3431"/>
      <c r="Z6" s="3432"/>
      <c r="AA6" s="3405"/>
      <c r="AB6" s="3405"/>
      <c r="AC6" s="3405"/>
    </row>
    <row r="7" spans="1:29" s="102" customFormat="1" ht="15" thickBot="1">
      <c r="A7" s="352" t="s">
        <v>1679</v>
      </c>
      <c r="B7" s="353"/>
      <c r="C7" s="354">
        <f>'数据-取费表'!B2</f>
        <v>45772</v>
      </c>
      <c r="D7" s="355">
        <v>100</v>
      </c>
      <c r="E7" s="356"/>
      <c r="F7" s="357">
        <f>SUMIF(46:46,YEAR(E7)&amp;"-"&amp;MONTH(E7),47:47)</f>
        <v>0</v>
      </c>
      <c r="G7" s="1822"/>
      <c r="H7" s="355">
        <f>SUMIF(46:46,YEAR(G7)&amp;"-"&amp;MONTH(G7),47:47)</f>
        <v>0</v>
      </c>
      <c r="I7" s="356"/>
      <c r="J7" s="355">
        <f>SUMIF(46:46,YEAR(I7)&amp;"-"&amp;MONTH(I7),47:47)</f>
        <v>0</v>
      </c>
      <c r="K7" s="38"/>
      <c r="L7" s="2486"/>
      <c r="M7" s="2438"/>
      <c r="N7" s="2438"/>
      <c r="O7" s="2438"/>
      <c r="P7" s="3406" t="s">
        <v>1680</v>
      </c>
      <c r="Q7" s="3434"/>
      <c r="R7" s="664" t="s">
        <v>14</v>
      </c>
      <c r="S7" s="665">
        <f t="shared" ref="S7:S14" si="0">F7</f>
        <v>0</v>
      </c>
      <c r="T7" s="664" t="s">
        <v>14</v>
      </c>
      <c r="U7" s="665">
        <f t="shared" ref="U7:U14" si="1">H7</f>
        <v>0</v>
      </c>
      <c r="V7" s="664" t="s">
        <v>14</v>
      </c>
      <c r="W7" s="665">
        <f t="shared" ref="W7:W14" si="2">J7</f>
        <v>0</v>
      </c>
      <c r="X7" s="666"/>
      <c r="Y7" s="3406" t="s">
        <v>1680</v>
      </c>
      <c r="Z7" s="3407"/>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406" t="s">
        <v>1683</v>
      </c>
      <c r="Q8" s="3407"/>
      <c r="R8" s="664" t="s">
        <v>14</v>
      </c>
      <c r="S8" s="665">
        <f t="shared" si="0"/>
        <v>100</v>
      </c>
      <c r="T8" s="664" t="s">
        <v>14</v>
      </c>
      <c r="U8" s="665">
        <f t="shared" si="1"/>
        <v>100</v>
      </c>
      <c r="V8" s="664" t="s">
        <v>14</v>
      </c>
      <c r="W8" s="665">
        <f t="shared" si="2"/>
        <v>100</v>
      </c>
      <c r="X8" s="666"/>
      <c r="Y8" s="3406" t="s">
        <v>1683</v>
      </c>
      <c r="Z8" s="3407"/>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438" t="s">
        <v>1686</v>
      </c>
      <c r="Q9" s="530" t="str">
        <f t="shared" ref="Q9:Q14" si="6">B9</f>
        <v>用途</v>
      </c>
      <c r="R9" s="664" t="s">
        <v>14</v>
      </c>
      <c r="S9" s="665">
        <f t="shared" si="0"/>
        <v>100</v>
      </c>
      <c r="T9" s="664" t="s">
        <v>14</v>
      </c>
      <c r="U9" s="665">
        <f t="shared" si="1"/>
        <v>100</v>
      </c>
      <c r="V9" s="664" t="s">
        <v>14</v>
      </c>
      <c r="W9" s="665">
        <f t="shared" si="2"/>
        <v>100</v>
      </c>
      <c r="X9" s="666"/>
      <c r="Y9" s="3331" t="s">
        <v>1687</v>
      </c>
      <c r="Z9" s="50" t="str">
        <f t="shared" ref="Z9:Z14" si="7">Q9</f>
        <v>用途</v>
      </c>
      <c r="AA9" s="50">
        <f t="shared" si="3"/>
        <v>1</v>
      </c>
      <c r="AB9" s="50">
        <f t="shared" si="4"/>
        <v>1</v>
      </c>
      <c r="AC9" s="50">
        <f t="shared" si="5"/>
        <v>1</v>
      </c>
    </row>
    <row r="10" spans="1:29" s="366" customFormat="1" ht="28.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38"/>
      <c r="Q10" s="530" t="str">
        <f t="shared" si="6"/>
        <v>土地使用年限（年）</v>
      </c>
      <c r="R10" s="664" t="s">
        <v>14</v>
      </c>
      <c r="S10" s="665">
        <f t="shared" si="0"/>
        <v>100</v>
      </c>
      <c r="T10" s="664" t="s">
        <v>14</v>
      </c>
      <c r="U10" s="665">
        <f t="shared" si="1"/>
        <v>100</v>
      </c>
      <c r="V10" s="664" t="s">
        <v>14</v>
      </c>
      <c r="W10" s="665">
        <f t="shared" si="2"/>
        <v>100</v>
      </c>
      <c r="X10" s="666"/>
      <c r="Y10" s="333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38"/>
      <c r="Q11" s="530">
        <f t="shared" si="6"/>
        <v>111</v>
      </c>
      <c r="R11" s="664" t="s">
        <v>14</v>
      </c>
      <c r="S11" s="665">
        <f t="shared" si="0"/>
        <v>100</v>
      </c>
      <c r="T11" s="664" t="s">
        <v>14</v>
      </c>
      <c r="U11" s="665">
        <f t="shared" si="1"/>
        <v>100</v>
      </c>
      <c r="V11" s="664" t="s">
        <v>14</v>
      </c>
      <c r="W11" s="665">
        <f t="shared" si="2"/>
        <v>100</v>
      </c>
      <c r="X11" s="666"/>
      <c r="Y11" s="333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438"/>
      <c r="Q12" s="530">
        <f t="shared" si="6"/>
        <v>111</v>
      </c>
      <c r="R12" s="664" t="s">
        <v>14</v>
      </c>
      <c r="S12" s="665">
        <f t="shared" si="0"/>
        <v>100</v>
      </c>
      <c r="T12" s="664" t="s">
        <v>14</v>
      </c>
      <c r="U12" s="665">
        <f t="shared" si="1"/>
        <v>100</v>
      </c>
      <c r="V12" s="664" t="s">
        <v>14</v>
      </c>
      <c r="W12" s="665">
        <f t="shared" si="2"/>
        <v>100</v>
      </c>
      <c r="X12" s="666"/>
      <c r="Y12" s="3331"/>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438"/>
      <c r="Q13" s="530">
        <f t="shared" si="6"/>
        <v>111</v>
      </c>
      <c r="R13" s="664" t="s">
        <v>14</v>
      </c>
      <c r="S13" s="665">
        <f t="shared" si="0"/>
        <v>100</v>
      </c>
      <c r="T13" s="664" t="s">
        <v>14</v>
      </c>
      <c r="U13" s="665">
        <f t="shared" si="1"/>
        <v>100</v>
      </c>
      <c r="V13" s="664" t="s">
        <v>14</v>
      </c>
      <c r="W13" s="665">
        <f t="shared" si="2"/>
        <v>100</v>
      </c>
      <c r="X13" s="666"/>
      <c r="Y13" s="3331"/>
      <c r="Z13" s="50">
        <f t="shared" si="7"/>
        <v>111</v>
      </c>
      <c r="AA13" s="50">
        <f t="shared" si="3"/>
        <v>1</v>
      </c>
      <c r="AB13" s="50">
        <f t="shared" si="4"/>
        <v>1</v>
      </c>
      <c r="AC13" s="50">
        <f t="shared" si="5"/>
        <v>1</v>
      </c>
    </row>
    <row r="14" spans="1:29" ht="110.4">
      <c r="A14" s="379" t="s">
        <v>1690</v>
      </c>
      <c r="B14" s="58" t="s">
        <v>1833</v>
      </c>
      <c r="C14" s="1819" t="str">
        <f>IF(B1="工业",估价对象房地状况!G4,估价对象房地状况!C6)</f>
        <v>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439" t="s">
        <v>1691</v>
      </c>
      <c r="Q14" s="1263" t="str">
        <f t="shared" si="6"/>
        <v>交通便捷度</v>
      </c>
      <c r="R14" s="667" t="s">
        <v>14</v>
      </c>
      <c r="S14" s="668">
        <f t="shared" si="0"/>
        <v>100</v>
      </c>
      <c r="T14" s="667" t="s">
        <v>14</v>
      </c>
      <c r="U14" s="668">
        <f t="shared" si="1"/>
        <v>100</v>
      </c>
      <c r="V14" s="667" t="s">
        <v>14</v>
      </c>
      <c r="W14" s="668">
        <f t="shared" si="2"/>
        <v>100</v>
      </c>
      <c r="X14" s="1265"/>
      <c r="Y14" s="3439"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440"/>
      <c r="Q15" s="1263"/>
      <c r="R15" s="667"/>
      <c r="S15" s="668"/>
      <c r="T15" s="667"/>
      <c r="U15" s="668"/>
      <c r="V15" s="667"/>
      <c r="W15" s="668"/>
      <c r="X15" s="1265"/>
      <c r="Y15" s="3440"/>
      <c r="Z15" s="1264"/>
      <c r="AA15" s="1264">
        <v>1</v>
      </c>
      <c r="AB15" s="1264">
        <v>1</v>
      </c>
      <c r="AC15" s="1264">
        <v>1</v>
      </c>
    </row>
    <row r="16" spans="1:29" ht="96.6">
      <c r="A16" s="367"/>
      <c r="B16" s="390" t="s">
        <v>1812</v>
      </c>
      <c r="C16" s="1754" t="str">
        <f>IF(B1="工业",估价对象房地状况!G5,估价对象房地状况!C7)</f>
        <v>较好</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440"/>
      <c r="Q16" s="1263" t="str">
        <f>B16</f>
        <v>公共配套设施</v>
      </c>
      <c r="R16" s="667" t="s">
        <v>14</v>
      </c>
      <c r="S16" s="668">
        <f>F16</f>
        <v>100</v>
      </c>
      <c r="T16" s="667" t="s">
        <v>14</v>
      </c>
      <c r="U16" s="668">
        <f>H16</f>
        <v>100</v>
      </c>
      <c r="V16" s="667" t="s">
        <v>14</v>
      </c>
      <c r="W16" s="668">
        <f>J16</f>
        <v>100</v>
      </c>
      <c r="X16" s="1265"/>
      <c r="Y16" s="3440"/>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440"/>
      <c r="Q17" s="1263"/>
      <c r="R17" s="667"/>
      <c r="S17" s="668"/>
      <c r="T17" s="667"/>
      <c r="U17" s="668"/>
      <c r="V17" s="667"/>
      <c r="W17" s="668"/>
      <c r="X17" s="1265"/>
      <c r="Y17" s="3440"/>
      <c r="Z17" s="1264"/>
      <c r="AA17" s="1264">
        <v>1</v>
      </c>
      <c r="AB17" s="1264">
        <v>1</v>
      </c>
      <c r="AC17" s="1264">
        <v>1</v>
      </c>
    </row>
    <row r="18" spans="1:29" ht="41.4">
      <c r="A18" s="367"/>
      <c r="B18" s="586" t="s">
        <v>1813</v>
      </c>
      <c r="C18" s="1754" t="str">
        <f>IF(B1="工业",估价对象房地状况!G6,估价对象房地状况!C8)</f>
        <v>估价对象所在区域基础设施水平“七通一平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40"/>
      <c r="Q18" s="1263" t="str">
        <f>B18</f>
        <v>基础设施水平</v>
      </c>
      <c r="R18" s="667" t="s">
        <v>14</v>
      </c>
      <c r="S18" s="668">
        <f>F18</f>
        <v>100</v>
      </c>
      <c r="T18" s="667" t="s">
        <v>14</v>
      </c>
      <c r="U18" s="668">
        <f>H18</f>
        <v>100</v>
      </c>
      <c r="V18" s="667" t="s">
        <v>14</v>
      </c>
      <c r="W18" s="668">
        <f>J18</f>
        <v>100</v>
      </c>
      <c r="X18" s="1265"/>
      <c r="Y18" s="3440"/>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440"/>
      <c r="Q19" s="1263"/>
      <c r="R19" s="667"/>
      <c r="S19" s="668"/>
      <c r="T19" s="667"/>
      <c r="U19" s="668"/>
      <c r="V19" s="667"/>
      <c r="W19" s="668"/>
      <c r="X19" s="1265"/>
      <c r="Y19" s="3440"/>
      <c r="Z19" s="1264"/>
      <c r="AA19" s="1264">
        <v>1</v>
      </c>
      <c r="AB19" s="1264">
        <v>1</v>
      </c>
      <c r="AC19" s="1264">
        <v>1</v>
      </c>
    </row>
    <row r="20" spans="1:29" ht="110.4">
      <c r="A20" s="367"/>
      <c r="B20" s="390" t="s">
        <v>1834</v>
      </c>
      <c r="C20" s="1754" t="str">
        <f>IF(B1="工业",估价对象房地状况!G7,估价对象房地状况!C9)</f>
        <v>较好</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440"/>
      <c r="Q20" s="1263" t="str">
        <f>B20</f>
        <v>自然及人文环境</v>
      </c>
      <c r="R20" s="667" t="s">
        <v>14</v>
      </c>
      <c r="S20" s="668">
        <f>F20</f>
        <v>100</v>
      </c>
      <c r="T20" s="667" t="s">
        <v>14</v>
      </c>
      <c r="U20" s="668">
        <f>H20</f>
        <v>100</v>
      </c>
      <c r="V20" s="667" t="s">
        <v>14</v>
      </c>
      <c r="W20" s="668">
        <f>J20</f>
        <v>100</v>
      </c>
      <c r="X20" s="1265"/>
      <c r="Y20" s="3440"/>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440"/>
      <c r="Q21" s="1263"/>
      <c r="R21" s="667"/>
      <c r="S21" s="668"/>
      <c r="T21" s="667"/>
      <c r="U21" s="668"/>
      <c r="V21" s="667"/>
      <c r="W21" s="668"/>
      <c r="X21" s="1265"/>
      <c r="Y21" s="3440"/>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40"/>
      <c r="Q22" s="1263" t="str">
        <f>B22</f>
        <v>楼层</v>
      </c>
      <c r="R22" s="667" t="s">
        <v>14</v>
      </c>
      <c r="S22" s="668">
        <f>F22</f>
        <v>100</v>
      </c>
      <c r="T22" s="667" t="s">
        <v>14</v>
      </c>
      <c r="U22" s="668">
        <f>H22</f>
        <v>100</v>
      </c>
      <c r="V22" s="667" t="s">
        <v>14</v>
      </c>
      <c r="W22" s="668">
        <f>J22</f>
        <v>100</v>
      </c>
      <c r="X22" s="1265"/>
      <c r="Y22" s="3440"/>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40"/>
      <c r="Q23" s="1263">
        <f>B23</f>
        <v>111</v>
      </c>
      <c r="R23" s="667" t="s">
        <v>14</v>
      </c>
      <c r="S23" s="668">
        <f>F23</f>
        <v>100</v>
      </c>
      <c r="T23" s="667" t="s">
        <v>14</v>
      </c>
      <c r="U23" s="668">
        <f>H23</f>
        <v>100</v>
      </c>
      <c r="V23" s="667" t="s">
        <v>14</v>
      </c>
      <c r="W23" s="668">
        <f>J23</f>
        <v>100</v>
      </c>
      <c r="X23" s="1265"/>
      <c r="Y23" s="3440"/>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40"/>
      <c r="Q24" s="1263">
        <f t="shared" ref="Q24:Q34" si="11">B24</f>
        <v>111</v>
      </c>
      <c r="R24" s="667" t="s">
        <v>14</v>
      </c>
      <c r="S24" s="668">
        <f>F24</f>
        <v>100</v>
      </c>
      <c r="T24" s="667" t="s">
        <v>14</v>
      </c>
      <c r="U24" s="668">
        <f>H24</f>
        <v>100</v>
      </c>
      <c r="V24" s="667" t="s">
        <v>14</v>
      </c>
      <c r="W24" s="668">
        <f>J24</f>
        <v>100</v>
      </c>
      <c r="X24" s="1265"/>
      <c r="Y24" s="3440"/>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440"/>
      <c r="Q25" s="530">
        <f t="shared" si="11"/>
        <v>111</v>
      </c>
      <c r="R25" s="664" t="s">
        <v>14</v>
      </c>
      <c r="S25" s="665">
        <f>F25</f>
        <v>100</v>
      </c>
      <c r="T25" s="664" t="s">
        <v>14</v>
      </c>
      <c r="U25" s="665">
        <f>H25</f>
        <v>100</v>
      </c>
      <c r="V25" s="664" t="s">
        <v>14</v>
      </c>
      <c r="W25" s="665">
        <f>J25</f>
        <v>100</v>
      </c>
      <c r="X25" s="666"/>
      <c r="Y25" s="3440"/>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63"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44"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444"/>
      <c r="Q27" s="531" t="str">
        <f t="shared" si="11"/>
        <v>成新率</v>
      </c>
      <c r="R27" s="669" t="s">
        <v>14</v>
      </c>
      <c r="S27" s="670" t="e">
        <f t="shared" si="12"/>
        <v>#N/A</v>
      </c>
      <c r="T27" s="669" t="s">
        <v>14</v>
      </c>
      <c r="U27" s="670" t="e">
        <f t="shared" si="13"/>
        <v>#N/A</v>
      </c>
      <c r="V27" s="669" t="s">
        <v>14</v>
      </c>
      <c r="W27" s="670" t="e">
        <f t="shared" si="14"/>
        <v>#N/A</v>
      </c>
      <c r="X27" s="671"/>
      <c r="Y27" s="3444"/>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44"/>
      <c r="Q28" s="1263" t="str">
        <f t="shared" si="11"/>
        <v>物业等级</v>
      </c>
      <c r="R28" s="667" t="s">
        <v>14</v>
      </c>
      <c r="S28" s="668">
        <f t="shared" si="12"/>
        <v>100</v>
      </c>
      <c r="T28" s="667" t="s">
        <v>14</v>
      </c>
      <c r="U28" s="668">
        <f t="shared" si="13"/>
        <v>100</v>
      </c>
      <c r="V28" s="667" t="s">
        <v>14</v>
      </c>
      <c r="W28" s="668">
        <f t="shared" si="14"/>
        <v>100</v>
      </c>
      <c r="X28" s="1265"/>
      <c r="Y28" s="3444"/>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444"/>
      <c r="Q29" s="1263" t="str">
        <f t="shared" si="11"/>
        <v>有无电梯</v>
      </c>
      <c r="R29" s="667" t="s">
        <v>14</v>
      </c>
      <c r="S29" s="668">
        <f t="shared" si="12"/>
        <v>100</v>
      </c>
      <c r="T29" s="667" t="s">
        <v>14</v>
      </c>
      <c r="U29" s="668">
        <f t="shared" si="13"/>
        <v>100</v>
      </c>
      <c r="V29" s="667" t="s">
        <v>14</v>
      </c>
      <c r="W29" s="668">
        <f t="shared" si="14"/>
        <v>100</v>
      </c>
      <c r="X29" s="1265"/>
      <c r="Y29" s="3444"/>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444"/>
      <c r="Q30" s="1263" t="str">
        <f t="shared" si="11"/>
        <v>建筑面积</v>
      </c>
      <c r="R30" s="667" t="s">
        <v>14</v>
      </c>
      <c r="S30" s="668" t="e">
        <f t="shared" si="12"/>
        <v>#N/A</v>
      </c>
      <c r="T30" s="667" t="s">
        <v>14</v>
      </c>
      <c r="U30" s="668" t="e">
        <f t="shared" si="13"/>
        <v>#N/A</v>
      </c>
      <c r="V30" s="667" t="s">
        <v>14</v>
      </c>
      <c r="W30" s="668" t="e">
        <f t="shared" si="14"/>
        <v>#N/A</v>
      </c>
      <c r="X30" s="1265"/>
      <c r="Y30" s="3444"/>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444"/>
      <c r="Q31" s="530" t="str">
        <f t="shared" si="11"/>
        <v>是否封闭</v>
      </c>
      <c r="R31" s="664" t="s">
        <v>14</v>
      </c>
      <c r="S31" s="665">
        <f t="shared" si="12"/>
        <v>100</v>
      </c>
      <c r="T31" s="664" t="s">
        <v>14</v>
      </c>
      <c r="U31" s="665">
        <f t="shared" si="13"/>
        <v>100</v>
      </c>
      <c r="V31" s="664" t="s">
        <v>14</v>
      </c>
      <c r="W31" s="665">
        <f t="shared" si="14"/>
        <v>100</v>
      </c>
      <c r="X31" s="666"/>
      <c r="Y31" s="344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44" t="s">
        <v>1696</v>
      </c>
      <c r="Q32" s="1263">
        <f t="shared" si="11"/>
        <v>111</v>
      </c>
      <c r="R32" s="667" t="s">
        <v>14</v>
      </c>
      <c r="S32" s="668">
        <f t="shared" si="12"/>
        <v>100</v>
      </c>
      <c r="T32" s="667" t="s">
        <v>14</v>
      </c>
      <c r="U32" s="668">
        <f t="shared" si="13"/>
        <v>100</v>
      </c>
      <c r="V32" s="667" t="s">
        <v>14</v>
      </c>
      <c r="W32" s="668">
        <f t="shared" si="14"/>
        <v>100</v>
      </c>
      <c r="X32" s="1265"/>
      <c r="Y32" s="3444"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44"/>
      <c r="Q33" s="1263">
        <f t="shared" si="11"/>
        <v>111</v>
      </c>
      <c r="R33" s="667" t="s">
        <v>14</v>
      </c>
      <c r="S33" s="668">
        <f t="shared" si="12"/>
        <v>100</v>
      </c>
      <c r="T33" s="667" t="s">
        <v>14</v>
      </c>
      <c r="U33" s="668">
        <f t="shared" si="13"/>
        <v>100</v>
      </c>
      <c r="V33" s="667" t="s">
        <v>14</v>
      </c>
      <c r="W33" s="668">
        <f t="shared" si="14"/>
        <v>100</v>
      </c>
      <c r="X33" s="1265"/>
      <c r="Y33" s="3444"/>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444"/>
      <c r="Q34" s="1263">
        <f t="shared" si="11"/>
        <v>111</v>
      </c>
      <c r="R34" s="667" t="s">
        <v>14</v>
      </c>
      <c r="S34" s="668">
        <f t="shared" si="12"/>
        <v>100</v>
      </c>
      <c r="T34" s="667" t="s">
        <v>14</v>
      </c>
      <c r="U34" s="668">
        <f t="shared" si="13"/>
        <v>100</v>
      </c>
      <c r="V34" s="667" t="s">
        <v>14</v>
      </c>
      <c r="W34" s="668">
        <f t="shared" si="14"/>
        <v>100</v>
      </c>
      <c r="X34" s="1265"/>
      <c r="Y34" s="3444"/>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2"/>
      <c r="M35" s="2485"/>
      <c r="N35" s="2485"/>
      <c r="O35" s="2485"/>
      <c r="P35" s="3438" t="str">
        <f>A35</f>
        <v>成交单价（元/平方米）</v>
      </c>
      <c r="Q35" s="3438"/>
      <c r="R35" s="3433">
        <f>E35</f>
        <v>0</v>
      </c>
      <c r="S35" s="3433"/>
      <c r="T35" s="3433">
        <f>G35</f>
        <v>0</v>
      </c>
      <c r="U35" s="3433"/>
      <c r="V35" s="3433">
        <f>I35</f>
        <v>0</v>
      </c>
      <c r="W35" s="3433"/>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2"/>
      <c r="M36" s="2485"/>
      <c r="N36" s="2485"/>
      <c r="O36" s="2485"/>
      <c r="P36" s="3438" t="str">
        <f>A36</f>
        <v>比较价值（元/平方米）</v>
      </c>
      <c r="Q36" s="3438"/>
      <c r="R36" s="3433" t="e">
        <f>IF(F1="售价",ROUND(PRODUCT(R35,AA7:AA34),0),ROUND(PRODUCT(R35,AA7:AA34),1))</f>
        <v>#DIV/0!</v>
      </c>
      <c r="S36" s="3433"/>
      <c r="T36" s="3433" t="e">
        <f>IF(F1="售价",ROUND(PRODUCT(T35,AB7:AB34),0),ROUND(PRODUCT(T35,AB7:AB34),1))</f>
        <v>#DIV/0!</v>
      </c>
      <c r="U36" s="3433"/>
      <c r="V36" s="3433" t="e">
        <f>IF(F1="售价",ROUND(PRODUCT(V35,AC7:AC34),0),ROUND(PRODUCT(V35,AC7:AC34),1))</f>
        <v>#DIV/0!</v>
      </c>
      <c r="W36" s="3433"/>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2"/>
      <c r="M37" s="2485"/>
      <c r="N37" s="2485"/>
      <c r="O37" s="2485"/>
      <c r="P37" s="3435" t="str">
        <f>A37</f>
        <v>估价对象XX用房的比较价值（楼面单价，元/平方米）</v>
      </c>
      <c r="Q37" s="3436"/>
      <c r="R37" s="3464" t="e">
        <f>IF(F1="售价",ROUND(IF(D36="简单平均",AVERAGE(R36:W36),R36*F36+T36*H36+V36*J36),0),ROUND(IF(D36="简单平均",AVERAGE(R36:V36),R36*F36+T36*H36+V36*J36),1))</f>
        <v>#DIV/0!</v>
      </c>
      <c r="S37" s="3464"/>
      <c r="T37" s="3464"/>
      <c r="U37" s="3464"/>
      <c r="V37" s="3464"/>
      <c r="W37" s="3464"/>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4.4">
      <c r="A46" s="440" t="s">
        <v>1679</v>
      </c>
      <c r="B46" s="441"/>
      <c r="C46" s="1103" t="str">
        <f>YEAR(C7)&amp;"-"&amp;MONTH(C7)</f>
        <v>2025-4</v>
      </c>
      <c r="D46" s="1104">
        <f>EDATE(C46,-1)</f>
        <v>45717</v>
      </c>
      <c r="E46" s="1104">
        <f t="shared" ref="E46:O46" si="16">EDATE(D46,-1)</f>
        <v>45689</v>
      </c>
      <c r="F46" s="1104">
        <f t="shared" si="16"/>
        <v>45658</v>
      </c>
      <c r="G46" s="1104">
        <f t="shared" si="16"/>
        <v>45627</v>
      </c>
      <c r="H46" s="1104">
        <f t="shared" si="16"/>
        <v>45597</v>
      </c>
      <c r="I46" s="1104">
        <f t="shared" si="16"/>
        <v>45566</v>
      </c>
      <c r="J46" s="1104">
        <f t="shared" si="16"/>
        <v>45536</v>
      </c>
      <c r="K46" s="1104">
        <f t="shared" si="16"/>
        <v>45505</v>
      </c>
      <c r="L46" s="1104">
        <f t="shared" si="16"/>
        <v>45474</v>
      </c>
      <c r="M46" s="1104">
        <f t="shared" si="16"/>
        <v>45444</v>
      </c>
      <c r="N46" s="1104">
        <f t="shared" si="16"/>
        <v>45413</v>
      </c>
      <c r="O46" s="1104">
        <f t="shared" si="16"/>
        <v>45383</v>
      </c>
      <c r="P46" s="2508"/>
      <c r="Q46" s="2508"/>
      <c r="R46" s="2508"/>
      <c r="S46" s="2508"/>
      <c r="T46" s="2508"/>
      <c r="U46" s="2508"/>
      <c r="V46" s="2508"/>
      <c r="W46" s="2508"/>
      <c r="X46" s="2508"/>
      <c r="Y46" s="2508"/>
      <c r="Z46" s="2508"/>
      <c r="AA46" s="2508"/>
      <c r="AB46" s="2508"/>
      <c r="AC46" s="2508"/>
      <c r="AD46" s="2508"/>
    </row>
    <row r="47" spans="1:30" s="102" customFormat="1">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4.4">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4.4"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ht="14.4">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4"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9.4"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4"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4"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4"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4"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4"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4"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4"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9.4"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4"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4"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4.4"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4.4"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4.4"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4.4"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4"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4"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4"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4"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4"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4"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4"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4"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4"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21" t="s">
        <v>1770</v>
      </c>
      <c r="D4" s="3422"/>
      <c r="E4" s="3423" t="s">
        <v>1771</v>
      </c>
      <c r="F4" s="3424"/>
      <c r="G4" s="3421" t="s">
        <v>1772</v>
      </c>
      <c r="H4" s="3422"/>
      <c r="I4" s="3421" t="s">
        <v>1773</v>
      </c>
      <c r="J4" s="3422"/>
      <c r="K4" s="537" t="s">
        <v>1774</v>
      </c>
      <c r="L4" s="2484"/>
      <c r="M4" s="2485"/>
      <c r="N4" s="2485"/>
      <c r="O4" s="2485"/>
      <c r="P4" s="3425" t="s">
        <v>1775</v>
      </c>
      <c r="Q4" s="3426"/>
      <c r="R4" s="3408" t="s">
        <v>1771</v>
      </c>
      <c r="S4" s="3409"/>
      <c r="T4" s="3408" t="s">
        <v>1772</v>
      </c>
      <c r="U4" s="3409"/>
      <c r="V4" s="3433" t="s">
        <v>1773</v>
      </c>
      <c r="W4" s="3433"/>
      <c r="X4" s="1265"/>
      <c r="Y4" s="3408" t="s">
        <v>1775</v>
      </c>
      <c r="Z4" s="3409"/>
      <c r="AA4" s="3403" t="s">
        <v>1771</v>
      </c>
      <c r="AB4" s="3404" t="s">
        <v>1772</v>
      </c>
      <c r="AC4" s="3403" t="s">
        <v>1773</v>
      </c>
    </row>
    <row r="5" spans="1:29">
      <c r="A5" s="348"/>
      <c r="B5" s="349"/>
      <c r="C5" s="3414" t="s">
        <v>1673</v>
      </c>
      <c r="D5" s="3415"/>
      <c r="E5" s="3412" t="s">
        <v>1674</v>
      </c>
      <c r="F5" s="3413"/>
      <c r="G5" s="3414" t="s">
        <v>1675</v>
      </c>
      <c r="H5" s="3415"/>
      <c r="I5" s="3414" t="s">
        <v>1676</v>
      </c>
      <c r="J5" s="3415"/>
      <c r="K5" s="537"/>
      <c r="L5" s="2484"/>
      <c r="M5" s="2485"/>
      <c r="N5" s="2485"/>
      <c r="O5" s="2485"/>
      <c r="P5" s="3427"/>
      <c r="Q5" s="3428"/>
      <c r="R5" s="3410"/>
      <c r="S5" s="3411"/>
      <c r="T5" s="3410"/>
      <c r="U5" s="3411"/>
      <c r="V5" s="3433"/>
      <c r="W5" s="3433"/>
      <c r="X5" s="1265"/>
      <c r="Y5" s="3410"/>
      <c r="Z5" s="3411"/>
      <c r="AA5" s="3404"/>
      <c r="AB5" s="3404"/>
      <c r="AC5" s="3404"/>
    </row>
    <row r="6" spans="1:29" ht="15" thickBot="1">
      <c r="A6" s="350"/>
      <c r="B6" s="351"/>
      <c r="C6" s="3416" t="s">
        <v>1677</v>
      </c>
      <c r="D6" s="3417"/>
      <c r="E6" s="3418" t="s">
        <v>1677</v>
      </c>
      <c r="F6" s="3419"/>
      <c r="G6" s="3416" t="s">
        <v>1677</v>
      </c>
      <c r="H6" s="3417"/>
      <c r="I6" s="3416" t="s">
        <v>1677</v>
      </c>
      <c r="J6" s="3417"/>
      <c r="K6" s="537" t="s">
        <v>1678</v>
      </c>
      <c r="L6" s="2484"/>
      <c r="M6" s="2485"/>
      <c r="N6" s="2485"/>
      <c r="O6" s="2485"/>
      <c r="P6" s="3429"/>
      <c r="Q6" s="3430"/>
      <c r="R6" s="3410"/>
      <c r="S6" s="3411"/>
      <c r="T6" s="3431"/>
      <c r="U6" s="3432"/>
      <c r="V6" s="3433"/>
      <c r="W6" s="3433"/>
      <c r="X6" s="1265"/>
      <c r="Y6" s="3431"/>
      <c r="Z6" s="3432"/>
      <c r="AA6" s="3405"/>
      <c r="AB6" s="3405"/>
      <c r="AC6" s="3405"/>
    </row>
    <row r="7" spans="1:29" s="102" customFormat="1" ht="15" thickBot="1">
      <c r="A7" s="352" t="s">
        <v>1679</v>
      </c>
      <c r="B7" s="353"/>
      <c r="C7" s="354">
        <f>'数据-取费表'!B2</f>
        <v>45772</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406" t="s">
        <v>1680</v>
      </c>
      <c r="Q7" s="3434"/>
      <c r="R7" s="664" t="s">
        <v>14</v>
      </c>
      <c r="S7" s="665">
        <f t="shared" ref="S7:S15" si="0">F7</f>
        <v>0</v>
      </c>
      <c r="T7" s="664" t="s">
        <v>14</v>
      </c>
      <c r="U7" s="665">
        <f t="shared" ref="U7:U15" si="1">H7</f>
        <v>0</v>
      </c>
      <c r="V7" s="664" t="s">
        <v>14</v>
      </c>
      <c r="W7" s="665">
        <f t="shared" ref="W7:W15" si="2">J7</f>
        <v>0</v>
      </c>
      <c r="X7" s="666"/>
      <c r="Y7" s="3406" t="s">
        <v>1680</v>
      </c>
      <c r="Z7" s="3407"/>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406" t="s">
        <v>1683</v>
      </c>
      <c r="Q8" s="3407"/>
      <c r="R8" s="664" t="s">
        <v>14</v>
      </c>
      <c r="S8" s="665">
        <f t="shared" si="0"/>
        <v>0</v>
      </c>
      <c r="T8" s="664" t="s">
        <v>14</v>
      </c>
      <c r="U8" s="665">
        <f t="shared" si="1"/>
        <v>0</v>
      </c>
      <c r="V8" s="664" t="s">
        <v>14</v>
      </c>
      <c r="W8" s="665">
        <f t="shared" si="2"/>
        <v>0</v>
      </c>
      <c r="X8" s="666"/>
      <c r="Y8" s="3406" t="s">
        <v>1683</v>
      </c>
      <c r="Z8" s="3407"/>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438" t="s">
        <v>1686</v>
      </c>
      <c r="Q9" s="530" t="str">
        <f t="shared" ref="Q9:Q15" si="6">B9</f>
        <v>用途</v>
      </c>
      <c r="R9" s="664" t="s">
        <v>14</v>
      </c>
      <c r="S9" s="665">
        <f t="shared" si="0"/>
        <v>100</v>
      </c>
      <c r="T9" s="664" t="s">
        <v>14</v>
      </c>
      <c r="U9" s="665">
        <f t="shared" si="1"/>
        <v>100</v>
      </c>
      <c r="V9" s="664" t="s">
        <v>14</v>
      </c>
      <c r="W9" s="665">
        <f t="shared" si="2"/>
        <v>100</v>
      </c>
      <c r="X9" s="666"/>
      <c r="Y9" s="3331"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126</v>
      </c>
      <c r="G10" s="402"/>
      <c r="H10" s="119">
        <f>ROUND(100/'数据-取费表'!G16,0)</f>
        <v>126</v>
      </c>
      <c r="I10" s="402"/>
      <c r="J10" s="119">
        <f>ROUND(100/'数据-取费表'!G16,0)</f>
        <v>126</v>
      </c>
      <c r="K10" s="592"/>
      <c r="L10" s="2487"/>
      <c r="M10" s="2488"/>
      <c r="N10" s="2488"/>
      <c r="O10" s="2539"/>
      <c r="P10" s="3438"/>
      <c r="Q10" s="530" t="str">
        <f t="shared" si="6"/>
        <v>土地使用年限（年）</v>
      </c>
      <c r="R10" s="664" t="s">
        <v>14</v>
      </c>
      <c r="S10" s="665">
        <f t="shared" si="0"/>
        <v>126</v>
      </c>
      <c r="T10" s="664" t="s">
        <v>14</v>
      </c>
      <c r="U10" s="665">
        <f t="shared" si="1"/>
        <v>126</v>
      </c>
      <c r="V10" s="664" t="s">
        <v>14</v>
      </c>
      <c r="W10" s="665">
        <f t="shared" si="2"/>
        <v>126</v>
      </c>
      <c r="X10" s="666"/>
      <c r="Y10" s="3331"/>
      <c r="Z10" s="50" t="str">
        <f t="shared" si="7"/>
        <v>土地使用年限（年）</v>
      </c>
      <c r="AA10" s="50">
        <f t="shared" si="3"/>
        <v>0.79365079365079361</v>
      </c>
      <c r="AB10" s="50">
        <f t="shared" si="4"/>
        <v>0.79365079365079361</v>
      </c>
      <c r="AC10" s="50">
        <f t="shared" si="5"/>
        <v>0.79365079365079361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438"/>
      <c r="Q11" s="530" t="str">
        <f t="shared" si="6"/>
        <v>容积率</v>
      </c>
      <c r="R11" s="664" t="s">
        <v>14</v>
      </c>
      <c r="S11" s="665" t="e">
        <f t="shared" si="0"/>
        <v>#N/A</v>
      </c>
      <c r="T11" s="664" t="s">
        <v>14</v>
      </c>
      <c r="U11" s="665" t="e">
        <f t="shared" si="1"/>
        <v>#N/A</v>
      </c>
      <c r="V11" s="664" t="s">
        <v>14</v>
      </c>
      <c r="W11" s="665" t="e">
        <f t="shared" si="2"/>
        <v>#N/A</v>
      </c>
      <c r="X11" s="666"/>
      <c r="Y11" s="333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438"/>
      <c r="Q12" s="530" t="str">
        <f t="shared" si="6"/>
        <v>配建</v>
      </c>
      <c r="R12" s="664" t="s">
        <v>14</v>
      </c>
      <c r="S12" s="665">
        <f t="shared" si="0"/>
        <v>100</v>
      </c>
      <c r="T12" s="664" t="s">
        <v>14</v>
      </c>
      <c r="U12" s="665">
        <f t="shared" si="1"/>
        <v>100</v>
      </c>
      <c r="V12" s="664" t="s">
        <v>14</v>
      </c>
      <c r="W12" s="665">
        <f t="shared" si="2"/>
        <v>100</v>
      </c>
      <c r="X12" s="666"/>
      <c r="Y12" s="333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438"/>
      <c r="Q13" s="530">
        <f t="shared" si="6"/>
        <v>111</v>
      </c>
      <c r="R13" s="664" t="s">
        <v>14</v>
      </c>
      <c r="S13" s="665">
        <f t="shared" si="0"/>
        <v>100</v>
      </c>
      <c r="T13" s="664" t="s">
        <v>14</v>
      </c>
      <c r="U13" s="665">
        <f t="shared" si="1"/>
        <v>100</v>
      </c>
      <c r="V13" s="664" t="s">
        <v>14</v>
      </c>
      <c r="W13" s="665">
        <f t="shared" si="2"/>
        <v>100</v>
      </c>
      <c r="X13" s="666"/>
      <c r="Y13" s="3331"/>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438"/>
      <c r="Q14" s="530">
        <f t="shared" si="6"/>
        <v>111</v>
      </c>
      <c r="R14" s="664" t="s">
        <v>14</v>
      </c>
      <c r="S14" s="665">
        <f t="shared" si="0"/>
        <v>100</v>
      </c>
      <c r="T14" s="664" t="s">
        <v>14</v>
      </c>
      <c r="U14" s="665">
        <f t="shared" si="1"/>
        <v>100</v>
      </c>
      <c r="V14" s="664" t="s">
        <v>14</v>
      </c>
      <c r="W14" s="665">
        <f t="shared" si="2"/>
        <v>100</v>
      </c>
      <c r="X14" s="666"/>
      <c r="Y14" s="3331"/>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439" t="s">
        <v>1691</v>
      </c>
      <c r="Q15" s="1263" t="str">
        <f t="shared" si="6"/>
        <v>居住社区成熟度</v>
      </c>
      <c r="R15" s="667" t="s">
        <v>14</v>
      </c>
      <c r="S15" s="668">
        <f t="shared" si="0"/>
        <v>100</v>
      </c>
      <c r="T15" s="667" t="s">
        <v>14</v>
      </c>
      <c r="U15" s="668">
        <f t="shared" si="1"/>
        <v>100</v>
      </c>
      <c r="V15" s="667" t="s">
        <v>14</v>
      </c>
      <c r="W15" s="668">
        <f t="shared" si="2"/>
        <v>100</v>
      </c>
      <c r="X15" s="1265"/>
      <c r="Y15" s="3439"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440"/>
      <c r="Q16" s="1263"/>
      <c r="R16" s="667"/>
      <c r="S16" s="668"/>
      <c r="T16" s="667"/>
      <c r="U16" s="668"/>
      <c r="V16" s="667"/>
      <c r="W16" s="668"/>
      <c r="X16" s="1265"/>
      <c r="Y16" s="3440"/>
      <c r="Z16" s="1264"/>
      <c r="AA16" s="1264">
        <v>1</v>
      </c>
      <c r="AB16" s="1264">
        <v>1</v>
      </c>
      <c r="AC16" s="1264">
        <v>1</v>
      </c>
    </row>
    <row r="17" spans="1:29" ht="110.4">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440"/>
      <c r="Q17" s="1263" t="str">
        <f>B17</f>
        <v>商业繁华度</v>
      </c>
      <c r="R17" s="667" t="s">
        <v>14</v>
      </c>
      <c r="S17" s="668">
        <f>F17</f>
        <v>100</v>
      </c>
      <c r="T17" s="667" t="s">
        <v>14</v>
      </c>
      <c r="U17" s="668">
        <f>H17</f>
        <v>100</v>
      </c>
      <c r="V17" s="667" t="s">
        <v>14</v>
      </c>
      <c r="W17" s="668">
        <f>J17</f>
        <v>100</v>
      </c>
      <c r="X17" s="1265"/>
      <c r="Y17" s="3440"/>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440"/>
      <c r="Q18" s="1263"/>
      <c r="R18" s="667"/>
      <c r="S18" s="668"/>
      <c r="T18" s="667"/>
      <c r="U18" s="668"/>
      <c r="V18" s="667"/>
      <c r="W18" s="668"/>
      <c r="X18" s="1265"/>
      <c r="Y18" s="3440"/>
      <c r="Z18" s="1264"/>
      <c r="AA18" s="1264">
        <v>1</v>
      </c>
      <c r="AB18" s="1264">
        <v>1</v>
      </c>
      <c r="AC18" s="1264">
        <v>1</v>
      </c>
    </row>
    <row r="19" spans="1:29" ht="124.2">
      <c r="A19" s="367"/>
      <c r="B19" s="390" t="s">
        <v>1811</v>
      </c>
      <c r="C19" s="1806" t="str">
        <f>估价对象房地状况!C17</f>
        <v>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440"/>
      <c r="Q19" s="1263" t="str">
        <f>B19</f>
        <v>办公集聚程度</v>
      </c>
      <c r="R19" s="667" t="s">
        <v>14</v>
      </c>
      <c r="S19" s="668">
        <f>F19</f>
        <v>100</v>
      </c>
      <c r="T19" s="667" t="s">
        <v>14</v>
      </c>
      <c r="U19" s="668">
        <f>H19</f>
        <v>100</v>
      </c>
      <c r="V19" s="667" t="s">
        <v>14</v>
      </c>
      <c r="W19" s="668">
        <f>J19</f>
        <v>100</v>
      </c>
      <c r="X19" s="1265"/>
      <c r="Y19" s="3440"/>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440"/>
      <c r="Q20" s="1263"/>
      <c r="R20" s="667"/>
      <c r="S20" s="668"/>
      <c r="T20" s="667"/>
      <c r="U20" s="668"/>
      <c r="V20" s="667"/>
      <c r="W20" s="668"/>
      <c r="X20" s="1265"/>
      <c r="Y20" s="3440"/>
      <c r="Z20" s="1264"/>
      <c r="AA20" s="1264">
        <v>1</v>
      </c>
      <c r="AB20" s="1264">
        <v>1</v>
      </c>
      <c r="AC20" s="1264">
        <v>1</v>
      </c>
    </row>
    <row r="21" spans="1:29" ht="110.4">
      <c r="A21" s="367"/>
      <c r="B21" s="390" t="s">
        <v>1833</v>
      </c>
      <c r="C21" s="1754" t="str">
        <f>估价对象房地状况!C18</f>
        <v>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440"/>
      <c r="Q21" s="1263" t="str">
        <f>B21</f>
        <v>交通便捷度</v>
      </c>
      <c r="R21" s="667" t="s">
        <v>14</v>
      </c>
      <c r="S21" s="668">
        <f>F21</f>
        <v>100</v>
      </c>
      <c r="T21" s="667" t="s">
        <v>14</v>
      </c>
      <c r="U21" s="668">
        <f>H21</f>
        <v>100</v>
      </c>
      <c r="V21" s="667" t="s">
        <v>14</v>
      </c>
      <c r="W21" s="668">
        <f>J21</f>
        <v>100</v>
      </c>
      <c r="X21" s="1265"/>
      <c r="Y21" s="3440"/>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440"/>
      <c r="Q22" s="1263"/>
      <c r="R22" s="667"/>
      <c r="S22" s="668"/>
      <c r="T22" s="667"/>
      <c r="U22" s="668"/>
      <c r="V22" s="667"/>
      <c r="W22" s="668"/>
      <c r="X22" s="1265"/>
      <c r="Y22" s="3440"/>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440"/>
      <c r="Q23" s="1263" t="str">
        <f t="shared" ref="Q23:Q37" si="8">B23</f>
        <v>区域土地利用方向</v>
      </c>
      <c r="R23" s="667" t="s">
        <v>14</v>
      </c>
      <c r="S23" s="668">
        <f>F23</f>
        <v>100</v>
      </c>
      <c r="T23" s="667" t="s">
        <v>14</v>
      </c>
      <c r="U23" s="668">
        <f>H23</f>
        <v>100</v>
      </c>
      <c r="V23" s="667" t="s">
        <v>14</v>
      </c>
      <c r="W23" s="668">
        <f>J23</f>
        <v>100</v>
      </c>
      <c r="X23" s="1265"/>
      <c r="Y23" s="3440"/>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440"/>
      <c r="Q24" s="1263"/>
      <c r="R24" s="667"/>
      <c r="S24" s="668"/>
      <c r="T24" s="667"/>
      <c r="U24" s="668"/>
      <c r="V24" s="667"/>
      <c r="W24" s="668"/>
      <c r="X24" s="1265"/>
      <c r="Y24" s="3440"/>
      <c r="Z24" s="1264"/>
      <c r="AA24" s="1264"/>
      <c r="AB24" s="1264"/>
      <c r="AC24" s="1264"/>
    </row>
    <row r="25" spans="1:29" ht="110.4">
      <c r="A25" s="348"/>
      <c r="B25" s="586" t="s">
        <v>1872</v>
      </c>
      <c r="C25" s="1806" t="str">
        <f>估价对象房地状况!C20</f>
        <v>较好</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440"/>
      <c r="Q25" s="1263" t="str">
        <f t="shared" si="8"/>
        <v>自然及人文环境状况</v>
      </c>
      <c r="R25" s="667" t="s">
        <v>14</v>
      </c>
      <c r="S25" s="668">
        <f>F25</f>
        <v>100</v>
      </c>
      <c r="T25" s="667" t="s">
        <v>14</v>
      </c>
      <c r="U25" s="668">
        <f>H25</f>
        <v>100</v>
      </c>
      <c r="V25" s="667" t="s">
        <v>14</v>
      </c>
      <c r="W25" s="668">
        <f>J25</f>
        <v>100</v>
      </c>
      <c r="X25" s="1265"/>
      <c r="Y25" s="3440"/>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440"/>
      <c r="Q26" s="1263"/>
      <c r="R26" s="667"/>
      <c r="S26" s="668"/>
      <c r="T26" s="667"/>
      <c r="U26" s="668"/>
      <c r="V26" s="667"/>
      <c r="W26" s="668"/>
      <c r="X26" s="1265"/>
      <c r="Y26" s="3440"/>
      <c r="Z26" s="1264"/>
      <c r="AA26" s="1264">
        <v>1</v>
      </c>
      <c r="AB26" s="1264">
        <v>1</v>
      </c>
      <c r="AC26" s="1264">
        <v>1</v>
      </c>
    </row>
    <row r="27" spans="1:29" s="102" customFormat="1" ht="96.6">
      <c r="A27" s="443"/>
      <c r="B27" s="586" t="s">
        <v>1778</v>
      </c>
      <c r="C27" s="1754" t="str">
        <f>估价对象房地状况!C21</f>
        <v>较好</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440"/>
      <c r="Q27" s="530" t="str">
        <f t="shared" si="8"/>
        <v>公共配套设施</v>
      </c>
      <c r="R27" s="664" t="s">
        <v>14</v>
      </c>
      <c r="S27" s="665">
        <f>F27</f>
        <v>100</v>
      </c>
      <c r="T27" s="664" t="s">
        <v>14</v>
      </c>
      <c r="U27" s="665">
        <f>H27</f>
        <v>100</v>
      </c>
      <c r="V27" s="664" t="s">
        <v>14</v>
      </c>
      <c r="W27" s="665">
        <f>J27</f>
        <v>100</v>
      </c>
      <c r="X27" s="666"/>
      <c r="Y27" s="3440"/>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6"/>
      <c r="M28" s="2438"/>
      <c r="N28" s="2438"/>
      <c r="O28" s="2538"/>
      <c r="P28" s="3440"/>
      <c r="Q28" s="530"/>
      <c r="R28" s="664"/>
      <c r="S28" s="665"/>
      <c r="T28" s="664"/>
      <c r="U28" s="665"/>
      <c r="V28" s="664"/>
      <c r="W28" s="665"/>
      <c r="X28" s="666"/>
      <c r="Y28" s="3440"/>
      <c r="Z28" s="50"/>
      <c r="AA28" s="1264">
        <v>1</v>
      </c>
      <c r="AB28" s="1264">
        <v>1</v>
      </c>
      <c r="AC28" s="1264">
        <v>1</v>
      </c>
    </row>
    <row r="29" spans="1:29" s="102" customFormat="1" ht="41.4">
      <c r="A29" s="443"/>
      <c r="B29" s="586" t="s">
        <v>1779</v>
      </c>
      <c r="C29" s="1754" t="str">
        <f>估价对象房地状况!C22</f>
        <v>估价对象所在区域基础设施水平“七通一平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440"/>
      <c r="Q29" s="530" t="str">
        <f t="shared" ref="Q29" si="9">B29</f>
        <v>基础设施水平</v>
      </c>
      <c r="R29" s="664" t="s">
        <v>14</v>
      </c>
      <c r="S29" s="665">
        <f>F29</f>
        <v>100</v>
      </c>
      <c r="T29" s="664" t="s">
        <v>14</v>
      </c>
      <c r="U29" s="665">
        <f>H29</f>
        <v>100</v>
      </c>
      <c r="V29" s="664" t="s">
        <v>14</v>
      </c>
      <c r="W29" s="665">
        <f>J29</f>
        <v>100</v>
      </c>
      <c r="X29" s="666"/>
      <c r="Y29" s="3440"/>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6"/>
      <c r="M30" s="2438"/>
      <c r="N30" s="2438"/>
      <c r="O30" s="2538"/>
      <c r="P30" s="3440"/>
      <c r="Q30" s="530"/>
      <c r="R30" s="664"/>
      <c r="S30" s="665"/>
      <c r="T30" s="664"/>
      <c r="U30" s="665"/>
      <c r="V30" s="664"/>
      <c r="W30" s="665"/>
      <c r="X30" s="666"/>
      <c r="Y30" s="3440"/>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440"/>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40"/>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440"/>
      <c r="Q32" s="1263" t="str">
        <f t="shared" si="8"/>
        <v>毗邻道路的类型与等级</v>
      </c>
      <c r="R32" s="667" t="s">
        <v>14</v>
      </c>
      <c r="S32" s="668">
        <f t="shared" si="10"/>
        <v>100</v>
      </c>
      <c r="T32" s="667" t="s">
        <v>14</v>
      </c>
      <c r="U32" s="668">
        <f t="shared" si="11"/>
        <v>100</v>
      </c>
      <c r="V32" s="667" t="s">
        <v>14</v>
      </c>
      <c r="W32" s="668">
        <f t="shared" si="12"/>
        <v>100</v>
      </c>
      <c r="X32" s="1265"/>
      <c r="Y32" s="3440"/>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440"/>
      <c r="Q33" s="1263"/>
      <c r="R33" s="667"/>
      <c r="S33" s="668"/>
      <c r="T33" s="667"/>
      <c r="U33" s="668"/>
      <c r="V33" s="667"/>
      <c r="W33" s="668"/>
      <c r="X33" s="1265"/>
      <c r="Y33" s="3440"/>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440"/>
      <c r="Q34" s="1263" t="str">
        <f t="shared" si="8"/>
        <v>土地级别</v>
      </c>
      <c r="R34" s="667" t="s">
        <v>14</v>
      </c>
      <c r="S34" s="668">
        <f t="shared" si="10"/>
        <v>100</v>
      </c>
      <c r="T34" s="667" t="s">
        <v>14</v>
      </c>
      <c r="U34" s="668">
        <f t="shared" si="11"/>
        <v>100</v>
      </c>
      <c r="V34" s="667" t="s">
        <v>14</v>
      </c>
      <c r="W34" s="668">
        <f t="shared" si="12"/>
        <v>100</v>
      </c>
      <c r="X34" s="1265"/>
      <c r="Y34" s="3440"/>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440"/>
      <c r="Q35" s="1263">
        <f t="shared" si="8"/>
        <v>111</v>
      </c>
      <c r="R35" s="667" t="s">
        <v>14</v>
      </c>
      <c r="S35" s="668">
        <f t="shared" si="10"/>
        <v>100</v>
      </c>
      <c r="T35" s="667" t="s">
        <v>14</v>
      </c>
      <c r="U35" s="668">
        <f t="shared" si="11"/>
        <v>100</v>
      </c>
      <c r="V35" s="667" t="s">
        <v>14</v>
      </c>
      <c r="W35" s="668">
        <f t="shared" si="12"/>
        <v>100</v>
      </c>
      <c r="X35" s="1265"/>
      <c r="Y35" s="3440"/>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63" t="s">
        <v>1696</v>
      </c>
      <c r="Q36" s="1263">
        <f t="shared" si="8"/>
        <v>111</v>
      </c>
      <c r="R36" s="667" t="s">
        <v>14</v>
      </c>
      <c r="S36" s="668">
        <f t="shared" si="10"/>
        <v>100</v>
      </c>
      <c r="T36" s="667" t="s">
        <v>14</v>
      </c>
      <c r="U36" s="668">
        <f t="shared" si="11"/>
        <v>100</v>
      </c>
      <c r="V36" s="667" t="s">
        <v>14</v>
      </c>
      <c r="W36" s="668">
        <f t="shared" si="12"/>
        <v>100</v>
      </c>
      <c r="X36" s="1265"/>
      <c r="Y36" s="3444"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44"/>
      <c r="Q37" s="1263">
        <f t="shared" si="8"/>
        <v>111</v>
      </c>
      <c r="R37" s="669" t="s">
        <v>14</v>
      </c>
      <c r="S37" s="670">
        <f t="shared" si="10"/>
        <v>100</v>
      </c>
      <c r="T37" s="669" t="s">
        <v>14</v>
      </c>
      <c r="U37" s="670">
        <f t="shared" si="11"/>
        <v>100</v>
      </c>
      <c r="V37" s="669" t="s">
        <v>14</v>
      </c>
      <c r="W37" s="670">
        <f t="shared" si="12"/>
        <v>100</v>
      </c>
      <c r="X37" s="671"/>
      <c r="Y37" s="3444"/>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444"/>
      <c r="Q38" s="1263" t="str">
        <f>B38</f>
        <v>宗地面积</v>
      </c>
      <c r="R38" s="667" t="s">
        <v>14</v>
      </c>
      <c r="S38" s="668" t="e">
        <f t="shared" si="10"/>
        <v>#N/A</v>
      </c>
      <c r="T38" s="667" t="s">
        <v>14</v>
      </c>
      <c r="U38" s="668" t="e">
        <f t="shared" si="11"/>
        <v>#N/A</v>
      </c>
      <c r="V38" s="667" t="s">
        <v>14</v>
      </c>
      <c r="W38" s="668" t="e">
        <f t="shared" si="12"/>
        <v>#N/A</v>
      </c>
      <c r="X38" s="1265"/>
      <c r="Y38" s="3444"/>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444"/>
      <c r="Q39" s="1263" t="str">
        <f t="shared" ref="Q39:Q45" si="14">B39</f>
        <v>宗地形状</v>
      </c>
      <c r="R39" s="667" t="s">
        <v>14</v>
      </c>
      <c r="S39" s="668">
        <f t="shared" si="10"/>
        <v>100</v>
      </c>
      <c r="T39" s="667" t="s">
        <v>14</v>
      </c>
      <c r="U39" s="668">
        <f t="shared" si="11"/>
        <v>100</v>
      </c>
      <c r="V39" s="667" t="s">
        <v>14</v>
      </c>
      <c r="W39" s="668">
        <f t="shared" si="12"/>
        <v>100</v>
      </c>
      <c r="X39" s="1265"/>
      <c r="Y39" s="3444"/>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444"/>
      <c r="Q40" s="1263" t="str">
        <f t="shared" si="14"/>
        <v>临街宽度及深度</v>
      </c>
      <c r="R40" s="667" t="s">
        <v>14</v>
      </c>
      <c r="S40" s="668">
        <f t="shared" si="10"/>
        <v>100</v>
      </c>
      <c r="T40" s="667" t="s">
        <v>14</v>
      </c>
      <c r="U40" s="668">
        <f t="shared" si="11"/>
        <v>100</v>
      </c>
      <c r="V40" s="667" t="s">
        <v>14</v>
      </c>
      <c r="W40" s="668">
        <f t="shared" si="12"/>
        <v>100</v>
      </c>
      <c r="X40" s="1265"/>
      <c r="Y40" s="3444"/>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444"/>
      <c r="Q41" s="1263" t="str">
        <f t="shared" si="14"/>
        <v>宗地开发程度</v>
      </c>
      <c r="R41" s="664" t="s">
        <v>14</v>
      </c>
      <c r="S41" s="665">
        <f t="shared" si="10"/>
        <v>100</v>
      </c>
      <c r="T41" s="664" t="s">
        <v>14</v>
      </c>
      <c r="U41" s="665">
        <f t="shared" si="11"/>
        <v>100</v>
      </c>
      <c r="V41" s="664" t="s">
        <v>14</v>
      </c>
      <c r="W41" s="665">
        <f t="shared" si="12"/>
        <v>100</v>
      </c>
      <c r="X41" s="666"/>
      <c r="Y41" s="3444"/>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444" t="s">
        <v>1696</v>
      </c>
      <c r="Q42" s="1263" t="str">
        <f t="shared" si="14"/>
        <v>工程地质条件</v>
      </c>
      <c r="R42" s="667" t="s">
        <v>14</v>
      </c>
      <c r="S42" s="668">
        <f t="shared" si="10"/>
        <v>100</v>
      </c>
      <c r="T42" s="667" t="s">
        <v>14</v>
      </c>
      <c r="U42" s="668">
        <f t="shared" si="11"/>
        <v>100</v>
      </c>
      <c r="V42" s="667" t="s">
        <v>14</v>
      </c>
      <c r="W42" s="668">
        <f t="shared" si="12"/>
        <v>100</v>
      </c>
      <c r="X42" s="1265"/>
      <c r="Y42" s="3444"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44"/>
      <c r="Q43" s="1263">
        <f t="shared" si="14"/>
        <v>111</v>
      </c>
      <c r="R43" s="667" t="s">
        <v>14</v>
      </c>
      <c r="S43" s="668">
        <f t="shared" si="10"/>
        <v>100</v>
      </c>
      <c r="T43" s="667" t="s">
        <v>14</v>
      </c>
      <c r="U43" s="668">
        <f t="shared" si="11"/>
        <v>100</v>
      </c>
      <c r="V43" s="667" t="s">
        <v>14</v>
      </c>
      <c r="W43" s="668">
        <f t="shared" si="12"/>
        <v>100</v>
      </c>
      <c r="X43" s="1265"/>
      <c r="Y43" s="3444"/>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44"/>
      <c r="Q44" s="1263">
        <f t="shared" si="14"/>
        <v>111</v>
      </c>
      <c r="R44" s="667" t="s">
        <v>14</v>
      </c>
      <c r="S44" s="668">
        <f t="shared" si="10"/>
        <v>100</v>
      </c>
      <c r="T44" s="667" t="s">
        <v>14</v>
      </c>
      <c r="U44" s="668">
        <f t="shared" si="11"/>
        <v>100</v>
      </c>
      <c r="V44" s="667" t="s">
        <v>14</v>
      </c>
      <c r="W44" s="668">
        <f t="shared" si="12"/>
        <v>100</v>
      </c>
      <c r="X44" s="1265"/>
      <c r="Y44" s="3444"/>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44"/>
      <c r="Q45" s="1263">
        <f t="shared" si="14"/>
        <v>111</v>
      </c>
      <c r="R45" s="669" t="s">
        <v>14</v>
      </c>
      <c r="S45" s="670">
        <f t="shared" si="10"/>
        <v>100</v>
      </c>
      <c r="T45" s="669" t="s">
        <v>14</v>
      </c>
      <c r="U45" s="670">
        <f t="shared" si="11"/>
        <v>100</v>
      </c>
      <c r="V45" s="669" t="s">
        <v>14</v>
      </c>
      <c r="W45" s="670">
        <f t="shared" si="12"/>
        <v>100</v>
      </c>
      <c r="X45" s="671"/>
      <c r="Y45" s="3444"/>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2"/>
      <c r="M46" s="2485"/>
      <c r="N46" s="2485"/>
      <c r="O46" s="2485"/>
      <c r="P46" s="3438" t="str">
        <f>A46</f>
        <v>成交单价</v>
      </c>
      <c r="Q46" s="3438"/>
      <c r="R46" s="3433">
        <f>E46</f>
        <v>0</v>
      </c>
      <c r="S46" s="3433"/>
      <c r="T46" s="3433">
        <f>G46</f>
        <v>0</v>
      </c>
      <c r="U46" s="3433"/>
      <c r="V46" s="3433">
        <f>I46</f>
        <v>0</v>
      </c>
      <c r="W46" s="3433"/>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2"/>
      <c r="M47" s="2485"/>
      <c r="N47" s="2485"/>
      <c r="O47" s="2485"/>
      <c r="P47" s="3438" t="str">
        <f>A47</f>
        <v>比较价值（元/平方米）</v>
      </c>
      <c r="Q47" s="3438"/>
      <c r="R47" s="3465" t="e">
        <f>ROUND(PRODUCT(R46,AA7:AA45),0)</f>
        <v>#DIV/0!</v>
      </c>
      <c r="S47" s="3465"/>
      <c r="T47" s="3465" t="e">
        <f>ROUND(PRODUCT(T46,AB7:AB45),0)</f>
        <v>#DIV/0!</v>
      </c>
      <c r="U47" s="3465"/>
      <c r="V47" s="3465" t="e">
        <f>ROUND(PRODUCT(V46,AC7:AC45),0)</f>
        <v>#DIV/0!</v>
      </c>
      <c r="W47" s="3465"/>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2"/>
      <c r="M48" s="2485"/>
      <c r="N48" s="2485"/>
      <c r="O48" s="2485"/>
      <c r="P48" s="3435" t="str">
        <f>A48</f>
        <v>估价对象XX用房的比较价值（楼面单价，元/平方米）</v>
      </c>
      <c r="Q48" s="3436"/>
      <c r="R48" s="3466" t="e">
        <f>ROUND(IF(D47="简单平均",AVERAGE(R47:W47),R47*F47+T47*H47+V47*J47),0)</f>
        <v>#DIV/0!</v>
      </c>
      <c r="S48" s="3466"/>
      <c r="T48" s="3466"/>
      <c r="U48" s="3466"/>
      <c r="V48" s="3466"/>
      <c r="W48" s="3466"/>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4"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421" t="s">
        <v>1887</v>
      </c>
      <c r="H55" s="3467"/>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2170.1999999999998</v>
      </c>
      <c r="F56" s="833" t="e">
        <f t="shared" ref="F56:F64" si="15">ROUND(B56*E56/10000,0)</f>
        <v>#DIV/0!</v>
      </c>
      <c r="G56" s="3420"/>
      <c r="H56" s="3438"/>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0.6</v>
      </c>
      <c r="D57" s="891">
        <v>0.25</v>
      </c>
      <c r="E57" s="614"/>
      <c r="F57" s="833" t="e">
        <f t="shared" si="15"/>
        <v>#DIV/0!</v>
      </c>
      <c r="G57" s="2748" t="s">
        <v>1892</v>
      </c>
      <c r="H57" s="834" t="str">
        <f>项目基本情况!B37</f>
        <v>四级</v>
      </c>
      <c r="I57" s="838">
        <f>SUMIF(修正!A57:A68,H57,修正!B57:B68)</f>
        <v>0.6</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0.3</v>
      </c>
      <c r="D58" s="891">
        <v>0.25</v>
      </c>
      <c r="E58" s="614"/>
      <c r="F58" s="833" t="e">
        <f t="shared" si="15"/>
        <v>#DIV/0!</v>
      </c>
      <c r="G58" s="2749"/>
      <c r="H58" s="834" t="str">
        <f>项目基本情况!B37</f>
        <v>四级</v>
      </c>
      <c r="I58" s="838">
        <f>SUMIF(修正!A57:A68,H58,修正!C57:C68)</f>
        <v>0.3</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0.25</v>
      </c>
      <c r="D59" s="891">
        <v>0.25</v>
      </c>
      <c r="E59" s="614"/>
      <c r="F59" s="833" t="e">
        <f t="shared" si="15"/>
        <v>#DIV/0!</v>
      </c>
      <c r="G59" s="2749"/>
      <c r="H59" s="834" t="str">
        <f>项目基本情况!B37</f>
        <v>四级</v>
      </c>
      <c r="I59" s="838">
        <f>SUMIF(修正!A57:A68,H59,修正!D57:D68)</f>
        <v>0.25</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0.25</v>
      </c>
      <c r="D60" s="891">
        <v>0.25</v>
      </c>
      <c r="E60" s="209">
        <f>'数据-汇总表'!E11</f>
        <v>0</v>
      </c>
      <c r="F60" s="833" t="e">
        <f t="shared" si="15"/>
        <v>#DIV/0!</v>
      </c>
      <c r="G60" s="1835" t="s">
        <v>1896</v>
      </c>
      <c r="H60" s="834" t="str">
        <f>项目基本情况!C37</f>
        <v>四级</v>
      </c>
      <c r="I60" s="838">
        <f>SUMIF(修正!A57:A68,H60,修正!E57:E68)</f>
        <v>0.25</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四级</v>
      </c>
      <c r="I61" s="838">
        <f>SUMIF(修正!A57:A68,H61,修正!F57:F68)</f>
        <v>0.25</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0.15</v>
      </c>
      <c r="D63" s="891">
        <v>0.25</v>
      </c>
      <c r="E63" s="209">
        <f>'数据-汇总表'!E14</f>
        <v>0</v>
      </c>
      <c r="F63" s="833" t="e">
        <f t="shared" si="15"/>
        <v>#DIV/0!</v>
      </c>
      <c r="G63" s="1835" t="s">
        <v>1892</v>
      </c>
      <c r="H63" s="834" t="str">
        <f>项目基本情况!B37</f>
        <v>四级</v>
      </c>
      <c r="I63" s="838">
        <f>SUMIF(修正!A57:A68,H63,修正!G57:G68)</f>
        <v>0.15</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4" thickBot="1">
      <c r="A64" s="613" t="s">
        <v>1902</v>
      </c>
      <c r="B64" s="210" t="e">
        <f t="shared" si="17"/>
        <v>#DIV/0!</v>
      </c>
      <c r="C64" s="163">
        <f t="shared" si="16"/>
        <v>0.15</v>
      </c>
      <c r="D64" s="891">
        <v>0.25</v>
      </c>
      <c r="E64" s="209">
        <f>'数据-汇总表'!E15</f>
        <v>0</v>
      </c>
      <c r="F64" s="833" t="e">
        <f t="shared" si="15"/>
        <v>#DIV/0!</v>
      </c>
      <c r="G64" s="1836" t="s">
        <v>1896</v>
      </c>
      <c r="H64" s="844" t="str">
        <f>项目基本情况!C37</f>
        <v>四级</v>
      </c>
      <c r="I64" s="840">
        <f>SUMIF(修正!A57:A68,H64,修正!G57:G68)</f>
        <v>0.15</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1903</v>
      </c>
      <c r="B65" s="616" t="s">
        <v>22</v>
      </c>
      <c r="C65" s="616" t="s">
        <v>23</v>
      </c>
      <c r="D65" s="616" t="s">
        <v>392</v>
      </c>
      <c r="E65" s="616">
        <f>IF(B46="楼面地价",SUM(E56:E64),'数据-汇总表'!D3)</f>
        <v>2170.1999999999998</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2025-4-1</v>
      </c>
      <c r="D67" s="656">
        <f>EDATE(C67,-3)</f>
        <v>45658</v>
      </c>
      <c r="E67" s="656">
        <f>EDATE(D67,-3)</f>
        <v>45566</v>
      </c>
      <c r="F67" s="656">
        <f t="shared" ref="F67:O67" si="18">EDATE(E67,-3)</f>
        <v>45474</v>
      </c>
      <c r="G67" s="656">
        <f t="shared" si="18"/>
        <v>45383</v>
      </c>
      <c r="H67" s="656">
        <f t="shared" si="18"/>
        <v>45292</v>
      </c>
      <c r="I67" s="656">
        <f t="shared" si="18"/>
        <v>45200</v>
      </c>
      <c r="J67" s="656">
        <f t="shared" si="18"/>
        <v>45108</v>
      </c>
      <c r="K67" s="656">
        <f t="shared" si="18"/>
        <v>45017</v>
      </c>
      <c r="L67" s="656">
        <f t="shared" si="18"/>
        <v>44927</v>
      </c>
      <c r="M67" s="656">
        <f t="shared" si="18"/>
        <v>44835</v>
      </c>
      <c r="N67" s="656">
        <f t="shared" si="18"/>
        <v>44743</v>
      </c>
      <c r="O67" s="656">
        <f t="shared" si="18"/>
        <v>44652</v>
      </c>
      <c r="P67" s="2485"/>
      <c r="Q67" s="2485"/>
      <c r="R67" s="2485"/>
      <c r="S67" s="2485"/>
      <c r="T67" s="2485"/>
      <c r="U67" s="2485"/>
      <c r="V67" s="2485"/>
      <c r="W67" s="2485"/>
      <c r="X67" s="2485"/>
      <c r="Y67" s="2485"/>
      <c r="Z67" s="2485"/>
      <c r="AA67" s="2485"/>
      <c r="AB67" s="2485"/>
      <c r="AC67" s="2485"/>
    </row>
    <row r="68" spans="1:29" ht="22.2"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4.4">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4.4">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4.4"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ht="14.4">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4"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9.4"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4"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4"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4"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4"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4"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4"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4"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ht="14.4">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4"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4"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4"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4"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4"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4"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4"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4"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4"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4"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4"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39" priority="13" stopIfTrue="1">
      <formula>$F$51="超过30%"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F7:F45 H7:H45 J7:J45">
    <cfRule type="cellIs" dxfId="36" priority="1" operator="notEqual">
      <formula>100</formula>
    </cfRule>
  </conditionalFormatting>
  <conditionalFormatting sqref="F47">
    <cfRule type="expression" dxfId="35" priority="4">
      <formula>$D$47="简单平均"</formula>
    </cfRule>
  </conditionalFormatting>
  <conditionalFormatting sqref="F51:F53 H51:H53 J51:J53">
    <cfRule type="containsText" dxfId="34" priority="14" stopIfTrue="1" operator="containsText" text="超过">
      <formula>NOT(ISERROR(SEARCH("超过",F51)))</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G53">
    <cfRule type="expression" dxfId="31" priority="12" stopIfTrue="1">
      <formula>$H$53="超过30%"</formula>
    </cfRule>
  </conditionalFormatting>
  <conditionalFormatting sqref="H47">
    <cfRule type="expression" dxfId="30" priority="3">
      <formula>$D$47="简单平均"</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J47">
    <cfRule type="expression" dxfId="26"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21" t="s">
        <v>1770</v>
      </c>
      <c r="D4" s="3422"/>
      <c r="E4" s="3423" t="s">
        <v>1771</v>
      </c>
      <c r="F4" s="3424"/>
      <c r="G4" s="3421" t="s">
        <v>1772</v>
      </c>
      <c r="H4" s="3422"/>
      <c r="I4" s="3421" t="s">
        <v>1773</v>
      </c>
      <c r="J4" s="3422"/>
      <c r="K4" s="537" t="s">
        <v>1774</v>
      </c>
      <c r="L4" s="2484"/>
      <c r="M4" s="2485"/>
      <c r="N4" s="2485"/>
      <c r="O4" s="2485"/>
      <c r="P4" s="3425" t="s">
        <v>1775</v>
      </c>
      <c r="Q4" s="3426"/>
      <c r="R4" s="3408" t="s">
        <v>1771</v>
      </c>
      <c r="S4" s="3409"/>
      <c r="T4" s="3408" t="s">
        <v>1772</v>
      </c>
      <c r="U4" s="3409"/>
      <c r="V4" s="3433" t="s">
        <v>1773</v>
      </c>
      <c r="W4" s="3433"/>
      <c r="X4" s="1265"/>
      <c r="Y4" s="3408" t="s">
        <v>1775</v>
      </c>
      <c r="Z4" s="3409"/>
      <c r="AA4" s="3403" t="s">
        <v>1771</v>
      </c>
      <c r="AB4" s="3404" t="s">
        <v>1772</v>
      </c>
      <c r="AC4" s="3403" t="s">
        <v>1773</v>
      </c>
    </row>
    <row r="5" spans="1:29">
      <c r="A5" s="348"/>
      <c r="B5" s="349"/>
      <c r="C5" s="3414" t="s">
        <v>1673</v>
      </c>
      <c r="D5" s="3415"/>
      <c r="E5" s="3412" t="s">
        <v>1674</v>
      </c>
      <c r="F5" s="3413"/>
      <c r="G5" s="3414" t="s">
        <v>1675</v>
      </c>
      <c r="H5" s="3415"/>
      <c r="I5" s="3414" t="s">
        <v>1676</v>
      </c>
      <c r="J5" s="3415"/>
      <c r="K5" s="537"/>
      <c r="L5" s="2484"/>
      <c r="M5" s="2485"/>
      <c r="N5" s="2485"/>
      <c r="O5" s="2485"/>
      <c r="P5" s="3427"/>
      <c r="Q5" s="3428"/>
      <c r="R5" s="3410"/>
      <c r="S5" s="3411"/>
      <c r="T5" s="3410"/>
      <c r="U5" s="3411"/>
      <c r="V5" s="3433"/>
      <c r="W5" s="3433"/>
      <c r="X5" s="1265"/>
      <c r="Y5" s="3410"/>
      <c r="Z5" s="3411"/>
      <c r="AA5" s="3404"/>
      <c r="AB5" s="3404"/>
      <c r="AC5" s="3404"/>
    </row>
    <row r="6" spans="1:29" ht="15" thickBot="1">
      <c r="A6" s="350"/>
      <c r="B6" s="351"/>
      <c r="C6" s="3468" t="s">
        <v>1919</v>
      </c>
      <c r="D6" s="3469"/>
      <c r="E6" s="3470" t="s">
        <v>1919</v>
      </c>
      <c r="F6" s="3471"/>
      <c r="G6" s="3468" t="s">
        <v>1919</v>
      </c>
      <c r="H6" s="3469"/>
      <c r="I6" s="3468" t="s">
        <v>1919</v>
      </c>
      <c r="J6" s="3469"/>
      <c r="K6" s="537" t="s">
        <v>1678</v>
      </c>
      <c r="L6" s="2484"/>
      <c r="M6" s="2485"/>
      <c r="N6" s="2485"/>
      <c r="O6" s="2485"/>
      <c r="P6" s="3429"/>
      <c r="Q6" s="3430"/>
      <c r="R6" s="3410"/>
      <c r="S6" s="3411"/>
      <c r="T6" s="3431"/>
      <c r="U6" s="3432"/>
      <c r="V6" s="3433"/>
      <c r="W6" s="3433"/>
      <c r="X6" s="1265"/>
      <c r="Y6" s="3431"/>
      <c r="Z6" s="3432"/>
      <c r="AA6" s="3405"/>
      <c r="AB6" s="3405"/>
      <c r="AC6" s="3405"/>
    </row>
    <row r="7" spans="1:29" s="102" customFormat="1" ht="15" thickBot="1">
      <c r="A7" s="352" t="s">
        <v>1679</v>
      </c>
      <c r="B7" s="353"/>
      <c r="C7" s="354">
        <f>'数据-取费表'!B2</f>
        <v>45772</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406" t="s">
        <v>1680</v>
      </c>
      <c r="Q7" s="3434"/>
      <c r="R7" s="664" t="s">
        <v>14</v>
      </c>
      <c r="S7" s="665">
        <f t="shared" ref="S7:S15" si="0">F7</f>
        <v>0</v>
      </c>
      <c r="T7" s="664" t="s">
        <v>14</v>
      </c>
      <c r="U7" s="665">
        <f t="shared" ref="U7:U15" si="1">H7</f>
        <v>0</v>
      </c>
      <c r="V7" s="664" t="s">
        <v>14</v>
      </c>
      <c r="W7" s="665">
        <f t="shared" ref="W7:W15" si="2">J7</f>
        <v>0</v>
      </c>
      <c r="X7" s="666"/>
      <c r="Y7" s="3406" t="s">
        <v>1680</v>
      </c>
      <c r="Z7" s="3407"/>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406" t="s">
        <v>1683</v>
      </c>
      <c r="Q8" s="3407"/>
      <c r="R8" s="664" t="s">
        <v>14</v>
      </c>
      <c r="S8" s="665">
        <f t="shared" si="0"/>
        <v>0</v>
      </c>
      <c r="T8" s="664" t="s">
        <v>14</v>
      </c>
      <c r="U8" s="665">
        <f t="shared" si="1"/>
        <v>0</v>
      </c>
      <c r="V8" s="664" t="s">
        <v>14</v>
      </c>
      <c r="W8" s="665">
        <f t="shared" si="2"/>
        <v>0</v>
      </c>
      <c r="X8" s="666"/>
      <c r="Y8" s="3406" t="s">
        <v>1683</v>
      </c>
      <c r="Z8" s="3407"/>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438" t="s">
        <v>1686</v>
      </c>
      <c r="Q9" s="530" t="str">
        <f t="shared" ref="Q9:Q15" si="6">B9</f>
        <v>用途</v>
      </c>
      <c r="R9" s="664" t="s">
        <v>14</v>
      </c>
      <c r="S9" s="665">
        <f t="shared" si="0"/>
        <v>100</v>
      </c>
      <c r="T9" s="664" t="s">
        <v>14</v>
      </c>
      <c r="U9" s="665">
        <f t="shared" si="1"/>
        <v>100</v>
      </c>
      <c r="V9" s="664" t="s">
        <v>14</v>
      </c>
      <c r="W9" s="665">
        <f t="shared" si="2"/>
        <v>100</v>
      </c>
      <c r="X9" s="666"/>
      <c r="Y9" s="3331"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126</v>
      </c>
      <c r="G10" s="371"/>
      <c r="H10" s="119">
        <f>ROUND(100/'数据-取费表'!G16,0)</f>
        <v>126</v>
      </c>
      <c r="I10" s="371"/>
      <c r="J10" s="119">
        <f>ROUND(100/'数据-取费表'!G16,0)</f>
        <v>126</v>
      </c>
      <c r="K10" s="592"/>
      <c r="L10" s="2487"/>
      <c r="M10" s="2488"/>
      <c r="N10" s="2488"/>
      <c r="O10" s="2539"/>
      <c r="P10" s="3438"/>
      <c r="Q10" s="530" t="str">
        <f t="shared" si="6"/>
        <v>土地使用年限（年）</v>
      </c>
      <c r="R10" s="664" t="s">
        <v>14</v>
      </c>
      <c r="S10" s="665">
        <f t="shared" si="0"/>
        <v>126</v>
      </c>
      <c r="T10" s="664" t="s">
        <v>14</v>
      </c>
      <c r="U10" s="665">
        <f t="shared" si="1"/>
        <v>126</v>
      </c>
      <c r="V10" s="664" t="s">
        <v>14</v>
      </c>
      <c r="W10" s="665">
        <f t="shared" si="2"/>
        <v>126</v>
      </c>
      <c r="X10" s="666"/>
      <c r="Y10" s="3331"/>
      <c r="Z10" s="50" t="str">
        <f t="shared" si="7"/>
        <v>土地使用年限（年）</v>
      </c>
      <c r="AA10" s="50">
        <f t="shared" si="3"/>
        <v>0.79365079365079361</v>
      </c>
      <c r="AB10" s="50">
        <f t="shared" si="4"/>
        <v>0.79365079365079361</v>
      </c>
      <c r="AC10" s="50">
        <f t="shared" si="5"/>
        <v>0.79365079365079361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438"/>
      <c r="Q11" s="530" t="str">
        <f t="shared" si="6"/>
        <v>容积率</v>
      </c>
      <c r="R11" s="664" t="s">
        <v>14</v>
      </c>
      <c r="S11" s="665" t="e">
        <f t="shared" si="0"/>
        <v>#N/A</v>
      </c>
      <c r="T11" s="664" t="s">
        <v>14</v>
      </c>
      <c r="U11" s="665" t="e">
        <f t="shared" si="1"/>
        <v>#N/A</v>
      </c>
      <c r="V11" s="664" t="s">
        <v>14</v>
      </c>
      <c r="W11" s="665" t="e">
        <f t="shared" si="2"/>
        <v>#N/A</v>
      </c>
      <c r="X11" s="666"/>
      <c r="Y11" s="333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438"/>
      <c r="Q12" s="530">
        <f t="shared" si="6"/>
        <v>111</v>
      </c>
      <c r="R12" s="664" t="s">
        <v>14</v>
      </c>
      <c r="S12" s="665">
        <f t="shared" si="0"/>
        <v>100</v>
      </c>
      <c r="T12" s="664" t="s">
        <v>14</v>
      </c>
      <c r="U12" s="665">
        <f t="shared" si="1"/>
        <v>100</v>
      </c>
      <c r="V12" s="664" t="s">
        <v>14</v>
      </c>
      <c r="W12" s="665">
        <f t="shared" si="2"/>
        <v>100</v>
      </c>
      <c r="X12" s="666"/>
      <c r="Y12" s="333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438"/>
      <c r="Q13" s="530">
        <f t="shared" si="6"/>
        <v>111</v>
      </c>
      <c r="R13" s="664" t="s">
        <v>14</v>
      </c>
      <c r="S13" s="665">
        <f t="shared" si="0"/>
        <v>100</v>
      </c>
      <c r="T13" s="664" t="s">
        <v>14</v>
      </c>
      <c r="U13" s="665">
        <f t="shared" si="1"/>
        <v>100</v>
      </c>
      <c r="V13" s="664" t="s">
        <v>14</v>
      </c>
      <c r="W13" s="665">
        <f t="shared" si="2"/>
        <v>100</v>
      </c>
      <c r="X13" s="666"/>
      <c r="Y13" s="3331"/>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438"/>
      <c r="Q14" s="530">
        <f t="shared" si="6"/>
        <v>111</v>
      </c>
      <c r="R14" s="664" t="s">
        <v>14</v>
      </c>
      <c r="S14" s="665">
        <f t="shared" si="0"/>
        <v>100</v>
      </c>
      <c r="T14" s="664" t="s">
        <v>14</v>
      </c>
      <c r="U14" s="665">
        <f t="shared" si="1"/>
        <v>100</v>
      </c>
      <c r="V14" s="664" t="s">
        <v>14</v>
      </c>
      <c r="W14" s="665">
        <f t="shared" si="2"/>
        <v>100</v>
      </c>
      <c r="X14" s="666"/>
      <c r="Y14" s="3331"/>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439" t="s">
        <v>1691</v>
      </c>
      <c r="Q15" s="1263" t="str">
        <f t="shared" si="6"/>
        <v>产业集聚程度</v>
      </c>
      <c r="R15" s="667" t="s">
        <v>14</v>
      </c>
      <c r="S15" s="668">
        <f t="shared" si="0"/>
        <v>100</v>
      </c>
      <c r="T15" s="667" t="s">
        <v>14</v>
      </c>
      <c r="U15" s="668">
        <f t="shared" si="1"/>
        <v>100</v>
      </c>
      <c r="V15" s="667" t="s">
        <v>14</v>
      </c>
      <c r="W15" s="668">
        <f t="shared" si="2"/>
        <v>100</v>
      </c>
      <c r="X15" s="1265"/>
      <c r="Y15" s="3439"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440"/>
      <c r="Q16" s="1263"/>
      <c r="R16" s="667"/>
      <c r="S16" s="668"/>
      <c r="T16" s="667"/>
      <c r="U16" s="668"/>
      <c r="V16" s="667"/>
      <c r="W16" s="668"/>
      <c r="X16" s="1265"/>
      <c r="Y16" s="3440"/>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440"/>
      <c r="Q17" s="1263" t="str">
        <f>B17</f>
        <v>交通便捷度</v>
      </c>
      <c r="R17" s="667" t="s">
        <v>14</v>
      </c>
      <c r="S17" s="668">
        <f>F17</f>
        <v>100</v>
      </c>
      <c r="T17" s="667" t="s">
        <v>14</v>
      </c>
      <c r="U17" s="668">
        <f>H17</f>
        <v>100</v>
      </c>
      <c r="V17" s="667" t="s">
        <v>14</v>
      </c>
      <c r="W17" s="668">
        <f>J17</f>
        <v>100</v>
      </c>
      <c r="X17" s="1265"/>
      <c r="Y17" s="3440"/>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440"/>
      <c r="Q18" s="1263"/>
      <c r="R18" s="667"/>
      <c r="S18" s="668"/>
      <c r="T18" s="667"/>
      <c r="U18" s="668"/>
      <c r="V18" s="667"/>
      <c r="W18" s="668"/>
      <c r="X18" s="1265"/>
      <c r="Y18" s="3440"/>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440"/>
      <c r="Q19" s="1263" t="str">
        <f t="shared" ref="Q19:Q33" si="8">B19</f>
        <v>区域土地利用方向</v>
      </c>
      <c r="R19" s="667" t="s">
        <v>14</v>
      </c>
      <c r="S19" s="668">
        <f>F19</f>
        <v>100</v>
      </c>
      <c r="T19" s="667" t="s">
        <v>14</v>
      </c>
      <c r="U19" s="668">
        <f>H19</f>
        <v>100</v>
      </c>
      <c r="V19" s="667" t="s">
        <v>14</v>
      </c>
      <c r="W19" s="668">
        <f>J19</f>
        <v>100</v>
      </c>
      <c r="X19" s="1265"/>
      <c r="Y19" s="3440"/>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440"/>
      <c r="Q20" s="1263"/>
      <c r="R20" s="667"/>
      <c r="S20" s="668"/>
      <c r="T20" s="667"/>
      <c r="U20" s="668"/>
      <c r="V20" s="667"/>
      <c r="W20" s="668"/>
      <c r="X20" s="1265"/>
      <c r="Y20" s="3440"/>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440"/>
      <c r="Q21" s="1263" t="str">
        <f t="shared" si="8"/>
        <v>环境状况</v>
      </c>
      <c r="R21" s="667" t="s">
        <v>14</v>
      </c>
      <c r="S21" s="668">
        <f>F21</f>
        <v>100</v>
      </c>
      <c r="T21" s="667" t="s">
        <v>14</v>
      </c>
      <c r="U21" s="668">
        <f>H21</f>
        <v>100</v>
      </c>
      <c r="V21" s="667" t="s">
        <v>14</v>
      </c>
      <c r="W21" s="668">
        <f>J21</f>
        <v>100</v>
      </c>
      <c r="X21" s="1265"/>
      <c r="Y21" s="3440"/>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440"/>
      <c r="Q22" s="1263"/>
      <c r="R22" s="667"/>
      <c r="S22" s="668"/>
      <c r="T22" s="667"/>
      <c r="U22" s="668"/>
      <c r="V22" s="667"/>
      <c r="W22" s="668"/>
      <c r="X22" s="1265"/>
      <c r="Y22" s="3440"/>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440"/>
      <c r="Q23" s="530" t="str">
        <f t="shared" si="8"/>
        <v>公共配套设施</v>
      </c>
      <c r="R23" s="664" t="s">
        <v>14</v>
      </c>
      <c r="S23" s="665">
        <f>F23</f>
        <v>100</v>
      </c>
      <c r="T23" s="664" t="s">
        <v>14</v>
      </c>
      <c r="U23" s="665">
        <f>H23</f>
        <v>100</v>
      </c>
      <c r="V23" s="664" t="s">
        <v>14</v>
      </c>
      <c r="W23" s="665">
        <f>J23</f>
        <v>100</v>
      </c>
      <c r="X23" s="666"/>
      <c r="Y23" s="3440"/>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440"/>
      <c r="Q24" s="530"/>
      <c r="R24" s="664"/>
      <c r="S24" s="665"/>
      <c r="T24" s="664"/>
      <c r="U24" s="665"/>
      <c r="V24" s="664"/>
      <c r="W24" s="665"/>
      <c r="X24" s="666"/>
      <c r="Y24" s="3440"/>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440"/>
      <c r="Q25" s="530" t="str">
        <f t="shared" ref="Q25" si="9">B25</f>
        <v>基础设施水平</v>
      </c>
      <c r="R25" s="664" t="s">
        <v>14</v>
      </c>
      <c r="S25" s="665">
        <f>F25</f>
        <v>100</v>
      </c>
      <c r="T25" s="664" t="s">
        <v>14</v>
      </c>
      <c r="U25" s="665">
        <f>H25</f>
        <v>100</v>
      </c>
      <c r="V25" s="664" t="s">
        <v>14</v>
      </c>
      <c r="W25" s="665">
        <f>J25</f>
        <v>100</v>
      </c>
      <c r="X25" s="666"/>
      <c r="Y25" s="3440"/>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440"/>
      <c r="Q26" s="530"/>
      <c r="R26" s="664"/>
      <c r="S26" s="665"/>
      <c r="T26" s="664"/>
      <c r="U26" s="665"/>
      <c r="V26" s="664"/>
      <c r="W26" s="665"/>
      <c r="X26" s="666"/>
      <c r="Y26" s="3440"/>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440"/>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40"/>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440"/>
      <c r="Q28" s="1263" t="str">
        <f t="shared" si="8"/>
        <v>毗邻道路的类型与等级</v>
      </c>
      <c r="R28" s="667" t="s">
        <v>14</v>
      </c>
      <c r="S28" s="668">
        <f t="shared" si="10"/>
        <v>100</v>
      </c>
      <c r="T28" s="667" t="s">
        <v>14</v>
      </c>
      <c r="U28" s="668">
        <f t="shared" si="11"/>
        <v>100</v>
      </c>
      <c r="V28" s="667" t="s">
        <v>14</v>
      </c>
      <c r="W28" s="668">
        <f t="shared" si="12"/>
        <v>100</v>
      </c>
      <c r="X28" s="1265"/>
      <c r="Y28" s="3440"/>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440"/>
      <c r="Q29" s="1263"/>
      <c r="R29" s="667"/>
      <c r="S29" s="668"/>
      <c r="T29" s="667"/>
      <c r="U29" s="668"/>
      <c r="V29" s="667"/>
      <c r="W29" s="668"/>
      <c r="X29" s="1265"/>
      <c r="Y29" s="3440"/>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440"/>
      <c r="Q30" s="1263" t="str">
        <f t="shared" si="8"/>
        <v>土地级别</v>
      </c>
      <c r="R30" s="667" t="s">
        <v>14</v>
      </c>
      <c r="S30" s="668">
        <f t="shared" si="10"/>
        <v>100</v>
      </c>
      <c r="T30" s="667" t="s">
        <v>14</v>
      </c>
      <c r="U30" s="668">
        <f t="shared" si="11"/>
        <v>100</v>
      </c>
      <c r="V30" s="667" t="s">
        <v>14</v>
      </c>
      <c r="W30" s="668">
        <f t="shared" si="12"/>
        <v>100</v>
      </c>
      <c r="X30" s="1265"/>
      <c r="Y30" s="3440"/>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40"/>
      <c r="Q31" s="1263">
        <f t="shared" si="8"/>
        <v>111</v>
      </c>
      <c r="R31" s="667" t="s">
        <v>14</v>
      </c>
      <c r="S31" s="668">
        <f t="shared" si="10"/>
        <v>100</v>
      </c>
      <c r="T31" s="667" t="s">
        <v>14</v>
      </c>
      <c r="U31" s="668">
        <f t="shared" si="11"/>
        <v>100</v>
      </c>
      <c r="V31" s="667" t="s">
        <v>14</v>
      </c>
      <c r="W31" s="668">
        <f t="shared" si="12"/>
        <v>100</v>
      </c>
      <c r="X31" s="1265"/>
      <c r="Y31" s="3440"/>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63" t="s">
        <v>1696</v>
      </c>
      <c r="Q32" s="1263">
        <f t="shared" si="8"/>
        <v>111</v>
      </c>
      <c r="R32" s="667" t="s">
        <v>14</v>
      </c>
      <c r="S32" s="668">
        <f t="shared" si="10"/>
        <v>100</v>
      </c>
      <c r="T32" s="667" t="s">
        <v>14</v>
      </c>
      <c r="U32" s="668">
        <f t="shared" si="11"/>
        <v>100</v>
      </c>
      <c r="V32" s="667" t="s">
        <v>14</v>
      </c>
      <c r="W32" s="668">
        <f t="shared" si="12"/>
        <v>100</v>
      </c>
      <c r="X32" s="1265"/>
      <c r="Y32" s="3444"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44"/>
      <c r="Q33" s="1263">
        <f t="shared" si="8"/>
        <v>111</v>
      </c>
      <c r="R33" s="669" t="s">
        <v>14</v>
      </c>
      <c r="S33" s="670">
        <f t="shared" si="10"/>
        <v>100</v>
      </c>
      <c r="T33" s="669" t="s">
        <v>14</v>
      </c>
      <c r="U33" s="670">
        <f t="shared" si="11"/>
        <v>100</v>
      </c>
      <c r="V33" s="669" t="s">
        <v>14</v>
      </c>
      <c r="W33" s="670">
        <f t="shared" si="12"/>
        <v>100</v>
      </c>
      <c r="X33" s="671"/>
      <c r="Y33" s="3444"/>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44"/>
      <c r="Q34" s="1263" t="str">
        <f>B34</f>
        <v>宗地面积</v>
      </c>
      <c r="R34" s="667" t="s">
        <v>14</v>
      </c>
      <c r="S34" s="668" t="e">
        <f t="shared" si="10"/>
        <v>#N/A</v>
      </c>
      <c r="T34" s="667" t="s">
        <v>14</v>
      </c>
      <c r="U34" s="668" t="e">
        <f t="shared" si="11"/>
        <v>#N/A</v>
      </c>
      <c r="V34" s="667" t="s">
        <v>14</v>
      </c>
      <c r="W34" s="668" t="e">
        <f t="shared" si="12"/>
        <v>#N/A</v>
      </c>
      <c r="X34" s="1265"/>
      <c r="Y34" s="3444"/>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444"/>
      <c r="Q35" s="1263" t="str">
        <f t="shared" ref="Q35:Q40" si="14">B35</f>
        <v>宗地形状</v>
      </c>
      <c r="R35" s="667" t="s">
        <v>14</v>
      </c>
      <c r="S35" s="668">
        <f t="shared" si="10"/>
        <v>100</v>
      </c>
      <c r="T35" s="667" t="s">
        <v>14</v>
      </c>
      <c r="U35" s="668">
        <f t="shared" si="11"/>
        <v>100</v>
      </c>
      <c r="V35" s="667" t="s">
        <v>14</v>
      </c>
      <c r="W35" s="668">
        <f t="shared" si="12"/>
        <v>100</v>
      </c>
      <c r="X35" s="1265"/>
      <c r="Y35" s="3444"/>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444"/>
      <c r="Q36" s="1263" t="str">
        <f t="shared" si="14"/>
        <v>宗地开发程度</v>
      </c>
      <c r="R36" s="664" t="s">
        <v>14</v>
      </c>
      <c r="S36" s="665">
        <f t="shared" si="10"/>
        <v>100</v>
      </c>
      <c r="T36" s="664" t="s">
        <v>14</v>
      </c>
      <c r="U36" s="665">
        <f t="shared" si="11"/>
        <v>100</v>
      </c>
      <c r="V36" s="664" t="s">
        <v>14</v>
      </c>
      <c r="W36" s="665">
        <f t="shared" si="12"/>
        <v>100</v>
      </c>
      <c r="X36" s="666"/>
      <c r="Y36" s="3444"/>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444" t="s">
        <v>1696</v>
      </c>
      <c r="Q37" s="1263" t="str">
        <f t="shared" si="14"/>
        <v>工程地质条件</v>
      </c>
      <c r="R37" s="667" t="s">
        <v>14</v>
      </c>
      <c r="S37" s="668">
        <f t="shared" si="10"/>
        <v>100</v>
      </c>
      <c r="T37" s="667" t="s">
        <v>14</v>
      </c>
      <c r="U37" s="668">
        <f t="shared" si="11"/>
        <v>100</v>
      </c>
      <c r="V37" s="667" t="s">
        <v>14</v>
      </c>
      <c r="W37" s="668">
        <f t="shared" si="12"/>
        <v>100</v>
      </c>
      <c r="X37" s="1265"/>
      <c r="Y37" s="3444"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44"/>
      <c r="Q38" s="1263">
        <f t="shared" si="14"/>
        <v>111</v>
      </c>
      <c r="R38" s="667" t="s">
        <v>14</v>
      </c>
      <c r="S38" s="668">
        <f t="shared" si="10"/>
        <v>100</v>
      </c>
      <c r="T38" s="667" t="s">
        <v>14</v>
      </c>
      <c r="U38" s="668">
        <f t="shared" si="11"/>
        <v>100</v>
      </c>
      <c r="V38" s="667" t="s">
        <v>14</v>
      </c>
      <c r="W38" s="668">
        <f t="shared" si="12"/>
        <v>100</v>
      </c>
      <c r="X38" s="1265"/>
      <c r="Y38" s="3444"/>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44"/>
      <c r="Q39" s="1263">
        <f t="shared" si="14"/>
        <v>111</v>
      </c>
      <c r="R39" s="667" t="s">
        <v>14</v>
      </c>
      <c r="S39" s="668">
        <f t="shared" si="10"/>
        <v>100</v>
      </c>
      <c r="T39" s="667" t="s">
        <v>14</v>
      </c>
      <c r="U39" s="668">
        <f t="shared" si="11"/>
        <v>100</v>
      </c>
      <c r="V39" s="667" t="s">
        <v>14</v>
      </c>
      <c r="W39" s="668">
        <f t="shared" si="12"/>
        <v>100</v>
      </c>
      <c r="X39" s="1265"/>
      <c r="Y39" s="3444"/>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44"/>
      <c r="Q40" s="1263">
        <f t="shared" si="14"/>
        <v>111</v>
      </c>
      <c r="R40" s="669" t="s">
        <v>14</v>
      </c>
      <c r="S40" s="670">
        <f t="shared" si="10"/>
        <v>100</v>
      </c>
      <c r="T40" s="669" t="s">
        <v>14</v>
      </c>
      <c r="U40" s="670">
        <f t="shared" si="11"/>
        <v>100</v>
      </c>
      <c r="V40" s="669" t="s">
        <v>14</v>
      </c>
      <c r="W40" s="670">
        <f t="shared" si="12"/>
        <v>100</v>
      </c>
      <c r="X40" s="671"/>
      <c r="Y40" s="3444"/>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2"/>
      <c r="M41" s="2485"/>
      <c r="N41" s="2485"/>
      <c r="O41" s="2485"/>
      <c r="P41" s="3438" t="str">
        <f>A41</f>
        <v>成交单价</v>
      </c>
      <c r="Q41" s="3438"/>
      <c r="R41" s="3433">
        <f>E41</f>
        <v>0</v>
      </c>
      <c r="S41" s="3433"/>
      <c r="T41" s="3433">
        <f>G41</f>
        <v>0</v>
      </c>
      <c r="U41" s="3433"/>
      <c r="V41" s="3433">
        <f>I41</f>
        <v>0</v>
      </c>
      <c r="W41" s="3433"/>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2"/>
      <c r="M42" s="2485"/>
      <c r="N42" s="2485"/>
      <c r="O42" s="2485"/>
      <c r="P42" s="3438" t="str">
        <f>A42</f>
        <v>比较价值（元/平方米）</v>
      </c>
      <c r="Q42" s="3438"/>
      <c r="R42" s="3465" t="e">
        <f>ROUND(PRODUCT(R41,AA7:AA40),0)</f>
        <v>#DIV/0!</v>
      </c>
      <c r="S42" s="3465"/>
      <c r="T42" s="3465" t="e">
        <f>ROUND(PRODUCT(T41,AB7:AB40),0)</f>
        <v>#DIV/0!</v>
      </c>
      <c r="U42" s="3465"/>
      <c r="V42" s="3465" t="e">
        <f>ROUND(PRODUCT(V41,AC7:AC40),0)</f>
        <v>#DIV/0!</v>
      </c>
      <c r="W42" s="3465"/>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2"/>
      <c r="M43" s="2485"/>
      <c r="N43" s="2485"/>
      <c r="O43" s="2485"/>
      <c r="P43" s="3435" t="str">
        <f>A43</f>
        <v>估价对象XX用房的比较价值（楼面单价，元/平方米）</v>
      </c>
      <c r="Q43" s="3436"/>
      <c r="R43" s="3466" t="e">
        <f>ROUND(IF(D42="简单平均",AVERAGE(R42:W42),R42*F42+T42*H42+V42*J42),0)</f>
        <v>#DIV/0!</v>
      </c>
      <c r="S43" s="3466"/>
      <c r="T43" s="3466"/>
      <c r="U43" s="3466"/>
      <c r="V43" s="3466"/>
      <c r="W43" s="3466"/>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4"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4" t="s">
        <v>1881</v>
      </c>
      <c r="B50" s="605" t="s">
        <v>1882</v>
      </c>
      <c r="C50" s="1831" t="s">
        <v>1883</v>
      </c>
      <c r="D50" s="1832" t="s">
        <v>1884</v>
      </c>
      <c r="E50" s="606" t="s">
        <v>1885</v>
      </c>
      <c r="F50" s="607" t="s">
        <v>1886</v>
      </c>
      <c r="G50" s="3421" t="s">
        <v>1887</v>
      </c>
      <c r="H50" s="3467"/>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2170.1999999999998</v>
      </c>
      <c r="F51" s="611" t="e">
        <f t="shared" ref="F51:F60" si="15">ROUND(B51*E51/10000,0)</f>
        <v>#DIV/0!</v>
      </c>
      <c r="G51" s="3420"/>
      <c r="H51" s="3438"/>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0.6</v>
      </c>
      <c r="D52" s="891">
        <v>0.25</v>
      </c>
      <c r="E52" s="614"/>
      <c r="F52" s="611" t="e">
        <f t="shared" si="15"/>
        <v>#DIV/0!</v>
      </c>
      <c r="G52" s="2748" t="s">
        <v>1892</v>
      </c>
      <c r="H52" s="834" t="str">
        <f>项目基本情况!B37</f>
        <v>四级</v>
      </c>
      <c r="I52" s="727">
        <f>SUMIF(修正!A57:A68,H52,修正!B57:B68)</f>
        <v>0.6</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0.3</v>
      </c>
      <c r="D53" s="891">
        <v>0.25</v>
      </c>
      <c r="E53" s="614"/>
      <c r="F53" s="611" t="e">
        <f t="shared" si="15"/>
        <v>#DIV/0!</v>
      </c>
      <c r="G53" s="2749"/>
      <c r="H53" s="834" t="str">
        <f>项目基本情况!B37</f>
        <v>四级</v>
      </c>
      <c r="I53" s="727">
        <f>SUMIF(修正!A57:A68,H53,修正!C57:C68)</f>
        <v>0.3</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0.25</v>
      </c>
      <c r="D54" s="891">
        <v>0.25</v>
      </c>
      <c r="E54" s="614"/>
      <c r="F54" s="611" t="e">
        <f t="shared" si="15"/>
        <v>#DIV/0!</v>
      </c>
      <c r="G54" s="2749"/>
      <c r="H54" s="834" t="str">
        <f>项目基本情况!B37</f>
        <v>四级</v>
      </c>
      <c r="I54" s="727">
        <f>SUMIF(修正!A57:A68,H54,修正!D57:D68)</f>
        <v>0.25</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0.25</v>
      </c>
      <c r="D56" s="891">
        <v>0.25</v>
      </c>
      <c r="E56" s="209">
        <f>'数据-汇总表'!E11</f>
        <v>0</v>
      </c>
      <c r="F56" s="611" t="e">
        <f t="shared" si="15"/>
        <v>#DIV/0!</v>
      </c>
      <c r="G56" s="1835" t="s">
        <v>1896</v>
      </c>
      <c r="H56" s="834" t="str">
        <f>项目基本情况!C37</f>
        <v>四级</v>
      </c>
      <c r="I56" s="727">
        <f>SUMIF(修正!A57:A68,H56,修正!E57:E68)</f>
        <v>0.25</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四级</v>
      </c>
      <c r="I57" s="727">
        <f>SUMIF(修正!A57:A68,H57,修正!F57:F68)</f>
        <v>0.25</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0.15</v>
      </c>
      <c r="D59" s="891">
        <v>0.25</v>
      </c>
      <c r="E59" s="209">
        <f>'数据-汇总表'!E14</f>
        <v>0</v>
      </c>
      <c r="F59" s="611" t="e">
        <f t="shared" si="15"/>
        <v>#DIV/0!</v>
      </c>
      <c r="G59" s="1835" t="s">
        <v>1892</v>
      </c>
      <c r="H59" s="834" t="str">
        <f>项目基本情况!B37</f>
        <v>四级</v>
      </c>
      <c r="I59" s="727">
        <f>SUMIF(修正!A57:A68,H59,修正!G57:G68)</f>
        <v>0.15</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4" thickBot="1">
      <c r="A60" s="613" t="s">
        <v>1902</v>
      </c>
      <c r="B60" s="210" t="e">
        <f t="shared" si="17"/>
        <v>#DIV/0!</v>
      </c>
      <c r="C60" s="163">
        <f t="shared" si="16"/>
        <v>0.15</v>
      </c>
      <c r="D60" s="891">
        <v>0.25</v>
      </c>
      <c r="E60" s="209">
        <f>'数据-汇总表'!E15</f>
        <v>0</v>
      </c>
      <c r="F60" s="611" t="e">
        <f t="shared" si="15"/>
        <v>#DIV/0!</v>
      </c>
      <c r="G60" s="1836" t="s">
        <v>1896</v>
      </c>
      <c r="H60" s="844" t="str">
        <f>项目基本情况!C37</f>
        <v>四级</v>
      </c>
      <c r="I60" s="727">
        <f>SUMIF(修正!A57:A68,H60,修正!G57:G68)</f>
        <v>0.15</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4" thickBot="1">
      <c r="A61" s="615" t="s">
        <v>1903</v>
      </c>
      <c r="B61" s="616" t="s">
        <v>22</v>
      </c>
      <c r="C61" s="616" t="s">
        <v>23</v>
      </c>
      <c r="D61" s="616" t="s">
        <v>392</v>
      </c>
      <c r="E61" s="616">
        <f>IF(B41="楼面地价",SUM(E51:E60),'数据-汇总表'!D3)</f>
        <v>1778.06</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2025-4-1</v>
      </c>
      <c r="D63" s="656">
        <f>EDATE(C63,-3)</f>
        <v>45658</v>
      </c>
      <c r="E63" s="656">
        <f>EDATE(D63,-3)</f>
        <v>45566</v>
      </c>
      <c r="F63" s="656">
        <f t="shared" ref="F63:O63" si="18">EDATE(E63,-3)</f>
        <v>45474</v>
      </c>
      <c r="G63" s="656">
        <f t="shared" si="18"/>
        <v>45383</v>
      </c>
      <c r="H63" s="656">
        <f t="shared" si="18"/>
        <v>45292</v>
      </c>
      <c r="I63" s="656">
        <f t="shared" si="18"/>
        <v>45200</v>
      </c>
      <c r="J63" s="656">
        <f t="shared" si="18"/>
        <v>45108</v>
      </c>
      <c r="K63" s="656">
        <f t="shared" si="18"/>
        <v>45017</v>
      </c>
      <c r="L63" s="656">
        <f t="shared" si="18"/>
        <v>44927</v>
      </c>
      <c r="M63" s="656">
        <f t="shared" si="18"/>
        <v>44835</v>
      </c>
      <c r="N63" s="656">
        <f t="shared" si="18"/>
        <v>44743</v>
      </c>
      <c r="O63" s="656">
        <f t="shared" si="18"/>
        <v>44652</v>
      </c>
      <c r="P63" s="2485"/>
      <c r="Q63" s="2485"/>
      <c r="R63" s="2485"/>
      <c r="S63" s="2485"/>
      <c r="T63" s="2485"/>
      <c r="U63" s="2485"/>
      <c r="V63" s="2485"/>
      <c r="W63" s="2485"/>
      <c r="X63" s="2485"/>
      <c r="Y63" s="2485"/>
      <c r="Z63" s="2485"/>
      <c r="AA63" s="2485"/>
      <c r="AB63" s="2485"/>
      <c r="AC63" s="2485"/>
      <c r="AD63" s="2485"/>
      <c r="AE63" s="2485"/>
    </row>
    <row r="64" spans="1:31" ht="22.2"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4.4">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4.4">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4.4"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ht="14.4">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4"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4"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4"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4"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4"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4"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ht="14.4">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4"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4"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4"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4"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25" priority="13" stopIfTrue="1">
      <formula>$F$46="超过30%"</formula>
    </cfRule>
  </conditionalFormatting>
  <conditionalFormatting sqref="E47">
    <cfRule type="expression" dxfId="24" priority="53" stopIfTrue="1">
      <formula>#REF!+$F$47="超过20%"</formula>
    </cfRule>
  </conditionalFormatting>
  <conditionalFormatting sqref="E48">
    <cfRule type="expression" dxfId="23" priority="10" stopIfTrue="1">
      <formula>$F$48="超过30%"</formula>
    </cfRule>
  </conditionalFormatting>
  <conditionalFormatting sqref="F7:F40 H7:H40 J7:J40">
    <cfRule type="cellIs" dxfId="22" priority="1" operator="notEqual">
      <formula>100</formula>
    </cfRule>
  </conditionalFormatting>
  <conditionalFormatting sqref="F42">
    <cfRule type="expression" dxfId="21" priority="4">
      <formula>$D$42="简单平均"</formula>
    </cfRule>
  </conditionalFormatting>
  <conditionalFormatting sqref="F46:F48 H46:H48 J46:J48">
    <cfRule type="containsText" dxfId="20" priority="14" stopIfTrue="1" operator="containsText" text="超过">
      <formula>NOT(ISERROR(SEARCH("超过",F46)))</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G48">
    <cfRule type="expression" dxfId="17" priority="12" stopIfTrue="1">
      <formula>$H$48="超过30%"</formula>
    </cfRule>
  </conditionalFormatting>
  <conditionalFormatting sqref="H42">
    <cfRule type="expression" dxfId="16" priority="3">
      <formula>$D$42="简单平均"</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J42">
    <cfRule type="expression" dxfId="12"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75" t="s">
        <v>2084</v>
      </c>
      <c r="D1" s="3476"/>
      <c r="E1" s="3476"/>
      <c r="F1" s="3476"/>
      <c r="G1" s="3476"/>
      <c r="H1" s="3476"/>
      <c r="I1" s="3476"/>
      <c r="J1" s="3476"/>
      <c r="K1" s="3476"/>
      <c r="L1" s="3476"/>
      <c r="M1" s="3476"/>
      <c r="N1" s="3476"/>
      <c r="O1" s="3476"/>
      <c r="P1" s="3476"/>
      <c r="Q1" s="3476"/>
      <c r="R1" s="3476"/>
      <c r="S1" s="3477"/>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72" t="s">
        <v>27</v>
      </c>
      <c r="D22" s="3473"/>
      <c r="E22" s="3473"/>
      <c r="F22" s="3473"/>
      <c r="G22" s="3473"/>
      <c r="H22" s="3473"/>
      <c r="I22" s="3473"/>
      <c r="J22" s="3473"/>
      <c r="K22" s="3473"/>
      <c r="L22" s="3473"/>
      <c r="M22" s="3473"/>
      <c r="N22" s="3473"/>
      <c r="O22" s="3473"/>
      <c r="P22" s="3473"/>
      <c r="Q22" s="3474"/>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2"/>
      <c r="G1" s="2542"/>
      <c r="H1" s="2542"/>
      <c r="I1" s="2542"/>
      <c r="J1" s="2542"/>
      <c r="K1" s="2542"/>
      <c r="L1" s="2542"/>
      <c r="M1" s="2542"/>
      <c r="N1" s="2542"/>
      <c r="O1" s="2542"/>
      <c r="P1" s="2542"/>
    </row>
    <row r="2" spans="1:16" ht="15.6">
      <c r="A2" s="1984" t="s">
        <v>2073</v>
      </c>
      <c r="B2" s="2386">
        <f ca="1">SUMIF(B6:B13,"&lt;&gt;#ref!",B6:B13)</f>
        <v>4073</v>
      </c>
      <c r="C2" s="1984" t="s">
        <v>2074</v>
      </c>
      <c r="D2" s="1984" t="s">
        <v>2075</v>
      </c>
      <c r="E2" s="2396">
        <f ca="1">SUMIF(E6:E13,"&lt;&gt;#ref!",E6:E13)</f>
        <v>2170.1999999999998</v>
      </c>
      <c r="F2" s="2542"/>
      <c r="G2" s="2542"/>
      <c r="H2" s="2542"/>
      <c r="I2" s="2542"/>
      <c r="J2" s="2542"/>
      <c r="K2" s="2542"/>
      <c r="L2" s="2542"/>
      <c r="M2" s="2542"/>
      <c r="N2" s="2542"/>
      <c r="O2" s="2542"/>
      <c r="P2" s="2542"/>
    </row>
    <row r="3" spans="1:16" ht="15.6">
      <c r="A3" s="1984" t="s">
        <v>2076</v>
      </c>
      <c r="B3" s="2386">
        <f ca="1">ROUND(B2*10000/E2,0)</f>
        <v>18768</v>
      </c>
      <c r="C3" s="1984" t="s">
        <v>2082</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2" t="s">
        <v>2077</v>
      </c>
      <c r="B5" s="2394" t="s">
        <v>2078</v>
      </c>
      <c r="C5" s="1985"/>
      <c r="D5" s="2542"/>
      <c r="E5" s="2395" t="s">
        <v>2079</v>
      </c>
      <c r="F5" s="2542"/>
      <c r="G5" s="2542"/>
      <c r="H5" s="2542"/>
      <c r="I5" s="2542"/>
      <c r="J5" s="2542"/>
      <c r="K5" s="2542"/>
      <c r="L5" s="2542"/>
      <c r="M5" s="2542"/>
      <c r="N5" s="2542"/>
      <c r="O5" s="2542"/>
      <c r="P5" s="2542"/>
    </row>
    <row r="6" spans="1:16" ht="15.6">
      <c r="A6" s="2393" t="s">
        <v>2080</v>
      </c>
      <c r="B6" s="2386">
        <f ca="1">SUMIF(INDIRECT("'"&amp;A6&amp;"'"&amp;"!A:A"),"总价",INDIRECT("'"&amp;A6&amp;"'"&amp;"!B:B"))</f>
        <v>4073</v>
      </c>
      <c r="C6" s="1984" t="s">
        <v>2074</v>
      </c>
      <c r="D6" s="2542"/>
      <c r="E6" s="2396">
        <f ca="1">SUMIF(INDIRECT("'"&amp;A6&amp;"'"&amp;"!C:C"),"建筑面积",INDIRECT("'"&amp;A6&amp;"'"&amp;"!D:D"))</f>
        <v>2170.1999999999998</v>
      </c>
      <c r="F6" s="2542"/>
      <c r="G6" s="2542"/>
      <c r="H6" s="2542"/>
      <c r="I6" s="2542"/>
      <c r="J6" s="2542"/>
      <c r="K6" s="2542"/>
      <c r="L6" s="2542"/>
      <c r="M6" s="2542"/>
      <c r="N6" s="2542"/>
      <c r="O6" s="2542"/>
      <c r="P6" s="2542"/>
    </row>
    <row r="7" spans="1:16" ht="15.6">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6">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6">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6">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6">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6">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6">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2590</v>
      </c>
      <c r="B1" s="2809" t="s">
        <v>2591</v>
      </c>
      <c r="C1" s="2809" t="s">
        <v>2592</v>
      </c>
      <c r="D1" s="2809" t="s">
        <v>2593</v>
      </c>
      <c r="E1" s="2809" t="s">
        <v>2594</v>
      </c>
      <c r="F1" s="2809" t="s">
        <v>2595</v>
      </c>
      <c r="G1" s="2809" t="s">
        <v>2596</v>
      </c>
      <c r="H1" s="2809" t="s">
        <v>2597</v>
      </c>
      <c r="I1" s="2809" t="s">
        <v>2598</v>
      </c>
      <c r="J1" s="2809" t="s">
        <v>2599</v>
      </c>
      <c r="K1" s="2809" t="s">
        <v>2600</v>
      </c>
      <c r="L1" s="2809" t="s">
        <v>2601</v>
      </c>
      <c r="M1" s="2810" t="s">
        <v>2602</v>
      </c>
    </row>
    <row r="2" spans="1:13" ht="19.5" customHeight="1">
      <c r="A2" s="2812" t="s">
        <v>2603</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2604</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2605</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2606</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2607</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2608</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2609</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2610</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2611</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2612</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2613</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2614</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2615</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2616</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2617</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2618</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2619</v>
      </c>
      <c r="B18" s="2834"/>
      <c r="C18" s="2835"/>
      <c r="D18" s="2835"/>
      <c r="E18" s="2834"/>
      <c r="F18" s="2835"/>
      <c r="G18" s="2835"/>
    </row>
    <row r="19" spans="1:13" ht="19.5" customHeight="1" thickBot="1">
      <c r="A19" s="2832" t="s">
        <v>2620</v>
      </c>
      <c r="B19" s="2837" t="s">
        <v>2621</v>
      </c>
      <c r="C19" s="2837" t="s">
        <v>2622</v>
      </c>
      <c r="D19" s="2838"/>
      <c r="E19" s="2832" t="s">
        <v>2623</v>
      </c>
      <c r="F19" s="2839"/>
      <c r="G19" s="2839"/>
    </row>
    <row r="20" spans="1:13" ht="19.5" customHeight="1">
      <c r="A20" s="3485" t="s">
        <v>2603</v>
      </c>
      <c r="B20" s="3478" t="s">
        <v>2624</v>
      </c>
      <c r="C20" s="2840" t="s">
        <v>2435</v>
      </c>
      <c r="D20" s="2841"/>
      <c r="E20" s="2842">
        <v>1</v>
      </c>
      <c r="F20" s="2843" t="s">
        <v>2436</v>
      </c>
      <c r="G20" s="2843"/>
    </row>
    <row r="21" spans="1:13" ht="19.5" customHeight="1">
      <c r="A21" s="3486"/>
      <c r="B21" s="3479"/>
      <c r="C21" s="2844" t="s">
        <v>2437</v>
      </c>
      <c r="D21" s="2845"/>
      <c r="E21" s="2846">
        <v>1</v>
      </c>
      <c r="F21" s="2843" t="s">
        <v>2438</v>
      </c>
      <c r="G21" s="2843"/>
    </row>
    <row r="22" spans="1:13" ht="19.5" customHeight="1">
      <c r="A22" s="3486"/>
      <c r="B22" s="3479"/>
      <c r="C22" s="2844" t="s">
        <v>2439</v>
      </c>
      <c r="D22" s="2845"/>
      <c r="E22" s="2846">
        <v>0.9</v>
      </c>
      <c r="F22" s="2843" t="s">
        <v>2440</v>
      </c>
      <c r="G22" s="2843"/>
    </row>
    <row r="23" spans="1:13" ht="19.5" customHeight="1">
      <c r="A23" s="3486"/>
      <c r="B23" s="3479"/>
      <c r="C23" s="2844" t="s">
        <v>2441</v>
      </c>
      <c r="D23" s="2845"/>
      <c r="E23" s="2846">
        <v>0.9</v>
      </c>
      <c r="F23" s="2843" t="s">
        <v>2442</v>
      </c>
      <c r="G23" s="2843"/>
    </row>
    <row r="24" spans="1:13" ht="19.5" customHeight="1">
      <c r="A24" s="3486"/>
      <c r="B24" s="3479"/>
      <c r="C24" s="2844" t="s">
        <v>2443</v>
      </c>
      <c r="D24" s="2845"/>
      <c r="E24" s="2846">
        <v>0.8</v>
      </c>
      <c r="F24" s="2843" t="s">
        <v>2444</v>
      </c>
      <c r="G24" s="2843"/>
    </row>
    <row r="25" spans="1:13" ht="19.5" customHeight="1" thickBot="1">
      <c r="A25" s="3487"/>
      <c r="B25" s="3480"/>
      <c r="C25" s="2847" t="s">
        <v>2445</v>
      </c>
      <c r="D25" s="2848"/>
      <c r="E25" s="2849">
        <v>0.8</v>
      </c>
      <c r="F25" s="2843" t="s">
        <v>2446</v>
      </c>
      <c r="G25" s="2843"/>
    </row>
    <row r="26" spans="1:13" ht="19.5" customHeight="1" thickBot="1">
      <c r="A26" s="2850" t="s">
        <v>2625</v>
      </c>
      <c r="B26" s="2851" t="s">
        <v>2624</v>
      </c>
      <c r="C26" s="2852" t="s">
        <v>2626</v>
      </c>
      <c r="D26" s="2853"/>
      <c r="E26" s="2854">
        <v>1</v>
      </c>
      <c r="F26" s="2843" t="s">
        <v>2447</v>
      </c>
      <c r="G26" s="2843"/>
    </row>
    <row r="27" spans="1:13" ht="19.5" customHeight="1">
      <c r="A27" s="3481" t="s">
        <v>2627</v>
      </c>
      <c r="B27" s="3478" t="s">
        <v>2608</v>
      </c>
      <c r="C27" s="2840" t="s">
        <v>2448</v>
      </c>
      <c r="D27" s="2841"/>
      <c r="E27" s="2842">
        <v>1</v>
      </c>
      <c r="F27" s="2843" t="s">
        <v>2449</v>
      </c>
      <c r="G27" s="2843"/>
    </row>
    <row r="28" spans="1:13" ht="19.5" customHeight="1">
      <c r="A28" s="3482"/>
      <c r="B28" s="3479"/>
      <c r="C28" s="2844" t="s">
        <v>2450</v>
      </c>
      <c r="D28" s="2845"/>
      <c r="E28" s="2846">
        <v>1</v>
      </c>
      <c r="F28" s="2843" t="s">
        <v>2451</v>
      </c>
      <c r="G28" s="2843"/>
    </row>
    <row r="29" spans="1:13" ht="19.5" customHeight="1">
      <c r="A29" s="3482"/>
      <c r="B29" s="3479"/>
      <c r="C29" s="2844" t="s">
        <v>2452</v>
      </c>
      <c r="D29" s="2845"/>
      <c r="E29" s="2846">
        <v>0.8</v>
      </c>
      <c r="F29" s="2843" t="s">
        <v>2453</v>
      </c>
      <c r="G29" s="2843"/>
    </row>
    <row r="30" spans="1:13" ht="19.5" customHeight="1">
      <c r="A30" s="3482"/>
      <c r="B30" s="3479"/>
      <c r="C30" s="2844" t="s">
        <v>2454</v>
      </c>
      <c r="D30" s="2845"/>
      <c r="E30" s="2846">
        <v>0.8</v>
      </c>
      <c r="F30" s="2843" t="s">
        <v>2455</v>
      </c>
      <c r="G30" s="2843"/>
    </row>
    <row r="31" spans="1:13" ht="19.5" customHeight="1">
      <c r="A31" s="3482"/>
      <c r="B31" s="3479"/>
      <c r="C31" s="2844" t="s">
        <v>2456</v>
      </c>
      <c r="D31" s="2845"/>
      <c r="E31" s="2846">
        <v>0.8</v>
      </c>
      <c r="F31" s="2843" t="s">
        <v>2457</v>
      </c>
      <c r="G31" s="2843"/>
    </row>
    <row r="32" spans="1:13" ht="19.5" customHeight="1">
      <c r="A32" s="3482"/>
      <c r="B32" s="3479"/>
      <c r="C32" s="2844" t="s">
        <v>2458</v>
      </c>
      <c r="D32" s="2845"/>
      <c r="E32" s="2846">
        <v>0.7</v>
      </c>
      <c r="F32" s="2843" t="s">
        <v>2459</v>
      </c>
      <c r="G32" s="2843"/>
    </row>
    <row r="33" spans="1:7" ht="19.5" customHeight="1">
      <c r="A33" s="3482"/>
      <c r="B33" s="3479"/>
      <c r="C33" s="2844" t="s">
        <v>2460</v>
      </c>
      <c r="D33" s="2845"/>
      <c r="E33" s="2846">
        <v>0.8</v>
      </c>
      <c r="F33" s="2843" t="s">
        <v>2461</v>
      </c>
      <c r="G33" s="2843"/>
    </row>
    <row r="34" spans="1:7" ht="19.5" customHeight="1">
      <c r="A34" s="3482"/>
      <c r="B34" s="3479"/>
      <c r="C34" s="2844" t="s">
        <v>2462</v>
      </c>
      <c r="D34" s="2845"/>
      <c r="E34" s="2846">
        <v>0.6</v>
      </c>
      <c r="F34" s="2843" t="s">
        <v>2463</v>
      </c>
      <c r="G34" s="2843"/>
    </row>
    <row r="35" spans="1:7" ht="19.5" customHeight="1">
      <c r="A35" s="3482"/>
      <c r="B35" s="3479"/>
      <c r="C35" s="2844" t="s">
        <v>2464</v>
      </c>
      <c r="D35" s="2845"/>
      <c r="E35" s="2846">
        <v>0.2</v>
      </c>
      <c r="F35" s="2843" t="s">
        <v>2465</v>
      </c>
      <c r="G35" s="2843"/>
    </row>
    <row r="36" spans="1:7" ht="19.5" customHeight="1">
      <c r="A36" s="3482"/>
      <c r="B36" s="3479"/>
      <c r="C36" s="2844" t="s">
        <v>2466</v>
      </c>
      <c r="D36" s="2845"/>
      <c r="E36" s="2846">
        <v>0.2</v>
      </c>
      <c r="F36" s="2843" t="s">
        <v>2467</v>
      </c>
      <c r="G36" s="2843"/>
    </row>
    <row r="37" spans="1:7" ht="19.5" customHeight="1">
      <c r="A37" s="3482"/>
      <c r="B37" s="3484" t="s">
        <v>2628</v>
      </c>
      <c r="C37" s="2844" t="s">
        <v>2468</v>
      </c>
      <c r="D37" s="2845"/>
      <c r="E37" s="2846">
        <v>0.6</v>
      </c>
      <c r="F37" s="2843" t="s">
        <v>2469</v>
      </c>
      <c r="G37" s="2843"/>
    </row>
    <row r="38" spans="1:7" ht="19.5" customHeight="1">
      <c r="A38" s="3482"/>
      <c r="B38" s="3479"/>
      <c r="C38" s="2844" t="s">
        <v>2470</v>
      </c>
      <c r="D38" s="2845"/>
      <c r="E38" s="2846">
        <v>0.6</v>
      </c>
      <c r="F38" s="2843" t="s">
        <v>2471</v>
      </c>
      <c r="G38" s="2843"/>
    </row>
    <row r="39" spans="1:7" ht="19.5" customHeight="1" thickBot="1">
      <c r="A39" s="3483"/>
      <c r="B39" s="3480"/>
      <c r="C39" s="2847" t="s">
        <v>2472</v>
      </c>
      <c r="D39" s="2848"/>
      <c r="E39" s="2849">
        <v>0.6</v>
      </c>
      <c r="F39" s="2843" t="s">
        <v>2473</v>
      </c>
      <c r="G39" s="2843"/>
    </row>
    <row r="40" spans="1:7" ht="19.5" customHeight="1" thickBot="1">
      <c r="A40" s="2850" t="s">
        <v>2605</v>
      </c>
      <c r="B40" s="2851" t="s">
        <v>2605</v>
      </c>
      <c r="C40" s="2852" t="s">
        <v>2629</v>
      </c>
      <c r="D40" s="2853"/>
      <c r="E40" s="2854">
        <v>1</v>
      </c>
      <c r="F40" s="2843" t="s">
        <v>2474</v>
      </c>
      <c r="G40" s="2843"/>
    </row>
    <row r="41" spans="1:7" ht="19.5" customHeight="1">
      <c r="A41" s="3485" t="s">
        <v>2606</v>
      </c>
      <c r="B41" s="3478" t="s">
        <v>2630</v>
      </c>
      <c r="C41" s="2840" t="s">
        <v>2475</v>
      </c>
      <c r="D41" s="2841"/>
      <c r="E41" s="2842">
        <v>1</v>
      </c>
      <c r="F41" s="2843" t="s">
        <v>2476</v>
      </c>
      <c r="G41" s="2843"/>
    </row>
    <row r="42" spans="1:7" ht="19.5" customHeight="1">
      <c r="A42" s="3486"/>
      <c r="B42" s="3479"/>
      <c r="C42" s="2844" t="s">
        <v>2477</v>
      </c>
      <c r="D42" s="2845"/>
      <c r="E42" s="2846">
        <v>1</v>
      </c>
      <c r="F42" s="2843" t="s">
        <v>2478</v>
      </c>
      <c r="G42" s="2843"/>
    </row>
    <row r="43" spans="1:7" ht="19.5" customHeight="1">
      <c r="A43" s="3486"/>
      <c r="B43" s="3488"/>
      <c r="C43" s="2844" t="s">
        <v>2479</v>
      </c>
      <c r="D43" s="2845"/>
      <c r="E43" s="2846">
        <v>1.5</v>
      </c>
      <c r="F43" s="2843" t="s">
        <v>2480</v>
      </c>
      <c r="G43" s="2843"/>
    </row>
    <row r="44" spans="1:7" ht="19.5" customHeight="1">
      <c r="A44" s="3486"/>
      <c r="B44" s="2855" t="s">
        <v>2631</v>
      </c>
      <c r="C44" s="2844" t="s">
        <v>2632</v>
      </c>
      <c r="D44" s="2845"/>
      <c r="E44" s="2846">
        <v>2</v>
      </c>
      <c r="F44" s="2843" t="s">
        <v>2481</v>
      </c>
      <c r="G44" s="2843"/>
    </row>
    <row r="45" spans="1:7" ht="19.5" customHeight="1">
      <c r="A45" s="3486"/>
      <c r="B45" s="3484" t="s">
        <v>2633</v>
      </c>
      <c r="C45" s="2844" t="s">
        <v>2482</v>
      </c>
      <c r="D45" s="2845"/>
      <c r="E45" s="2846">
        <v>1</v>
      </c>
      <c r="F45" s="2843" t="s">
        <v>2483</v>
      </c>
      <c r="G45" s="2843"/>
    </row>
    <row r="46" spans="1:7" ht="19.5" customHeight="1">
      <c r="A46" s="3486"/>
      <c r="B46" s="3479"/>
      <c r="C46" s="2844" t="s">
        <v>2484</v>
      </c>
      <c r="D46" s="2845"/>
      <c r="E46" s="2846">
        <v>1</v>
      </c>
      <c r="F46" s="2843" t="s">
        <v>2485</v>
      </c>
      <c r="G46" s="2843"/>
    </row>
    <row r="47" spans="1:7" ht="19.5" customHeight="1">
      <c r="A47" s="3486"/>
      <c r="B47" s="3479"/>
      <c r="C47" s="2844" t="s">
        <v>2486</v>
      </c>
      <c r="D47" s="2845"/>
      <c r="E47" s="2846">
        <v>1</v>
      </c>
      <c r="F47" s="2843" t="s">
        <v>2487</v>
      </c>
      <c r="G47" s="2843"/>
    </row>
    <row r="48" spans="1:7" ht="19.5" customHeight="1">
      <c r="A48" s="3486"/>
      <c r="B48" s="3479"/>
      <c r="C48" s="2844" t="s">
        <v>2488</v>
      </c>
      <c r="D48" s="2845"/>
      <c r="E48" s="2846">
        <v>1</v>
      </c>
      <c r="F48" s="2843" t="s">
        <v>2489</v>
      </c>
      <c r="G48" s="2843"/>
    </row>
    <row r="49" spans="1:7" ht="19.5" customHeight="1">
      <c r="A49" s="3486"/>
      <c r="B49" s="3479"/>
      <c r="C49" s="2844" t="s">
        <v>2490</v>
      </c>
      <c r="D49" s="2845"/>
      <c r="E49" s="2846">
        <v>1</v>
      </c>
      <c r="F49" s="2843" t="s">
        <v>2491</v>
      </c>
      <c r="G49" s="2843"/>
    </row>
    <row r="50" spans="1:7" ht="19.5" customHeight="1">
      <c r="A50" s="3486"/>
      <c r="B50" s="3479"/>
      <c r="C50" s="2844" t="s">
        <v>2492</v>
      </c>
      <c r="D50" s="2845"/>
      <c r="E50" s="2846">
        <v>1</v>
      </c>
      <c r="F50" s="2843" t="s">
        <v>2493</v>
      </c>
      <c r="G50" s="2843"/>
    </row>
    <row r="51" spans="1:7" ht="19.5" customHeight="1" thickBot="1">
      <c r="A51" s="3487"/>
      <c r="B51" s="3480"/>
      <c r="C51" s="2847" t="s">
        <v>2494</v>
      </c>
      <c r="D51" s="2848"/>
      <c r="E51" s="2849">
        <v>1</v>
      </c>
      <c r="F51" s="2843" t="s">
        <v>2495</v>
      </c>
      <c r="G51" s="2843"/>
    </row>
    <row r="52" spans="1:7" ht="19.5" customHeight="1">
      <c r="A52" s="2856"/>
      <c r="B52" s="2856"/>
      <c r="C52" s="2856"/>
      <c r="D52" s="2856"/>
      <c r="E52" s="2856"/>
      <c r="F52" s="2856"/>
      <c r="G52" s="2856"/>
    </row>
    <row r="54" spans="1:7" ht="19.5" customHeight="1">
      <c r="A54" s="2857"/>
      <c r="B54" s="2829" t="s">
        <v>2634</v>
      </c>
      <c r="C54" s="2829" t="s">
        <v>2634</v>
      </c>
      <c r="D54" s="2829" t="s">
        <v>2634</v>
      </c>
      <c r="E54" s="2832" t="s">
        <v>2634</v>
      </c>
      <c r="F54" s="2832" t="s">
        <v>2635</v>
      </c>
      <c r="G54" s="2832" t="s">
        <v>2636</v>
      </c>
    </row>
    <row r="55" spans="1:7" ht="19.5" customHeight="1">
      <c r="A55" s="2858"/>
      <c r="B55" s="2832" t="s">
        <v>2603</v>
      </c>
      <c r="C55" s="2832" t="s">
        <v>2603</v>
      </c>
      <c r="D55" s="2832" t="s">
        <v>2603</v>
      </c>
      <c r="E55" s="2829" t="s">
        <v>2604</v>
      </c>
      <c r="F55" s="2829" t="s">
        <v>2606</v>
      </c>
      <c r="G55" s="2829" t="s">
        <v>2637</v>
      </c>
    </row>
    <row r="56" spans="1:7" ht="19.5" customHeight="1">
      <c r="A56" s="2859"/>
      <c r="B56" s="2829">
        <v>1</v>
      </c>
      <c r="C56" s="2829">
        <v>2</v>
      </c>
      <c r="D56" s="2829">
        <v>3</v>
      </c>
      <c r="E56" s="2860" t="s">
        <v>2638</v>
      </c>
      <c r="F56" s="2860" t="s">
        <v>2638</v>
      </c>
      <c r="G56" s="2860" t="s">
        <v>2638</v>
      </c>
    </row>
    <row r="57" spans="1:7" ht="19.5" customHeight="1">
      <c r="A57" s="2861" t="s">
        <v>2591</v>
      </c>
      <c r="B57" s="2829">
        <v>0.7</v>
      </c>
      <c r="C57" s="2829">
        <v>0.4</v>
      </c>
      <c r="D57" s="2829">
        <v>0.3</v>
      </c>
      <c r="E57" s="2860">
        <v>0.3</v>
      </c>
      <c r="F57" s="2829">
        <v>0.3</v>
      </c>
      <c r="G57" s="2829">
        <v>0.2</v>
      </c>
    </row>
    <row r="58" spans="1:7" ht="19.5" customHeight="1">
      <c r="A58" s="2861" t="s">
        <v>2592</v>
      </c>
      <c r="B58" s="2829">
        <v>0.7</v>
      </c>
      <c r="C58" s="2829">
        <v>0.4</v>
      </c>
      <c r="D58" s="2829">
        <v>0.3</v>
      </c>
      <c r="E58" s="2829">
        <v>0.3</v>
      </c>
      <c r="F58" s="2829">
        <v>0.3</v>
      </c>
      <c r="G58" s="2829">
        <v>0.2</v>
      </c>
    </row>
    <row r="59" spans="1:7" ht="19.5" customHeight="1">
      <c r="A59" s="2861" t="s">
        <v>2593</v>
      </c>
      <c r="B59" s="2829">
        <v>0.6</v>
      </c>
      <c r="C59" s="2829">
        <v>0.3</v>
      </c>
      <c r="D59" s="2829">
        <v>0.25</v>
      </c>
      <c r="E59" s="2829">
        <v>0.25</v>
      </c>
      <c r="F59" s="2829">
        <v>0.25</v>
      </c>
      <c r="G59" s="2829">
        <v>0.15</v>
      </c>
    </row>
    <row r="60" spans="1:7" ht="19.5" customHeight="1">
      <c r="A60" s="2861" t="s">
        <v>2594</v>
      </c>
      <c r="B60" s="2829">
        <v>0.6</v>
      </c>
      <c r="C60" s="2829">
        <v>0.3</v>
      </c>
      <c r="D60" s="2829">
        <v>0.25</v>
      </c>
      <c r="E60" s="2829">
        <v>0.25</v>
      </c>
      <c r="F60" s="2829">
        <v>0.25</v>
      </c>
      <c r="G60" s="2829">
        <v>0.15</v>
      </c>
    </row>
    <row r="61" spans="1:7" ht="19.5" customHeight="1">
      <c r="A61" s="2861" t="s">
        <v>2595</v>
      </c>
      <c r="B61" s="2829">
        <v>0.6</v>
      </c>
      <c r="C61" s="2829">
        <v>0.3</v>
      </c>
      <c r="D61" s="2829">
        <v>0.25</v>
      </c>
      <c r="E61" s="2829">
        <v>0.25</v>
      </c>
      <c r="F61" s="2829">
        <v>0.25</v>
      </c>
      <c r="G61" s="2829">
        <v>0.15</v>
      </c>
    </row>
    <row r="62" spans="1:7" ht="19.5" customHeight="1">
      <c r="A62" s="2861" t="s">
        <v>2596</v>
      </c>
      <c r="B62" s="2829">
        <v>0.6</v>
      </c>
      <c r="C62" s="2829">
        <v>0.3</v>
      </c>
      <c r="D62" s="2829">
        <v>0.25</v>
      </c>
      <c r="E62" s="2829">
        <v>0.25</v>
      </c>
      <c r="F62" s="2829">
        <v>0.25</v>
      </c>
      <c r="G62" s="2829">
        <v>0.15</v>
      </c>
    </row>
    <row r="63" spans="1:7" ht="19.5" customHeight="1">
      <c r="A63" s="2861" t="s">
        <v>2597</v>
      </c>
      <c r="B63" s="2829">
        <v>0.6</v>
      </c>
      <c r="C63" s="2829">
        <v>0.3</v>
      </c>
      <c r="D63" s="2829">
        <v>0.25</v>
      </c>
      <c r="E63" s="2829">
        <v>0.25</v>
      </c>
      <c r="F63" s="2829">
        <v>0.25</v>
      </c>
      <c r="G63" s="2829">
        <v>0.15</v>
      </c>
    </row>
    <row r="64" spans="1:7" ht="19.5" customHeight="1">
      <c r="A64" s="2861" t="s">
        <v>2598</v>
      </c>
      <c r="B64" s="2829">
        <v>0.5</v>
      </c>
      <c r="C64" s="2829">
        <v>0.2</v>
      </c>
      <c r="D64" s="2829">
        <v>0.2</v>
      </c>
      <c r="E64" s="2829">
        <v>0.2</v>
      </c>
      <c r="F64" s="2829">
        <v>0.2</v>
      </c>
      <c r="G64" s="2829">
        <v>0.1</v>
      </c>
    </row>
    <row r="65" spans="1:7" ht="19.5" customHeight="1">
      <c r="A65" s="2861" t="s">
        <v>2599</v>
      </c>
      <c r="B65" s="2829">
        <v>0.5</v>
      </c>
      <c r="C65" s="2829">
        <v>0.2</v>
      </c>
      <c r="D65" s="2829">
        <v>0.2</v>
      </c>
      <c r="E65" s="2829">
        <v>0.2</v>
      </c>
      <c r="F65" s="2829">
        <v>0.2</v>
      </c>
      <c r="G65" s="2829">
        <v>0.1</v>
      </c>
    </row>
    <row r="66" spans="1:7" ht="19.5" customHeight="1">
      <c r="A66" s="2861" t="s">
        <v>2600</v>
      </c>
      <c r="B66" s="2829">
        <v>0.5</v>
      </c>
      <c r="C66" s="2829">
        <v>0.2</v>
      </c>
      <c r="D66" s="2829">
        <v>0.2</v>
      </c>
      <c r="E66" s="2829">
        <v>0.2</v>
      </c>
      <c r="F66" s="2829">
        <v>0.2</v>
      </c>
      <c r="G66" s="2829">
        <v>0.1</v>
      </c>
    </row>
    <row r="67" spans="1:7" ht="19.5" customHeight="1">
      <c r="A67" s="2861" t="s">
        <v>2601</v>
      </c>
      <c r="B67" s="2829">
        <v>0.5</v>
      </c>
      <c r="C67" s="2829">
        <v>0.2</v>
      </c>
      <c r="D67" s="2829">
        <v>0.2</v>
      </c>
      <c r="E67" s="2829">
        <v>0.2</v>
      </c>
      <c r="F67" s="2829">
        <v>0.2</v>
      </c>
      <c r="G67" s="2829">
        <v>0.1</v>
      </c>
    </row>
    <row r="68" spans="1:7" ht="19.5" customHeight="1">
      <c r="A68" s="2861" t="s">
        <v>2602</v>
      </c>
      <c r="B68" s="2829">
        <v>0.5</v>
      </c>
      <c r="C68" s="2829">
        <v>0.2</v>
      </c>
      <c r="D68" s="2829">
        <v>0.2</v>
      </c>
      <c r="E68" s="2829">
        <v>0.2</v>
      </c>
      <c r="F68" s="2829">
        <v>0.2</v>
      </c>
      <c r="G68" s="2829">
        <v>0.1</v>
      </c>
    </row>
    <row r="70" spans="1:7" ht="19.5" customHeight="1">
      <c r="A70" s="2843"/>
      <c r="B70" s="2862"/>
      <c r="C70" s="2862"/>
      <c r="D70" s="2862" t="s">
        <v>2639</v>
      </c>
      <c r="E70" s="2862"/>
      <c r="F70" s="2862"/>
    </row>
    <row r="71" spans="1:7" ht="19.5" customHeight="1">
      <c r="A71" s="2855" t="s">
        <v>2640</v>
      </c>
      <c r="B71" s="2855" t="s">
        <v>2641</v>
      </c>
      <c r="C71" s="2855" t="s">
        <v>2642</v>
      </c>
      <c r="D71" s="2855" t="s">
        <v>2643</v>
      </c>
      <c r="E71" s="2855" t="s">
        <v>2644</v>
      </c>
      <c r="F71" s="2855" t="s">
        <v>2645</v>
      </c>
    </row>
    <row r="72" spans="1:7" ht="14.4">
      <c r="A72" s="2855"/>
      <c r="B72" s="2855"/>
      <c r="C72" s="2855" t="s">
        <v>2646</v>
      </c>
      <c r="D72" s="2855"/>
      <c r="E72" s="2855" t="s">
        <v>2617</v>
      </c>
      <c r="F72" s="2855" t="s">
        <v>2617</v>
      </c>
    </row>
    <row r="73" spans="1:7" ht="14.4">
      <c r="A73" s="2855">
        <v>1</v>
      </c>
      <c r="B73" s="3484" t="s">
        <v>2647</v>
      </c>
      <c r="C73" s="2829" t="s">
        <v>2648</v>
      </c>
      <c r="D73" s="2829" t="s">
        <v>2649</v>
      </c>
      <c r="E73" s="2855">
        <v>0.2</v>
      </c>
      <c r="F73" s="2855">
        <v>25</v>
      </c>
    </row>
    <row r="74" spans="1:7" ht="24">
      <c r="A74" s="2855">
        <v>2</v>
      </c>
      <c r="B74" s="3479"/>
      <c r="C74" s="2829" t="s">
        <v>2650</v>
      </c>
      <c r="D74" s="2829" t="s">
        <v>2651</v>
      </c>
      <c r="E74" s="2855">
        <v>0.2</v>
      </c>
      <c r="F74" s="2855">
        <v>25</v>
      </c>
    </row>
    <row r="75" spans="1:7" ht="24">
      <c r="A75" s="2855">
        <v>3</v>
      </c>
      <c r="B75" s="3479"/>
      <c r="C75" s="2829" t="s">
        <v>2652</v>
      </c>
      <c r="D75" s="2829" t="s">
        <v>2653</v>
      </c>
      <c r="E75" s="2855">
        <v>0.2</v>
      </c>
      <c r="F75" s="2855">
        <v>25</v>
      </c>
    </row>
    <row r="76" spans="1:7" ht="14.4">
      <c r="A76" s="2855">
        <v>4</v>
      </c>
      <c r="B76" s="3479"/>
      <c r="C76" s="2829" t="s">
        <v>2654</v>
      </c>
      <c r="D76" s="2829" t="s">
        <v>2655</v>
      </c>
      <c r="E76" s="2855">
        <v>0.15</v>
      </c>
      <c r="F76" s="2855">
        <v>20</v>
      </c>
    </row>
    <row r="77" spans="1:7" ht="24">
      <c r="A77" s="2855">
        <v>5</v>
      </c>
      <c r="B77" s="3479"/>
      <c r="C77" s="2829" t="s">
        <v>2656</v>
      </c>
      <c r="D77" s="2829" t="s">
        <v>2657</v>
      </c>
      <c r="E77" s="2855">
        <v>0.15</v>
      </c>
      <c r="F77" s="2855">
        <v>20</v>
      </c>
    </row>
    <row r="78" spans="1:7" ht="24">
      <c r="A78" s="2855">
        <v>6</v>
      </c>
      <c r="B78" s="3479"/>
      <c r="C78" s="2829" t="s">
        <v>2658</v>
      </c>
      <c r="D78" s="2829" t="s">
        <v>2659</v>
      </c>
      <c r="E78" s="2855">
        <v>0.15</v>
      </c>
      <c r="F78" s="2855">
        <v>20</v>
      </c>
    </row>
    <row r="79" spans="1:7" ht="24">
      <c r="A79" s="2855">
        <v>7</v>
      </c>
      <c r="B79" s="3479"/>
      <c r="C79" s="2829" t="s">
        <v>2660</v>
      </c>
      <c r="D79" s="2829" t="s">
        <v>2661</v>
      </c>
      <c r="E79" s="2855">
        <v>0.15</v>
      </c>
      <c r="F79" s="2855">
        <v>20</v>
      </c>
    </row>
    <row r="80" spans="1:7" ht="24">
      <c r="A80" s="2855">
        <v>8</v>
      </c>
      <c r="B80" s="3479"/>
      <c r="C80" s="2829" t="s">
        <v>2662</v>
      </c>
      <c r="D80" s="2829" t="s">
        <v>2663</v>
      </c>
      <c r="E80" s="2855">
        <v>0.1</v>
      </c>
      <c r="F80" s="2855">
        <v>15</v>
      </c>
    </row>
    <row r="81" spans="1:6" ht="24">
      <c r="A81" s="2855">
        <v>9</v>
      </c>
      <c r="B81" s="3479"/>
      <c r="C81" s="2829" t="s">
        <v>2664</v>
      </c>
      <c r="D81" s="2829" t="s">
        <v>2665</v>
      </c>
      <c r="E81" s="2855">
        <v>0.1</v>
      </c>
      <c r="F81" s="2855">
        <v>15</v>
      </c>
    </row>
    <row r="82" spans="1:6" ht="24">
      <c r="A82" s="2855">
        <v>10</v>
      </c>
      <c r="B82" s="3479"/>
      <c r="C82" s="2829" t="s">
        <v>2666</v>
      </c>
      <c r="D82" s="2829" t="s">
        <v>2667</v>
      </c>
      <c r="E82" s="2855">
        <v>0.1</v>
      </c>
      <c r="F82" s="2855">
        <v>15</v>
      </c>
    </row>
    <row r="83" spans="1:6" ht="24">
      <c r="A83" s="2855">
        <v>11</v>
      </c>
      <c r="B83" s="3479"/>
      <c r="C83" s="2829" t="s">
        <v>2668</v>
      </c>
      <c r="D83" s="2829" t="s">
        <v>2669</v>
      </c>
      <c r="E83" s="2855">
        <v>0.1</v>
      </c>
      <c r="F83" s="2855">
        <v>15</v>
      </c>
    </row>
    <row r="84" spans="1:6" ht="24">
      <c r="A84" s="2855">
        <v>12</v>
      </c>
      <c r="B84" s="3479"/>
      <c r="C84" s="2829" t="s">
        <v>2670</v>
      </c>
      <c r="D84" s="2829" t="s">
        <v>2671</v>
      </c>
      <c r="E84" s="2855">
        <v>0.1</v>
      </c>
      <c r="F84" s="2855">
        <v>15</v>
      </c>
    </row>
    <row r="85" spans="1:6" ht="24">
      <c r="A85" s="2855">
        <v>13</v>
      </c>
      <c r="B85" s="3479"/>
      <c r="C85" s="2829" t="s">
        <v>2672</v>
      </c>
      <c r="D85" s="2829" t="s">
        <v>2673</v>
      </c>
      <c r="E85" s="2855">
        <v>0.1</v>
      </c>
      <c r="F85" s="2855">
        <v>15</v>
      </c>
    </row>
    <row r="86" spans="1:6" ht="24">
      <c r="A86" s="2855">
        <v>14</v>
      </c>
      <c r="B86" s="3479"/>
      <c r="C86" s="2829" t="s">
        <v>2674</v>
      </c>
      <c r="D86" s="2829" t="s">
        <v>2675</v>
      </c>
      <c r="E86" s="2855">
        <v>0.1</v>
      </c>
      <c r="F86" s="2855">
        <v>15</v>
      </c>
    </row>
    <row r="87" spans="1:6" ht="24">
      <c r="A87" s="2855">
        <v>15</v>
      </c>
      <c r="B87" s="3479"/>
      <c r="C87" s="2829" t="s">
        <v>2676</v>
      </c>
      <c r="D87" s="2829" t="s">
        <v>2677</v>
      </c>
      <c r="E87" s="2855">
        <v>0.1</v>
      </c>
      <c r="F87" s="2855">
        <v>15</v>
      </c>
    </row>
    <row r="88" spans="1:6" ht="24">
      <c r="A88" s="2855">
        <v>16</v>
      </c>
      <c r="B88" s="3479"/>
      <c r="C88" s="2829" t="s">
        <v>2678</v>
      </c>
      <c r="D88" s="2829" t="s">
        <v>2679</v>
      </c>
      <c r="E88" s="2855">
        <v>0.1</v>
      </c>
      <c r="F88" s="2855">
        <v>15</v>
      </c>
    </row>
    <row r="89" spans="1:6" ht="24">
      <c r="A89" s="2855">
        <v>17</v>
      </c>
      <c r="B89" s="3488"/>
      <c r="C89" s="2829" t="s">
        <v>2680</v>
      </c>
      <c r="D89" s="2829" t="s">
        <v>2681</v>
      </c>
      <c r="E89" s="2855">
        <v>0.1</v>
      </c>
      <c r="F89" s="2855">
        <v>15</v>
      </c>
    </row>
    <row r="90" spans="1:6" ht="14.4">
      <c r="A90" s="2855">
        <v>18</v>
      </c>
      <c r="B90" s="3484" t="s">
        <v>2682</v>
      </c>
      <c r="C90" s="2829" t="s">
        <v>2683</v>
      </c>
      <c r="D90" s="2829" t="s">
        <v>2684</v>
      </c>
      <c r="E90" s="2855">
        <v>0.2</v>
      </c>
      <c r="F90" s="2855">
        <v>25</v>
      </c>
    </row>
    <row r="91" spans="1:6" ht="24">
      <c r="A91" s="2855">
        <v>19</v>
      </c>
      <c r="B91" s="3479"/>
      <c r="C91" s="2829" t="s">
        <v>2685</v>
      </c>
      <c r="D91" s="2829" t="s">
        <v>2686</v>
      </c>
      <c r="E91" s="2855">
        <v>0.2</v>
      </c>
      <c r="F91" s="2855">
        <v>25</v>
      </c>
    </row>
    <row r="92" spans="1:6" ht="14.4">
      <c r="A92" s="2855">
        <v>20</v>
      </c>
      <c r="B92" s="3479"/>
      <c r="C92" s="2829" t="s">
        <v>2687</v>
      </c>
      <c r="D92" s="2829" t="s">
        <v>2688</v>
      </c>
      <c r="E92" s="2855">
        <v>0.15</v>
      </c>
      <c r="F92" s="2855">
        <v>20</v>
      </c>
    </row>
    <row r="93" spans="1:6" ht="24">
      <c r="A93" s="2855">
        <v>21</v>
      </c>
      <c r="B93" s="3479"/>
      <c r="C93" s="2829" t="s">
        <v>2689</v>
      </c>
      <c r="D93" s="2829" t="s">
        <v>2690</v>
      </c>
      <c r="E93" s="2855">
        <v>0.15</v>
      </c>
      <c r="F93" s="2855">
        <v>20</v>
      </c>
    </row>
    <row r="94" spans="1:6" ht="24">
      <c r="A94" s="2855">
        <v>22</v>
      </c>
      <c r="B94" s="3479"/>
      <c r="C94" s="2829" t="s">
        <v>2691</v>
      </c>
      <c r="D94" s="2829" t="s">
        <v>2692</v>
      </c>
      <c r="E94" s="2855">
        <v>0.15</v>
      </c>
      <c r="F94" s="2855">
        <v>20</v>
      </c>
    </row>
    <row r="95" spans="1:6" ht="36">
      <c r="A95" s="2855">
        <v>23</v>
      </c>
      <c r="B95" s="3479"/>
      <c r="C95" s="2829" t="s">
        <v>2693</v>
      </c>
      <c r="D95" s="2829" t="s">
        <v>2694</v>
      </c>
      <c r="E95" s="2855">
        <v>0.15</v>
      </c>
      <c r="F95" s="2855">
        <v>20</v>
      </c>
    </row>
    <row r="96" spans="1:6" ht="24">
      <c r="A96" s="2855">
        <v>24</v>
      </c>
      <c r="B96" s="3479"/>
      <c r="C96" s="2829" t="s">
        <v>2695</v>
      </c>
      <c r="D96" s="2829" t="s">
        <v>2696</v>
      </c>
      <c r="E96" s="2855">
        <v>0.1</v>
      </c>
      <c r="F96" s="2855">
        <v>15</v>
      </c>
    </row>
    <row r="97" spans="1:6" ht="24">
      <c r="A97" s="2855">
        <v>25</v>
      </c>
      <c r="B97" s="3479"/>
      <c r="C97" s="2829" t="s">
        <v>2697</v>
      </c>
      <c r="D97" s="2829" t="s">
        <v>2698</v>
      </c>
      <c r="E97" s="2855">
        <v>0.1</v>
      </c>
      <c r="F97" s="2855">
        <v>15</v>
      </c>
    </row>
    <row r="98" spans="1:6" ht="24">
      <c r="A98" s="2855">
        <v>26</v>
      </c>
      <c r="B98" s="3479"/>
      <c r="C98" s="2829" t="s">
        <v>2699</v>
      </c>
      <c r="D98" s="2829" t="s">
        <v>2700</v>
      </c>
      <c r="E98" s="2855">
        <v>0.1</v>
      </c>
      <c r="F98" s="2855">
        <v>15</v>
      </c>
    </row>
    <row r="99" spans="1:6" ht="24">
      <c r="A99" s="2855">
        <v>27</v>
      </c>
      <c r="B99" s="3479"/>
      <c r="C99" s="2829" t="s">
        <v>2701</v>
      </c>
      <c r="D99" s="2829" t="s">
        <v>2702</v>
      </c>
      <c r="E99" s="2855">
        <v>0.1</v>
      </c>
      <c r="F99" s="2855">
        <v>15</v>
      </c>
    </row>
    <row r="100" spans="1:6" ht="24">
      <c r="A100" s="2855">
        <v>28</v>
      </c>
      <c r="B100" s="3479"/>
      <c r="C100" s="2829" t="s">
        <v>2703</v>
      </c>
      <c r="D100" s="2829" t="s">
        <v>2704</v>
      </c>
      <c r="E100" s="2855">
        <v>0.1</v>
      </c>
      <c r="F100" s="2855">
        <v>15</v>
      </c>
    </row>
    <row r="101" spans="1:6" ht="24">
      <c r="A101" s="2855">
        <v>29</v>
      </c>
      <c r="B101" s="3479"/>
      <c r="C101" s="2829" t="s">
        <v>2705</v>
      </c>
      <c r="D101" s="2829" t="s">
        <v>2706</v>
      </c>
      <c r="E101" s="2855">
        <v>0.1</v>
      </c>
      <c r="F101" s="2855">
        <v>15</v>
      </c>
    </row>
    <row r="102" spans="1:6" ht="24">
      <c r="A102" s="2855">
        <v>30</v>
      </c>
      <c r="B102" s="3479"/>
      <c r="C102" s="2829" t="s">
        <v>2707</v>
      </c>
      <c r="D102" s="2829" t="s">
        <v>2708</v>
      </c>
      <c r="E102" s="2855">
        <v>0.1</v>
      </c>
      <c r="F102" s="2855">
        <v>15</v>
      </c>
    </row>
    <row r="103" spans="1:6" ht="24">
      <c r="A103" s="2855">
        <v>31</v>
      </c>
      <c r="B103" s="3479"/>
      <c r="C103" s="2829" t="s">
        <v>2709</v>
      </c>
      <c r="D103" s="2829" t="s">
        <v>2710</v>
      </c>
      <c r="E103" s="2855">
        <v>0.1</v>
      </c>
      <c r="F103" s="2855">
        <v>15</v>
      </c>
    </row>
    <row r="104" spans="1:6" ht="24">
      <c r="A104" s="2855">
        <v>32</v>
      </c>
      <c r="B104" s="3479"/>
      <c r="C104" s="2829" t="s">
        <v>2711</v>
      </c>
      <c r="D104" s="2829" t="s">
        <v>2712</v>
      </c>
      <c r="E104" s="2855">
        <v>0.1</v>
      </c>
      <c r="F104" s="2855">
        <v>15</v>
      </c>
    </row>
    <row r="105" spans="1:6" ht="24">
      <c r="A105" s="2855">
        <v>33</v>
      </c>
      <c r="B105" s="3479"/>
      <c r="C105" s="2829" t="s">
        <v>2713</v>
      </c>
      <c r="D105" s="2829" t="s">
        <v>2714</v>
      </c>
      <c r="E105" s="2855">
        <v>0.1</v>
      </c>
      <c r="F105" s="2855">
        <v>15</v>
      </c>
    </row>
    <row r="106" spans="1:6" ht="24">
      <c r="A106" s="2855">
        <v>34</v>
      </c>
      <c r="B106" s="3488"/>
      <c r="C106" s="2829" t="s">
        <v>2715</v>
      </c>
      <c r="D106" s="2829" t="s">
        <v>2716</v>
      </c>
      <c r="E106" s="2855">
        <v>0.1</v>
      </c>
      <c r="F106" s="2855">
        <v>15</v>
      </c>
    </row>
    <row r="107" spans="1:6" ht="36">
      <c r="A107" s="2855">
        <v>35</v>
      </c>
      <c r="B107" s="3484" t="s">
        <v>2717</v>
      </c>
      <c r="C107" s="2855" t="s">
        <v>2718</v>
      </c>
      <c r="D107" s="2829" t="s">
        <v>2719</v>
      </c>
      <c r="E107" s="2855">
        <v>0.15</v>
      </c>
      <c r="F107" s="2855">
        <v>20</v>
      </c>
    </row>
    <row r="108" spans="1:6" ht="24">
      <c r="A108" s="2855">
        <v>36</v>
      </c>
      <c r="B108" s="3479"/>
      <c r="C108" s="2855" t="s">
        <v>2720</v>
      </c>
      <c r="D108" s="2829" t="s">
        <v>2721</v>
      </c>
      <c r="E108" s="2855">
        <v>0.15</v>
      </c>
      <c r="F108" s="2855">
        <v>20</v>
      </c>
    </row>
    <row r="109" spans="1:6" ht="24">
      <c r="A109" s="2855">
        <v>37</v>
      </c>
      <c r="B109" s="3479"/>
      <c r="C109" s="2855" t="s">
        <v>2722</v>
      </c>
      <c r="D109" s="2829" t="s">
        <v>2723</v>
      </c>
      <c r="E109" s="2855">
        <v>0.15</v>
      </c>
      <c r="F109" s="2855">
        <v>20</v>
      </c>
    </row>
    <row r="110" spans="1:6" ht="24">
      <c r="A110" s="2855">
        <v>38</v>
      </c>
      <c r="B110" s="3479"/>
      <c r="C110" s="2855" t="s">
        <v>2724</v>
      </c>
      <c r="D110" s="2829" t="s">
        <v>2725</v>
      </c>
      <c r="E110" s="2855">
        <v>0.1</v>
      </c>
      <c r="F110" s="2855">
        <v>15</v>
      </c>
    </row>
    <row r="111" spans="1:6" ht="24">
      <c r="A111" s="2855">
        <v>39</v>
      </c>
      <c r="B111" s="3479"/>
      <c r="C111" s="2855" t="s">
        <v>2726</v>
      </c>
      <c r="D111" s="2829" t="s">
        <v>2727</v>
      </c>
      <c r="E111" s="2855">
        <v>0.1</v>
      </c>
      <c r="F111" s="2855">
        <v>15</v>
      </c>
    </row>
    <row r="112" spans="1:6" ht="24">
      <c r="A112" s="2855">
        <v>40</v>
      </c>
      <c r="B112" s="3488"/>
      <c r="C112" s="2855" t="s">
        <v>2728</v>
      </c>
      <c r="D112" s="2829" t="s">
        <v>2729</v>
      </c>
      <c r="E112" s="2855">
        <v>0.1</v>
      </c>
      <c r="F112" s="2855">
        <v>15</v>
      </c>
    </row>
    <row r="113" spans="1:6" ht="24">
      <c r="A113" s="2855">
        <v>41</v>
      </c>
      <c r="B113" s="3489" t="s">
        <v>2730</v>
      </c>
      <c r="C113" s="2855" t="s">
        <v>2731</v>
      </c>
      <c r="D113" s="2829" t="s">
        <v>2732</v>
      </c>
      <c r="E113" s="2855">
        <v>0.1</v>
      </c>
      <c r="F113" s="2855">
        <v>15</v>
      </c>
    </row>
    <row r="114" spans="1:6" ht="24">
      <c r="A114" s="2855">
        <v>42</v>
      </c>
      <c r="B114" s="3489"/>
      <c r="C114" s="2855" t="s">
        <v>2733</v>
      </c>
      <c r="D114" s="2829" t="s">
        <v>2734</v>
      </c>
      <c r="E114" s="2855">
        <v>0.1</v>
      </c>
      <c r="F114" s="2855">
        <v>15</v>
      </c>
    </row>
    <row r="115" spans="1:6" ht="24">
      <c r="A115" s="2855">
        <v>43</v>
      </c>
      <c r="B115" s="3489"/>
      <c r="C115" s="2855" t="s">
        <v>2735</v>
      </c>
      <c r="D115" s="2829" t="s">
        <v>2736</v>
      </c>
      <c r="E115" s="2855">
        <v>0.1</v>
      </c>
      <c r="F115" s="2855">
        <v>15</v>
      </c>
    </row>
    <row r="116" spans="1:6" ht="24">
      <c r="A116" s="2855">
        <v>44</v>
      </c>
      <c r="B116" s="3484" t="s">
        <v>2737</v>
      </c>
      <c r="C116" s="2855" t="s">
        <v>2738</v>
      </c>
      <c r="D116" s="2829" t="s">
        <v>2739</v>
      </c>
      <c r="E116" s="2855">
        <v>0.1</v>
      </c>
      <c r="F116" s="2855">
        <v>15</v>
      </c>
    </row>
    <row r="117" spans="1:6" ht="24">
      <c r="A117" s="2855">
        <v>45</v>
      </c>
      <c r="B117" s="3488"/>
      <c r="C117" s="2829" t="s">
        <v>2740</v>
      </c>
      <c r="D117" s="2829" t="s">
        <v>2741</v>
      </c>
      <c r="E117" s="2855">
        <v>0.1</v>
      </c>
      <c r="F117" s="2855">
        <v>15</v>
      </c>
    </row>
    <row r="118" spans="1:6" ht="24">
      <c r="A118" s="2855">
        <v>46</v>
      </c>
      <c r="B118" s="3484" t="s">
        <v>2742</v>
      </c>
      <c r="C118" s="2855" t="s">
        <v>2743</v>
      </c>
      <c r="D118" s="2829" t="s">
        <v>2744</v>
      </c>
      <c r="E118" s="2855">
        <v>0.1</v>
      </c>
      <c r="F118" s="2855">
        <v>15</v>
      </c>
    </row>
    <row r="119" spans="1:6" ht="24">
      <c r="A119" s="2855">
        <v>47</v>
      </c>
      <c r="B119" s="3488"/>
      <c r="C119" s="2855" t="s">
        <v>2745</v>
      </c>
      <c r="D119" s="2829" t="s">
        <v>2746</v>
      </c>
      <c r="E119" s="2855">
        <v>0.1</v>
      </c>
      <c r="F119" s="2855">
        <v>15</v>
      </c>
    </row>
    <row r="120" spans="1:6" ht="24">
      <c r="A120" s="2855">
        <v>48</v>
      </c>
      <c r="B120" s="3484" t="s">
        <v>2747</v>
      </c>
      <c r="C120" s="2855" t="s">
        <v>2748</v>
      </c>
      <c r="D120" s="2829" t="s">
        <v>2749</v>
      </c>
      <c r="E120" s="2855">
        <v>0.1</v>
      </c>
      <c r="F120" s="2855">
        <v>15</v>
      </c>
    </row>
    <row r="121" spans="1:6" ht="24">
      <c r="A121" s="2855">
        <v>49</v>
      </c>
      <c r="B121" s="3488"/>
      <c r="C121" s="2855" t="s">
        <v>2750</v>
      </c>
      <c r="D121" s="2829" t="s">
        <v>2751</v>
      </c>
      <c r="E121" s="2855">
        <v>0.1</v>
      </c>
      <c r="F121" s="2855">
        <v>15</v>
      </c>
    </row>
    <row r="122" spans="1:6" ht="24">
      <c r="A122" s="2855">
        <v>50</v>
      </c>
      <c r="B122" s="3489" t="s">
        <v>2752</v>
      </c>
      <c r="C122" s="2855" t="s">
        <v>2753</v>
      </c>
      <c r="D122" s="2829" t="s">
        <v>2754</v>
      </c>
      <c r="E122" s="2855">
        <v>0.1</v>
      </c>
      <c r="F122" s="2855">
        <v>15</v>
      </c>
    </row>
    <row r="123" spans="1:6" ht="24">
      <c r="A123" s="2855">
        <v>51</v>
      </c>
      <c r="B123" s="3489"/>
      <c r="C123" s="2855" t="s">
        <v>2755</v>
      </c>
      <c r="D123" s="2829" t="s">
        <v>2756</v>
      </c>
      <c r="E123" s="2855">
        <v>0.1</v>
      </c>
      <c r="F123" s="2855">
        <v>15</v>
      </c>
    </row>
    <row r="124" spans="1:6" ht="24">
      <c r="A124" s="2855">
        <v>52</v>
      </c>
      <c r="B124" s="3489" t="s">
        <v>2757</v>
      </c>
      <c r="C124" s="2855" t="s">
        <v>2758</v>
      </c>
      <c r="D124" s="2829" t="s">
        <v>2759</v>
      </c>
      <c r="E124" s="2855">
        <v>0.1</v>
      </c>
      <c r="F124" s="2855">
        <v>15</v>
      </c>
    </row>
    <row r="125" spans="1:6" ht="24">
      <c r="A125" s="2855">
        <v>53</v>
      </c>
      <c r="B125" s="3489"/>
      <c r="C125" s="2855" t="s">
        <v>2760</v>
      </c>
      <c r="D125" s="2829" t="s">
        <v>2761</v>
      </c>
      <c r="E125" s="2855">
        <v>0.1</v>
      </c>
      <c r="F125" s="2855">
        <v>15</v>
      </c>
    </row>
    <row r="126" spans="1:6" ht="24">
      <c r="A126" s="2855">
        <v>54</v>
      </c>
      <c r="B126" s="2855" t="s">
        <v>2762</v>
      </c>
      <c r="C126" s="2855" t="s">
        <v>2763</v>
      </c>
      <c r="D126" s="2829" t="s">
        <v>2764</v>
      </c>
      <c r="E126" s="2855">
        <v>0.1</v>
      </c>
      <c r="F126" s="2855">
        <v>15</v>
      </c>
    </row>
    <row r="127" spans="1:6" ht="24">
      <c r="A127" s="2855">
        <v>55</v>
      </c>
      <c r="B127" s="3489" t="s">
        <v>2765</v>
      </c>
      <c r="C127" s="2855" t="s">
        <v>2766</v>
      </c>
      <c r="D127" s="2829" t="s">
        <v>2767</v>
      </c>
      <c r="E127" s="2855">
        <v>0.1</v>
      </c>
      <c r="F127" s="2855">
        <v>15</v>
      </c>
    </row>
    <row r="128" spans="1:6" ht="24">
      <c r="A128" s="2855">
        <v>56</v>
      </c>
      <c r="B128" s="3489"/>
      <c r="C128" s="2855" t="s">
        <v>2768</v>
      </c>
      <c r="D128" s="2829" t="s">
        <v>2769</v>
      </c>
      <c r="E128" s="2855">
        <v>0.1</v>
      </c>
      <c r="F128" s="2855">
        <v>15</v>
      </c>
    </row>
    <row r="129" spans="1:6" ht="24">
      <c r="A129" s="2855">
        <v>57</v>
      </c>
      <c r="B129" s="3489"/>
      <c r="C129" s="2855" t="s">
        <v>2770</v>
      </c>
      <c r="D129" s="2829" t="s">
        <v>2771</v>
      </c>
      <c r="E129" s="2855">
        <v>0.1</v>
      </c>
      <c r="F129" s="2855">
        <v>15</v>
      </c>
    </row>
    <row r="130" spans="1:6" ht="24">
      <c r="A130" s="2855">
        <v>58</v>
      </c>
      <c r="B130" s="3489" t="s">
        <v>2772</v>
      </c>
      <c r="C130" s="2855" t="s">
        <v>2773</v>
      </c>
      <c r="D130" s="2829" t="s">
        <v>2774</v>
      </c>
      <c r="E130" s="2855">
        <v>0.1</v>
      </c>
      <c r="F130" s="2855">
        <v>15</v>
      </c>
    </row>
    <row r="131" spans="1:6" ht="24">
      <c r="A131" s="2855">
        <v>59</v>
      </c>
      <c r="B131" s="3489"/>
      <c r="C131" s="2855" t="s">
        <v>2775</v>
      </c>
      <c r="D131" s="2829" t="s">
        <v>2776</v>
      </c>
      <c r="E131" s="2855">
        <v>0.1</v>
      </c>
      <c r="F131" s="2855">
        <v>15</v>
      </c>
    </row>
    <row r="132" spans="1:6" ht="24">
      <c r="A132" s="2855">
        <v>60</v>
      </c>
      <c r="B132" s="3484" t="s">
        <v>2777</v>
      </c>
      <c r="C132" s="2855" t="s">
        <v>2778</v>
      </c>
      <c r="D132" s="2829" t="s">
        <v>2779</v>
      </c>
      <c r="E132" s="2855">
        <v>0.1</v>
      </c>
      <c r="F132" s="2855">
        <v>15</v>
      </c>
    </row>
    <row r="133" spans="1:6" ht="24">
      <c r="A133" s="2855">
        <v>61</v>
      </c>
      <c r="B133" s="3488"/>
      <c r="C133" s="2855" t="s">
        <v>2780</v>
      </c>
      <c r="D133" s="2829" t="s">
        <v>2781</v>
      </c>
      <c r="E133" s="2855">
        <v>0.1</v>
      </c>
      <c r="F133" s="2855">
        <v>15</v>
      </c>
    </row>
    <row r="134" spans="1:6" ht="24">
      <c r="A134" s="2855">
        <v>62</v>
      </c>
      <c r="B134" s="2855" t="s">
        <v>2782</v>
      </c>
      <c r="C134" s="2855" t="s">
        <v>2783</v>
      </c>
      <c r="D134" s="2829" t="s">
        <v>2784</v>
      </c>
      <c r="E134" s="2855">
        <v>0.1</v>
      </c>
      <c r="F134" s="2855">
        <v>15</v>
      </c>
    </row>
    <row r="135" spans="1:6" ht="24">
      <c r="A135" s="2855">
        <v>63</v>
      </c>
      <c r="B135" s="3489" t="s">
        <v>2785</v>
      </c>
      <c r="C135" s="2855" t="s">
        <v>2786</v>
      </c>
      <c r="D135" s="2829" t="s">
        <v>2787</v>
      </c>
      <c r="E135" s="2855">
        <v>0.1</v>
      </c>
      <c r="F135" s="2855">
        <v>15</v>
      </c>
    </row>
    <row r="136" spans="1:6" ht="24">
      <c r="A136" s="2855">
        <v>64</v>
      </c>
      <c r="B136" s="3489"/>
      <c r="C136" s="2855" t="s">
        <v>2788</v>
      </c>
      <c r="D136" s="2829" t="s">
        <v>2789</v>
      </c>
      <c r="E136" s="2855">
        <v>0.1</v>
      </c>
      <c r="F136" s="2855">
        <v>15</v>
      </c>
    </row>
    <row r="137" spans="1:6" ht="24">
      <c r="A137" s="2855">
        <v>65</v>
      </c>
      <c r="B137" s="2855" t="s">
        <v>2790</v>
      </c>
      <c r="C137" s="2855" t="s">
        <v>2791</v>
      </c>
      <c r="D137" s="2829" t="s">
        <v>2792</v>
      </c>
      <c r="E137" s="2855">
        <v>0.1</v>
      </c>
      <c r="F137" s="2855">
        <v>15</v>
      </c>
    </row>
    <row r="138" spans="1:6" ht="14.4">
      <c r="A138" s="2855"/>
      <c r="B138" s="2855"/>
      <c r="C138" s="2855"/>
      <c r="D138" s="2855"/>
      <c r="E138" s="2855" t="s">
        <v>2793</v>
      </c>
      <c r="F138" s="2855" t="s">
        <v>2793</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2794</v>
      </c>
      <c r="B1" s="2863"/>
      <c r="C1" s="2863"/>
      <c r="D1" s="2863"/>
      <c r="E1" s="2863"/>
      <c r="F1" s="2863"/>
      <c r="G1" s="2863"/>
      <c r="H1" s="2863"/>
      <c r="I1" s="2863"/>
      <c r="J1" s="2863"/>
      <c r="K1" s="2863"/>
      <c r="L1" s="2863"/>
      <c r="M1" s="2863"/>
      <c r="N1" s="707"/>
    </row>
    <row r="2" spans="1:20">
      <c r="A2" s="2864" t="s">
        <v>2795</v>
      </c>
      <c r="B2" s="2865" t="s">
        <v>2591</v>
      </c>
      <c r="C2" s="2865" t="s">
        <v>2592</v>
      </c>
      <c r="D2" s="2865" t="s">
        <v>2593</v>
      </c>
      <c r="E2" s="2865" t="s">
        <v>2594</v>
      </c>
      <c r="F2" s="2865" t="s">
        <v>2595</v>
      </c>
      <c r="G2" s="2865" t="s">
        <v>2596</v>
      </c>
      <c r="H2" s="2866" t="s">
        <v>2597</v>
      </c>
      <c r="I2" s="2866" t="s">
        <v>2598</v>
      </c>
      <c r="J2" s="2867" t="s">
        <v>2599</v>
      </c>
      <c r="K2" s="2867" t="s">
        <v>2600</v>
      </c>
      <c r="L2" s="2867" t="s">
        <v>2601</v>
      </c>
      <c r="M2" s="2868" t="s">
        <v>2602</v>
      </c>
      <c r="Q2" s="2878" t="s">
        <v>2800</v>
      </c>
      <c r="R2" s="2878" t="s">
        <v>2801</v>
      </c>
      <c r="S2" s="2878" t="s">
        <v>2802</v>
      </c>
      <c r="T2" s="2878" t="s">
        <v>2803</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2796</v>
      </c>
      <c r="B93" s="2863"/>
      <c r="C93" s="2863"/>
      <c r="D93" s="2863"/>
      <c r="E93" s="2863"/>
      <c r="F93" s="2863"/>
      <c r="G93" s="2863"/>
      <c r="H93" s="2863"/>
      <c r="I93" s="2863"/>
      <c r="J93" s="2863"/>
      <c r="K93" s="2863"/>
      <c r="L93" s="2863"/>
      <c r="M93" s="2863"/>
    </row>
    <row r="94" spans="1:20">
      <c r="A94" s="2864" t="s">
        <v>2795</v>
      </c>
      <c r="B94" s="2865" t="s">
        <v>2591</v>
      </c>
      <c r="C94" s="2865" t="s">
        <v>2592</v>
      </c>
      <c r="D94" s="2865" t="s">
        <v>2593</v>
      </c>
      <c r="E94" s="2865" t="s">
        <v>2594</v>
      </c>
      <c r="F94" s="2865" t="s">
        <v>2595</v>
      </c>
      <c r="G94" s="2865" t="s">
        <v>2596</v>
      </c>
      <c r="H94" s="2866" t="s">
        <v>2597</v>
      </c>
      <c r="I94" s="2866" t="s">
        <v>2598</v>
      </c>
      <c r="J94" s="2867" t="s">
        <v>2599</v>
      </c>
      <c r="K94" s="2867" t="s">
        <v>2600</v>
      </c>
      <c r="L94" s="2867" t="s">
        <v>2601</v>
      </c>
      <c r="M94" s="2868" t="s">
        <v>2602</v>
      </c>
      <c r="N94">
        <f>SUMPRODUCT((A95:A184=ROUNDDOWN(基准地价修正!G3,1))*(B94:M94=基准地价修正!G2)*(B95:M184))</f>
        <v>1.1748000000000001</v>
      </c>
      <c r="Q94" s="2878" t="s">
        <v>2800</v>
      </c>
      <c r="R94" s="2878" t="s">
        <v>2801</v>
      </c>
      <c r="S94" s="2878" t="s">
        <v>2802</v>
      </c>
      <c r="T94" s="2878" t="s">
        <v>2803</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2797</v>
      </c>
      <c r="B185" s="2863"/>
      <c r="C185" s="2863"/>
      <c r="D185" s="2863"/>
      <c r="E185" s="2863"/>
      <c r="F185" s="2863"/>
      <c r="G185" s="2863"/>
      <c r="H185" s="2863"/>
      <c r="I185" s="2863"/>
      <c r="J185" s="2863"/>
      <c r="K185" s="2863"/>
      <c r="L185" s="2863"/>
      <c r="M185" s="2863"/>
    </row>
    <row r="186" spans="1:20">
      <c r="A186" s="2864" t="s">
        <v>2795</v>
      </c>
      <c r="B186" s="2865" t="s">
        <v>2591</v>
      </c>
      <c r="C186" s="2865" t="s">
        <v>2592</v>
      </c>
      <c r="D186" s="2865" t="s">
        <v>2593</v>
      </c>
      <c r="E186" s="2865" t="s">
        <v>2594</v>
      </c>
      <c r="F186" s="2865" t="s">
        <v>2595</v>
      </c>
      <c r="G186" s="2865" t="s">
        <v>2596</v>
      </c>
      <c r="H186" s="2866" t="s">
        <v>2597</v>
      </c>
      <c r="I186" s="2866" t="s">
        <v>2598</v>
      </c>
      <c r="J186" s="2867" t="s">
        <v>2599</v>
      </c>
      <c r="K186" s="2867" t="s">
        <v>2600</v>
      </c>
      <c r="L186" s="2867" t="s">
        <v>2601</v>
      </c>
      <c r="M186" s="2868" t="s">
        <v>2602</v>
      </c>
      <c r="Q186" s="2878" t="s">
        <v>2800</v>
      </c>
      <c r="R186" s="2878" t="s">
        <v>2801</v>
      </c>
      <c r="S186" s="2878" t="s">
        <v>2802</v>
      </c>
      <c r="T186" s="2878" t="s">
        <v>2803</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2798</v>
      </c>
      <c r="B277" s="2863"/>
      <c r="C277" s="2863"/>
      <c r="D277" s="2863"/>
      <c r="E277" s="2863"/>
      <c r="F277" s="2863"/>
      <c r="G277" s="2863"/>
      <c r="H277" s="2863"/>
      <c r="I277" s="2863"/>
      <c r="J277" s="2863"/>
      <c r="K277" s="2863"/>
      <c r="L277" s="2863"/>
      <c r="M277" s="2863"/>
    </row>
    <row r="278" spans="1:21">
      <c r="A278" s="2864" t="s">
        <v>2795</v>
      </c>
      <c r="B278" s="2865" t="s">
        <v>2591</v>
      </c>
      <c r="C278" s="2865" t="s">
        <v>2592</v>
      </c>
      <c r="D278" s="2865" t="s">
        <v>2593</v>
      </c>
      <c r="E278" s="2865" t="s">
        <v>2594</v>
      </c>
      <c r="F278" s="2865" t="s">
        <v>2595</v>
      </c>
      <c r="G278" s="2865" t="s">
        <v>2596</v>
      </c>
      <c r="H278" s="2866" t="s">
        <v>2597</v>
      </c>
      <c r="I278" s="2866" t="s">
        <v>2598</v>
      </c>
      <c r="J278" s="2867" t="s">
        <v>2599</v>
      </c>
      <c r="K278" s="2867" t="s">
        <v>2600</v>
      </c>
      <c r="L278" s="2867" t="s">
        <v>2601</v>
      </c>
      <c r="M278" s="2868" t="s">
        <v>2602</v>
      </c>
      <c r="Q278" s="2878" t="s">
        <v>2800</v>
      </c>
      <c r="R278" s="2878" t="s">
        <v>2801</v>
      </c>
      <c r="S278" s="2878" t="s">
        <v>2804</v>
      </c>
      <c r="T278" s="2878" t="s">
        <v>2805</v>
      </c>
      <c r="U278" s="2878" t="s">
        <v>2803</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2799</v>
      </c>
      <c r="B369" s="2876"/>
      <c r="C369" s="2876"/>
      <c r="D369" s="2876"/>
      <c r="E369" s="2876"/>
      <c r="F369" s="2876"/>
      <c r="G369" s="2876"/>
      <c r="H369" s="2876"/>
      <c r="I369" s="2876"/>
      <c r="J369" s="2876"/>
      <c r="K369" s="2876"/>
      <c r="L369" s="2876"/>
      <c r="M369" s="2876"/>
    </row>
    <row r="370" spans="1:20">
      <c r="A370" s="2864" t="s">
        <v>2795</v>
      </c>
      <c r="B370" s="2865" t="s">
        <v>2591</v>
      </c>
      <c r="C370" s="2865" t="s">
        <v>2592</v>
      </c>
      <c r="D370" s="2865" t="s">
        <v>2593</v>
      </c>
      <c r="E370" s="2865" t="s">
        <v>2594</v>
      </c>
      <c r="F370" s="2865" t="s">
        <v>2595</v>
      </c>
      <c r="G370" s="2865" t="s">
        <v>2596</v>
      </c>
      <c r="H370" s="2866" t="s">
        <v>2597</v>
      </c>
      <c r="I370" s="2866" t="s">
        <v>2598</v>
      </c>
      <c r="J370" s="2867" t="s">
        <v>2599</v>
      </c>
      <c r="K370" s="2867" t="s">
        <v>2600</v>
      </c>
      <c r="L370" s="2867" t="s">
        <v>2601</v>
      </c>
      <c r="M370" s="2868" t="s">
        <v>2602</v>
      </c>
      <c r="N370">
        <f>SUMPRODUCT((A371:A460=ROUNDDOWN(基准地价修正!G3,1))*(B370:M370=基准地价修正!G2)*(B371:M460))</f>
        <v>1.1174999999999999</v>
      </c>
      <c r="Q370" s="2878" t="s">
        <v>2800</v>
      </c>
      <c r="R370" s="2878" t="s">
        <v>2801</v>
      </c>
      <c r="S370" s="2878" t="s">
        <v>2802</v>
      </c>
      <c r="T370" s="2878" t="s">
        <v>2803</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6"/>
      <c r="C2" s="3176"/>
      <c r="D2" s="3176"/>
      <c r="E2" s="3176"/>
    </row>
    <row r="3" spans="1:5" ht="17.399999999999999">
      <c r="A3" s="3177" t="str">
        <f>IF(项目基本情况!B9="房地产市场价值","估价结果一览表（市场价值不需“结果表-1”）","估价结果一览表")</f>
        <v>估价结果一览表</v>
      </c>
      <c r="B3" s="3177"/>
      <c r="C3" s="3177"/>
      <c r="D3" s="3177"/>
      <c r="E3" s="3177"/>
    </row>
    <row r="4" spans="1:5" ht="18" thickBot="1">
      <c r="A4" s="1391"/>
      <c r="B4" s="3175" t="s">
        <v>917</v>
      </c>
      <c r="C4" s="3175"/>
      <c r="D4" s="3175"/>
      <c r="E4" s="1391"/>
    </row>
    <row r="5" spans="1:5" ht="16.2" thickTop="1">
      <c r="B5" s="3173" t="s">
        <v>909</v>
      </c>
      <c r="C5" s="1392" t="s">
        <v>910</v>
      </c>
      <c r="D5" s="797">
        <f ca="1">结果表!H101</f>
        <v>6416</v>
      </c>
    </row>
    <row r="6" spans="1:5" ht="15.6">
      <c r="B6" s="3173"/>
      <c r="C6" s="1392" t="s">
        <v>911</v>
      </c>
      <c r="D6" s="797" t="str">
        <f ca="1">NUMBERSTRING(INT(D5*10000),2)&amp;"元整"</f>
        <v>陆仟肆佰壹拾陆万元整</v>
      </c>
    </row>
    <row r="7" spans="1:5" ht="15.6">
      <c r="B7" s="3178"/>
      <c r="C7" s="1393" t="s">
        <v>912</v>
      </c>
      <c r="D7" s="798">
        <f ca="1">结果表!H102</f>
        <v>29564</v>
      </c>
    </row>
    <row r="8" spans="1:5" ht="15.6">
      <c r="B8" s="3179" t="str">
        <f>结果表!E103</f>
        <v>2.估价师知悉的法定优先受偿款</v>
      </c>
      <c r="C8" s="1394" t="s">
        <v>913</v>
      </c>
      <c r="D8" s="798">
        <f>结果表!H103</f>
        <v>0</v>
      </c>
    </row>
    <row r="9" spans="1:5" ht="15.6">
      <c r="B9" s="3181"/>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72" t="str">
        <f>结果表!E107</f>
        <v>3.房地产抵押价值</v>
      </c>
      <c r="C13" s="1397" t="s">
        <v>910</v>
      </c>
      <c r="D13" s="800">
        <f ca="1">结果表!H107</f>
        <v>6416</v>
      </c>
    </row>
    <row r="14" spans="1:5" ht="15.6">
      <c r="B14" s="3173"/>
      <c r="C14" s="1392" t="s">
        <v>911</v>
      </c>
      <c r="D14" s="797" t="str">
        <f ca="1">NUMBERSTRING(INT(D13*10000),2)&amp;"元整"</f>
        <v>陆仟肆佰壹拾陆万元整</v>
      </c>
    </row>
    <row r="15" spans="1:5" ht="15.6">
      <c r="B15" s="3178"/>
      <c r="C15" s="1393" t="s">
        <v>921</v>
      </c>
      <c r="D15" s="806">
        <f ca="1">结果表!H108</f>
        <v>29564</v>
      </c>
    </row>
    <row r="16" spans="1:5" ht="15.6">
      <c r="B16" s="3179" t="str">
        <f>结果表!E109</f>
        <v>——</v>
      </c>
      <c r="C16" s="1397" t="s">
        <v>922</v>
      </c>
      <c r="D16" s="1398" t="str">
        <f>结果表!H109</f>
        <v>——</v>
      </c>
    </row>
    <row r="17" spans="1:5" ht="15.6">
      <c r="B17" s="3180"/>
      <c r="C17" s="1392" t="s">
        <v>923</v>
      </c>
      <c r="D17" s="797" t="e">
        <f>NUMBERSTRING(INT(D16*10000),2)&amp;"元整"</f>
        <v>#VALUE!</v>
      </c>
    </row>
    <row r="18" spans="1:5" ht="15.6">
      <c r="B18" s="3181"/>
      <c r="C18" s="1393" t="s">
        <v>912</v>
      </c>
      <c r="D18" s="806" t="str">
        <f>结果表!H110</f>
        <v>——</v>
      </c>
    </row>
    <row r="19" spans="1:5" ht="15.6">
      <c r="B19" s="3172" t="str">
        <f>结果表!E111</f>
        <v>4.抵押净值</v>
      </c>
      <c r="C19" s="1397" t="s">
        <v>910</v>
      </c>
      <c r="D19" s="798">
        <f ca="1">结果表!H111</f>
        <v>6071</v>
      </c>
    </row>
    <row r="20" spans="1:5" ht="15.6">
      <c r="B20" s="3173"/>
      <c r="C20" s="1392" t="s">
        <v>923</v>
      </c>
      <c r="D20" s="797" t="str">
        <f ca="1">NUMBERSTRING(INT(D19*10000),2)&amp;"元整"</f>
        <v>陆仟零柒拾壹万元整</v>
      </c>
    </row>
    <row r="21" spans="1:5" ht="16.2" thickBot="1">
      <c r="B21" s="3174"/>
      <c r="C21" s="1399" t="s">
        <v>921</v>
      </c>
      <c r="D21" s="807">
        <f ca="1">结果表!H112</f>
        <v>27974</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29873</v>
      </c>
      <c r="C2" s="2" t="s">
        <v>106</v>
      </c>
      <c r="D2" s="191"/>
      <c r="E2" s="191"/>
      <c r="F2" s="191"/>
      <c r="G2" s="191"/>
    </row>
    <row r="3" spans="1:7" s="192" customFormat="1" ht="18" customHeight="1" thickBot="1">
      <c r="A3" s="195" t="s">
        <v>58</v>
      </c>
      <c r="B3" s="196">
        <f ca="1">ROUND(B2*10000/'数据-汇总表'!E3,0)</f>
        <v>137651</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43</v>
      </c>
      <c r="D10" s="795">
        <f>'数据-汇总表'!E6</f>
        <v>2170.1999999999998</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43</v>
      </c>
      <c r="D19" s="204">
        <f>'数据-汇总表'!E3</f>
        <v>2170.1999999999998</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978</v>
      </c>
      <c r="D22" s="227">
        <f ca="1">C26</f>
        <v>5.0000000000000001E-4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966</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2</v>
      </c>
      <c r="D24" s="230"/>
      <c r="E24" s="230"/>
      <c r="F24" s="231"/>
      <c r="G24" s="232" t="s">
        <v>82</v>
      </c>
    </row>
    <row r="25" spans="1:7" s="206" customFormat="1" ht="24">
      <c r="A25" s="734" t="s">
        <v>348</v>
      </c>
      <c r="B25" s="207" t="s">
        <v>420</v>
      </c>
      <c r="C25" s="1042">
        <f ca="1">ROUND(IF('数据-取费表'!B22&lt;=1,C20*F22*'数据-取费表'!B23/2,C20*(POWER((1+F22),'数据-取费表'!B23/2)-1)),0)</f>
        <v>10</v>
      </c>
      <c r="D25" s="230"/>
      <c r="E25" s="233"/>
      <c r="F25" s="231"/>
      <c r="G25" s="234" t="s">
        <v>83</v>
      </c>
    </row>
    <row r="26" spans="1:7" s="206" customFormat="1">
      <c r="A26" s="734" t="s">
        <v>350</v>
      </c>
      <c r="B26" s="207" t="s">
        <v>422</v>
      </c>
      <c r="C26" s="230">
        <f ca="1">ROUND(IF('数据-取费表'!B22&lt;=1,F21*F22*'数据-取费表'!B23/2,F21*(POWER((1+F22),'数据-取费表'!B23/2)-1)),4)</f>
        <v>5.0000000000000001E-4</v>
      </c>
      <c r="D26" s="230"/>
      <c r="E26" s="233"/>
      <c r="F26" s="231"/>
      <c r="G26" s="235"/>
    </row>
    <row r="27" spans="1:7" s="206" customFormat="1" ht="26.4">
      <c r="A27" s="731" t="s">
        <v>342</v>
      </c>
      <c r="B27" s="236" t="s">
        <v>85</v>
      </c>
      <c r="C27" s="237">
        <f>C28</f>
        <v>4213</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4213</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28473</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1089</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977</v>
      </c>
      <c r="D34" s="209"/>
      <c r="E34" s="212"/>
      <c r="F34" s="249">
        <f>IF('数据-取费表'!B24=0,1,'数据-取费表'!N16)</f>
        <v>1</v>
      </c>
      <c r="G34" s="211" t="s">
        <v>89</v>
      </c>
    </row>
    <row r="35" spans="1:7" ht="13.5" customHeight="1">
      <c r="A35" s="734" t="s">
        <v>351</v>
      </c>
      <c r="B35" s="207" t="s">
        <v>33</v>
      </c>
      <c r="C35" s="212">
        <f>ROUND(C34*F35,0)</f>
        <v>49</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43</v>
      </c>
      <c r="D37" s="209">
        <f>'数据-汇总表'!E3</f>
        <v>2170.1999999999998</v>
      </c>
      <c r="E37" s="241">
        <f>'数据-取费表'!B35</f>
        <v>200</v>
      </c>
      <c r="F37" s="251"/>
      <c r="G37" s="253" t="s">
        <v>92</v>
      </c>
    </row>
    <row r="38" spans="1:7" ht="13.5" customHeight="1">
      <c r="A38" s="734" t="s">
        <v>354</v>
      </c>
      <c r="B38" s="207" t="s">
        <v>36</v>
      </c>
      <c r="C38" s="212">
        <f>ROUND(C34*F38,0)</f>
        <v>20</v>
      </c>
      <c r="D38" s="212"/>
      <c r="E38" s="212"/>
      <c r="F38" s="251">
        <f>'数据-取费表'!B36</f>
        <v>0.02</v>
      </c>
      <c r="G38" s="211" t="s">
        <v>90</v>
      </c>
    </row>
    <row r="39" spans="1:7" s="206" customFormat="1" ht="13.5" customHeight="1">
      <c r="A39" s="731" t="s">
        <v>338</v>
      </c>
      <c r="B39" s="202" t="s">
        <v>77</v>
      </c>
      <c r="C39" s="224">
        <f>ROUND(C33*F20,0)</f>
        <v>22</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26</v>
      </c>
      <c r="D41" s="227">
        <f ca="1">C44</f>
        <v>5.0000000000000001E-4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25</v>
      </c>
      <c r="D42" s="230"/>
      <c r="E42" s="230"/>
      <c r="F42" s="231"/>
      <c r="G42" s="3374" t="s">
        <v>94</v>
      </c>
    </row>
    <row r="43" spans="1:7" ht="13.5" customHeight="1">
      <c r="A43" s="734" t="s">
        <v>347</v>
      </c>
      <c r="B43" s="207" t="s">
        <v>426</v>
      </c>
      <c r="C43" s="230">
        <f ca="1">ROUND(IF('数据-取费表'!B22&lt;=1,C39*F22*'数据-取费表'!B21/2,C39*(POWER((1+F22),'数据-取费表'!B21/2)-1)),0)</f>
        <v>1</v>
      </c>
      <c r="D43" s="230"/>
      <c r="E43" s="230"/>
      <c r="F43" s="231"/>
      <c r="G43" s="3375"/>
    </row>
    <row r="44" spans="1:7" ht="13.5" customHeight="1">
      <c r="A44" s="734" t="s">
        <v>348</v>
      </c>
      <c r="B44" s="207" t="s">
        <v>428</v>
      </c>
      <c r="C44" s="230">
        <f ca="1">ROUND(IF('数据-取费表'!B22&lt;=1,C40*F22*'数据-取费表'!B21/2,C40*(POWER((1+F22),'数据-取费表'!B21/2)-1)),4)</f>
        <v>5.0000000000000001E-4</v>
      </c>
      <c r="D44" s="230"/>
      <c r="E44" s="230"/>
      <c r="F44" s="231"/>
      <c r="G44" s="3376"/>
    </row>
    <row r="45" spans="1:7" s="206" customFormat="1" ht="13.5" customHeight="1">
      <c r="A45" s="731" t="s">
        <v>341</v>
      </c>
      <c r="B45" s="236" t="s">
        <v>85</v>
      </c>
      <c r="C45" s="237">
        <f>C46</f>
        <v>222</v>
      </c>
      <c r="D45" s="227">
        <f>C47</f>
        <v>4.0000000000000001E-3</v>
      </c>
      <c r="E45" s="228" t="s">
        <v>102</v>
      </c>
      <c r="F45" s="238"/>
      <c r="G45" s="239" t="s">
        <v>434</v>
      </c>
    </row>
    <row r="46" spans="1:7" s="206" customFormat="1" ht="13.5" customHeight="1">
      <c r="A46" s="734" t="s">
        <v>349</v>
      </c>
      <c r="B46" s="240" t="s">
        <v>427</v>
      </c>
      <c r="C46" s="241">
        <f>ROUND((C33+C39)*F27,0)</f>
        <v>222</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1474</v>
      </c>
      <c r="D49" s="224"/>
      <c r="E49" s="224"/>
      <c r="F49" s="256"/>
      <c r="G49" s="226" t="s">
        <v>435</v>
      </c>
    </row>
    <row r="50" spans="1:7" s="250" customFormat="1" ht="24">
      <c r="A50" s="731" t="s">
        <v>344</v>
      </c>
      <c r="B50" s="202" t="s">
        <v>97</v>
      </c>
      <c r="C50" s="224"/>
      <c r="D50" s="224"/>
      <c r="E50" s="224"/>
      <c r="F50" s="256">
        <f>IF('数据-取费表'!B24=0,'数据-取费表'!N16,1)</f>
        <v>0.95</v>
      </c>
      <c r="G50" s="239" t="s">
        <v>98</v>
      </c>
    </row>
    <row r="51" spans="1:7" ht="16.5" customHeight="1">
      <c r="A51" s="731" t="s">
        <v>345</v>
      </c>
      <c r="B51" s="202" t="s">
        <v>105</v>
      </c>
      <c r="C51" s="224">
        <f ca="1">ROUND(C49*F50,0)</f>
        <v>1400</v>
      </c>
      <c r="D51" s="224"/>
      <c r="E51" s="224"/>
      <c r="F51" s="256"/>
      <c r="G51" s="226" t="s">
        <v>37</v>
      </c>
    </row>
    <row r="52" spans="1:7" s="200" customFormat="1" ht="16.8" thickBot="1">
      <c r="A52" s="257" t="s">
        <v>38</v>
      </c>
      <c r="B52" s="258"/>
      <c r="C52" s="259">
        <f ca="1">C31+C51</f>
        <v>29873</v>
      </c>
      <c r="D52" s="258"/>
      <c r="E52" s="258"/>
      <c r="F52" s="258"/>
      <c r="G52" s="260"/>
    </row>
    <row r="55" spans="1:7" ht="15">
      <c r="B55" s="262" t="s">
        <v>39</v>
      </c>
      <c r="C55" s="263"/>
    </row>
    <row r="56" spans="1:7">
      <c r="B56" s="265" t="s">
        <v>40</v>
      </c>
      <c r="C56" s="266">
        <f ca="1">ROUND(C51/C52,3)</f>
        <v>4.7E-2</v>
      </c>
    </row>
    <row r="57" spans="1:7">
      <c r="B57" s="265" t="s">
        <v>41</v>
      </c>
      <c r="C57" s="267">
        <f ca="1">1-C56</f>
        <v>0.95299999999999996</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490" t="s">
        <v>3177</v>
      </c>
      <c r="B1" s="3490"/>
    </row>
    <row r="2" spans="1:7" ht="15" thickBot="1">
      <c r="A2" s="2966"/>
      <c r="B2" s="2966"/>
    </row>
    <row r="3" spans="1:7" ht="15" thickBot="1">
      <c r="A3" s="2966"/>
      <c r="B3" s="2966"/>
      <c r="C3" s="2967" t="s">
        <v>2807</v>
      </c>
      <c r="D3" s="2967" t="s">
        <v>2863</v>
      </c>
      <c r="E3" s="2967" t="s">
        <v>2809</v>
      </c>
      <c r="F3" s="2967" t="s">
        <v>2864</v>
      </c>
      <c r="G3" s="2967" t="s">
        <v>2627</v>
      </c>
    </row>
    <row r="4" spans="1:7" ht="15" thickBot="1">
      <c r="A4" s="2968" t="s">
        <v>2862</v>
      </c>
      <c r="B4" s="2969" t="s">
        <v>2868</v>
      </c>
      <c r="C4" s="2967"/>
      <c r="D4" s="2967"/>
      <c r="E4" s="2967"/>
      <c r="F4" s="2967"/>
      <c r="G4" s="2967"/>
    </row>
    <row r="5" spans="1:7">
      <c r="A5" s="2970" t="s">
        <v>2836</v>
      </c>
      <c r="B5" s="2971" t="s">
        <v>2850</v>
      </c>
      <c r="C5" s="2972">
        <v>9.8000000000000004E-2</v>
      </c>
      <c r="D5" s="2972">
        <v>8.6999999999999994E-2</v>
      </c>
      <c r="E5" s="2972">
        <v>8.6999999999999994E-2</v>
      </c>
      <c r="F5" s="2972">
        <v>9.8000000000000004E-2</v>
      </c>
      <c r="G5" s="2973">
        <v>9.5000000000000001E-2</v>
      </c>
    </row>
    <row r="6" spans="1:7">
      <c r="A6" s="2974" t="s">
        <v>144</v>
      </c>
      <c r="B6" s="2975" t="s">
        <v>2865</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2851</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2901</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2919</v>
      </c>
      <c r="C29" s="2984"/>
      <c r="D29" s="2980">
        <v>5.1999999999999998E-2</v>
      </c>
      <c r="E29" s="2980">
        <v>7.0000000000000007E-2</v>
      </c>
      <c r="F29" s="2984"/>
      <c r="G29" s="2982">
        <v>7.0999999999999994E-2</v>
      </c>
    </row>
    <row r="30" spans="1:7">
      <c r="A30" s="2985" t="s">
        <v>296</v>
      </c>
      <c r="B30" s="2971" t="s">
        <v>2852</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2838</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2922</v>
      </c>
      <c r="C50" s="2976">
        <v>9.8000000000000004E-2</v>
      </c>
      <c r="D50" s="2976">
        <v>7.2999999999999995E-2</v>
      </c>
      <c r="E50" s="2976">
        <v>7.0999999999999994E-2</v>
      </c>
      <c r="F50" s="2987"/>
      <c r="G50" s="2977">
        <v>7.2999999999999995E-2</v>
      </c>
    </row>
    <row r="51" spans="1:7">
      <c r="A51" s="2986" t="s">
        <v>296</v>
      </c>
      <c r="B51" s="2975" t="s">
        <v>2924</v>
      </c>
      <c r="C51" s="2976">
        <v>9.9000000000000005E-2</v>
      </c>
      <c r="D51" s="2976">
        <v>8.5000000000000006E-2</v>
      </c>
      <c r="E51" s="2976">
        <v>6.3E-2</v>
      </c>
      <c r="F51" s="2987"/>
      <c r="G51" s="2977">
        <v>9.6000000000000002E-2</v>
      </c>
    </row>
    <row r="52" spans="1:7">
      <c r="A52" s="2986" t="s">
        <v>296</v>
      </c>
      <c r="B52" s="2975" t="s">
        <v>2928</v>
      </c>
      <c r="C52" s="2976">
        <v>7.3999999999999996E-2</v>
      </c>
      <c r="D52" s="2976">
        <v>9.6000000000000002E-2</v>
      </c>
      <c r="E52" s="2976">
        <v>0.05</v>
      </c>
      <c r="F52" s="2987"/>
      <c r="G52" s="2977">
        <v>9.8000000000000004E-2</v>
      </c>
    </row>
    <row r="53" spans="1:7">
      <c r="A53" s="2986" t="s">
        <v>296</v>
      </c>
      <c r="B53" s="2975" t="s">
        <v>2933</v>
      </c>
      <c r="C53" s="2976">
        <v>8.5999999999999993E-2</v>
      </c>
      <c r="D53" s="2987"/>
      <c r="E53" s="2976">
        <v>9.1999999999999998E-2</v>
      </c>
      <c r="F53" s="2987"/>
      <c r="G53" s="2988"/>
    </row>
    <row r="54" spans="1:7" ht="15" thickBot="1">
      <c r="A54" s="2989" t="s">
        <v>296</v>
      </c>
      <c r="B54" s="2979" t="s">
        <v>2936</v>
      </c>
      <c r="C54" s="2980">
        <v>9.6000000000000002E-2</v>
      </c>
      <c r="D54" s="2981"/>
      <c r="E54" s="2990"/>
      <c r="F54" s="2981"/>
      <c r="G54" s="2991"/>
    </row>
    <row r="55" spans="1:7">
      <c r="A55" s="2985" t="s">
        <v>110</v>
      </c>
      <c r="B55" s="2971" t="s">
        <v>2853</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2934</v>
      </c>
      <c r="C78" s="2976">
        <v>0.1</v>
      </c>
      <c r="D78" s="2976">
        <v>8.5000000000000006E-2</v>
      </c>
      <c r="E78" s="2976">
        <v>9.6000000000000002E-2</v>
      </c>
      <c r="F78" s="2987"/>
      <c r="G78" s="2977">
        <v>9.6000000000000002E-2</v>
      </c>
    </row>
    <row r="79" spans="1:7">
      <c r="A79" s="2986" t="s">
        <v>110</v>
      </c>
      <c r="B79" s="2975" t="s">
        <v>2937</v>
      </c>
      <c r="C79" s="2976">
        <v>0.05</v>
      </c>
      <c r="D79" s="2976">
        <v>9.6000000000000002E-2</v>
      </c>
      <c r="E79" s="2976">
        <v>9.5000000000000001E-2</v>
      </c>
      <c r="F79" s="2987"/>
      <c r="G79" s="2977">
        <v>9.8000000000000004E-2</v>
      </c>
    </row>
    <row r="80" spans="1:7">
      <c r="A80" s="2986" t="s">
        <v>110</v>
      </c>
      <c r="B80" s="2975" t="s">
        <v>2941</v>
      </c>
      <c r="C80" s="2976">
        <v>8.5999999999999993E-2</v>
      </c>
      <c r="D80" s="2992"/>
      <c r="E80" s="2976">
        <v>0.1</v>
      </c>
      <c r="F80" s="2987"/>
      <c r="G80" s="2988"/>
    </row>
    <row r="81" spans="1:7">
      <c r="A81" s="2986" t="s">
        <v>110</v>
      </c>
      <c r="B81" s="2975" t="s">
        <v>2946</v>
      </c>
      <c r="C81" s="2976">
        <v>9.6000000000000002E-2</v>
      </c>
      <c r="D81" s="2987"/>
      <c r="E81" s="2976">
        <v>9.8000000000000004E-2</v>
      </c>
      <c r="F81" s="2987"/>
      <c r="G81" s="2988"/>
    </row>
    <row r="82" spans="1:7">
      <c r="A82" s="2986" t="s">
        <v>110</v>
      </c>
      <c r="B82" s="2975" t="s">
        <v>2953</v>
      </c>
      <c r="C82" s="2992"/>
      <c r="D82" s="2987"/>
      <c r="E82" s="2976">
        <v>7.6999999999999999E-2</v>
      </c>
      <c r="F82" s="2987"/>
      <c r="G82" s="2988"/>
    </row>
    <row r="83" spans="1:7">
      <c r="A83" s="2986" t="s">
        <v>110</v>
      </c>
      <c r="B83" s="2975" t="s">
        <v>2959</v>
      </c>
      <c r="C83" s="2987"/>
      <c r="D83" s="2987"/>
      <c r="E83" s="2987"/>
      <c r="F83" s="2976">
        <v>0.1</v>
      </c>
      <c r="G83" s="2993"/>
    </row>
    <row r="84" spans="1:7">
      <c r="A84" s="2986" t="s">
        <v>110</v>
      </c>
      <c r="B84" s="2975" t="s">
        <v>2966</v>
      </c>
      <c r="C84" s="2987"/>
      <c r="D84" s="2987"/>
      <c r="E84" s="2987"/>
      <c r="F84" s="2976">
        <v>0.1</v>
      </c>
      <c r="G84" s="2993"/>
    </row>
    <row r="85" spans="1:7">
      <c r="A85" s="2986" t="s">
        <v>110</v>
      </c>
      <c r="B85" s="2975" t="s">
        <v>2973</v>
      </c>
      <c r="C85" s="2987"/>
      <c r="D85" s="2987"/>
      <c r="E85" s="2987"/>
      <c r="F85" s="2976">
        <v>0.1</v>
      </c>
      <c r="G85" s="2993"/>
    </row>
    <row r="86" spans="1:7" ht="15" thickBot="1">
      <c r="A86" s="2989" t="s">
        <v>110</v>
      </c>
      <c r="B86" s="2979" t="s">
        <v>2978</v>
      </c>
      <c r="C86" s="2980">
        <v>9.8000000000000004E-2</v>
      </c>
      <c r="D86" s="2980">
        <v>9.8000000000000004E-2</v>
      </c>
      <c r="E86" s="2980">
        <v>9.6000000000000002E-2</v>
      </c>
      <c r="F86" s="2990"/>
      <c r="G86" s="2982">
        <v>0.1</v>
      </c>
    </row>
    <row r="87" spans="1:7">
      <c r="A87" s="2985" t="s">
        <v>303</v>
      </c>
      <c r="B87" s="2971" t="s">
        <v>2854</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2947</v>
      </c>
      <c r="C113" s="2976">
        <v>0.1</v>
      </c>
      <c r="D113" s="2976">
        <v>0.1</v>
      </c>
      <c r="E113" s="2987"/>
      <c r="F113" s="2987"/>
      <c r="G113" s="2977">
        <v>0.1</v>
      </c>
    </row>
    <row r="114" spans="1:7">
      <c r="A114" s="2986" t="s">
        <v>303</v>
      </c>
      <c r="B114" s="2975" t="s">
        <v>2954</v>
      </c>
      <c r="C114" s="2976">
        <v>9.7000000000000003E-2</v>
      </c>
      <c r="D114" s="2976">
        <v>9.7000000000000003E-2</v>
      </c>
      <c r="E114" s="2987"/>
      <c r="F114" s="2987"/>
      <c r="G114" s="2977">
        <v>9.9000000000000005E-2</v>
      </c>
    </row>
    <row r="115" spans="1:7">
      <c r="A115" s="2986" t="s">
        <v>303</v>
      </c>
      <c r="B115" s="2975" t="s">
        <v>2960</v>
      </c>
      <c r="C115" s="2976">
        <v>0.1</v>
      </c>
      <c r="D115" s="2976">
        <v>0.1</v>
      </c>
      <c r="E115" s="2987"/>
      <c r="F115" s="2987"/>
      <c r="G115" s="2977">
        <v>0.1</v>
      </c>
    </row>
    <row r="116" spans="1:7">
      <c r="A116" s="2986" t="s">
        <v>303</v>
      </c>
      <c r="B116" s="2975" t="s">
        <v>2967</v>
      </c>
      <c r="C116" s="2976">
        <v>0.1</v>
      </c>
      <c r="D116" s="2976">
        <v>0.1</v>
      </c>
      <c r="E116" s="2987"/>
      <c r="F116" s="2987"/>
      <c r="G116" s="2977">
        <v>0.1</v>
      </c>
    </row>
    <row r="117" spans="1:7">
      <c r="A117" s="2986" t="s">
        <v>303</v>
      </c>
      <c r="B117" s="2975" t="s">
        <v>2974</v>
      </c>
      <c r="C117" s="2976">
        <v>9.7000000000000003E-2</v>
      </c>
      <c r="D117" s="2976">
        <v>9.7000000000000003E-2</v>
      </c>
      <c r="E117" s="2987"/>
      <c r="F117" s="2987"/>
      <c r="G117" s="2977">
        <v>9.7000000000000003E-2</v>
      </c>
    </row>
    <row r="118" spans="1:7">
      <c r="A118" s="2986" t="s">
        <v>303</v>
      </c>
      <c r="B118" s="2975" t="s">
        <v>2979</v>
      </c>
      <c r="C118" s="2976">
        <v>0.1</v>
      </c>
      <c r="D118" s="2976">
        <v>0.1</v>
      </c>
      <c r="E118" s="2987"/>
      <c r="F118" s="2987"/>
      <c r="G118" s="2977">
        <v>0.1</v>
      </c>
    </row>
    <row r="119" spans="1:7">
      <c r="A119" s="2986" t="s">
        <v>303</v>
      </c>
      <c r="B119" s="2975" t="s">
        <v>2983</v>
      </c>
      <c r="C119" s="2976">
        <v>5.0999999999999997E-2</v>
      </c>
      <c r="D119" s="2976">
        <v>5.1999999999999998E-2</v>
      </c>
      <c r="E119" s="2987"/>
      <c r="F119" s="2992"/>
      <c r="G119" s="2977">
        <v>0.06</v>
      </c>
    </row>
    <row r="120" spans="1:7">
      <c r="A120" s="2986" t="s">
        <v>303</v>
      </c>
      <c r="B120" s="2975" t="s">
        <v>2987</v>
      </c>
      <c r="C120" s="2987"/>
      <c r="D120" s="2987"/>
      <c r="E120" s="2987"/>
      <c r="F120" s="2976">
        <v>0.1</v>
      </c>
      <c r="G120" s="2993"/>
    </row>
    <row r="121" spans="1:7">
      <c r="A121" s="2986" t="s">
        <v>303</v>
      </c>
      <c r="B121" s="2975" t="s">
        <v>2992</v>
      </c>
      <c r="C121" s="2987"/>
      <c r="D121" s="2987"/>
      <c r="E121" s="2987"/>
      <c r="F121" s="2976">
        <v>0.1</v>
      </c>
      <c r="G121" s="2993"/>
    </row>
    <row r="122" spans="1:7">
      <c r="A122" s="2986" t="s">
        <v>303</v>
      </c>
      <c r="B122" s="2975" t="s">
        <v>2997</v>
      </c>
      <c r="C122" s="2976">
        <v>0.1</v>
      </c>
      <c r="D122" s="2976">
        <v>0.1</v>
      </c>
      <c r="E122" s="2976">
        <v>9.8000000000000004E-2</v>
      </c>
      <c r="F122" s="2976">
        <v>0.1</v>
      </c>
      <c r="G122" s="2977">
        <v>0.1</v>
      </c>
    </row>
    <row r="123" spans="1:7">
      <c r="A123" s="2986" t="s">
        <v>303</v>
      </c>
      <c r="B123" s="2975" t="s">
        <v>3002</v>
      </c>
      <c r="C123" s="2976">
        <v>0.1</v>
      </c>
      <c r="D123" s="2976">
        <v>0.1</v>
      </c>
      <c r="E123" s="2976">
        <v>9.8000000000000004E-2</v>
      </c>
      <c r="F123" s="2976">
        <v>0.1</v>
      </c>
      <c r="G123" s="2977">
        <v>0.1</v>
      </c>
    </row>
    <row r="124" spans="1:7">
      <c r="A124" s="2986" t="s">
        <v>303</v>
      </c>
      <c r="B124" s="2975" t="s">
        <v>3007</v>
      </c>
      <c r="C124" s="2976">
        <v>0.1</v>
      </c>
      <c r="D124" s="2976">
        <v>0.1</v>
      </c>
      <c r="E124" s="2976">
        <v>9.8000000000000004E-2</v>
      </c>
      <c r="F124" s="2992"/>
      <c r="G124" s="2977">
        <v>0.1</v>
      </c>
    </row>
    <row r="125" spans="1:7">
      <c r="A125" s="2986" t="s">
        <v>303</v>
      </c>
      <c r="B125" s="2975" t="s">
        <v>3012</v>
      </c>
      <c r="C125" s="2976">
        <v>9.8000000000000004E-2</v>
      </c>
      <c r="D125" s="2976">
        <v>9.8000000000000004E-2</v>
      </c>
      <c r="E125" s="2976">
        <v>9.6000000000000002E-2</v>
      </c>
      <c r="F125" s="2992"/>
      <c r="G125" s="2977">
        <v>0.1</v>
      </c>
    </row>
    <row r="126" spans="1:7" ht="15" thickBot="1">
      <c r="A126" s="2989" t="s">
        <v>303</v>
      </c>
      <c r="B126" s="2979" t="s">
        <v>3178</v>
      </c>
      <c r="C126" s="2980">
        <v>0.1</v>
      </c>
      <c r="D126" s="2980">
        <v>0.1</v>
      </c>
      <c r="E126" s="2980">
        <v>9.8000000000000004E-2</v>
      </c>
      <c r="F126" s="2980">
        <v>0.1</v>
      </c>
      <c r="G126" s="2982">
        <v>0.1</v>
      </c>
    </row>
    <row r="127" spans="1:7">
      <c r="A127" s="2985" t="s">
        <v>29</v>
      </c>
      <c r="B127" s="2971" t="s">
        <v>2855</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2925</v>
      </c>
      <c r="C148" s="2976">
        <v>0.13</v>
      </c>
      <c r="D148" s="2976">
        <v>0.13</v>
      </c>
      <c r="E148" s="2976">
        <v>0.13</v>
      </c>
      <c r="F148" s="2987"/>
      <c r="G148" s="2977">
        <v>0.13</v>
      </c>
    </row>
    <row r="149" spans="1:7">
      <c r="A149" s="2986" t="s">
        <v>29</v>
      </c>
      <c r="B149" s="2975" t="s">
        <v>2929</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2948</v>
      </c>
      <c r="C153" s="2976">
        <v>0.13</v>
      </c>
      <c r="D153" s="2976">
        <v>0.13</v>
      </c>
      <c r="E153" s="2976">
        <v>0.13</v>
      </c>
      <c r="F153" s="2976">
        <v>0.13</v>
      </c>
      <c r="G153" s="2977">
        <v>0.13</v>
      </c>
    </row>
    <row r="154" spans="1:7">
      <c r="A154" s="2986" t="s">
        <v>29</v>
      </c>
      <c r="B154" s="2975" t="s">
        <v>2955</v>
      </c>
      <c r="C154" s="2976">
        <v>0.121</v>
      </c>
      <c r="D154" s="2976">
        <v>0.121</v>
      </c>
      <c r="E154" s="2976">
        <v>0.105</v>
      </c>
      <c r="F154" s="2976">
        <v>0.121</v>
      </c>
      <c r="G154" s="2977">
        <v>0.123</v>
      </c>
    </row>
    <row r="155" spans="1:7">
      <c r="A155" s="2986" t="s">
        <v>29</v>
      </c>
      <c r="B155" s="2975" t="s">
        <v>2961</v>
      </c>
      <c r="C155" s="2976">
        <v>0.1</v>
      </c>
      <c r="D155" s="2976">
        <v>0.1</v>
      </c>
      <c r="E155" s="2976">
        <v>0.1</v>
      </c>
      <c r="F155" s="2976">
        <v>0.1</v>
      </c>
      <c r="G155" s="2977">
        <v>0.1</v>
      </c>
    </row>
    <row r="156" spans="1:7">
      <c r="A156" s="2986" t="s">
        <v>29</v>
      </c>
      <c r="B156" s="2975" t="s">
        <v>2968</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2988</v>
      </c>
      <c r="C160" s="2976">
        <v>0.13</v>
      </c>
      <c r="D160" s="2976">
        <v>0.13</v>
      </c>
      <c r="E160" s="2976">
        <v>0.124</v>
      </c>
      <c r="F160" s="2976">
        <v>0.126</v>
      </c>
      <c r="G160" s="2977">
        <v>0.13</v>
      </c>
    </row>
    <row r="161" spans="1:7">
      <c r="A161" s="2986" t="s">
        <v>29</v>
      </c>
      <c r="B161" s="2975" t="s">
        <v>2993</v>
      </c>
      <c r="C161" s="2976">
        <v>0.13</v>
      </c>
      <c r="D161" s="2976">
        <v>0.13</v>
      </c>
      <c r="E161" s="2976">
        <v>0.124</v>
      </c>
      <c r="F161" s="2976">
        <v>0.127</v>
      </c>
      <c r="G161" s="2977">
        <v>0.13</v>
      </c>
    </row>
    <row r="162" spans="1:7">
      <c r="A162" s="2986" t="s">
        <v>29</v>
      </c>
      <c r="B162" s="2975" t="s">
        <v>2998</v>
      </c>
      <c r="C162" s="2976">
        <v>0.1</v>
      </c>
      <c r="D162" s="2976">
        <v>0.1</v>
      </c>
      <c r="E162" s="2976">
        <v>0.1</v>
      </c>
      <c r="F162" s="2976">
        <v>0.121</v>
      </c>
      <c r="G162" s="2977">
        <v>0.105</v>
      </c>
    </row>
    <row r="163" spans="1:7">
      <c r="A163" s="2986" t="s">
        <v>29</v>
      </c>
      <c r="B163" s="2975" t="s">
        <v>3003</v>
      </c>
      <c r="C163" s="2976">
        <v>0.1</v>
      </c>
      <c r="D163" s="2976">
        <v>0.1</v>
      </c>
      <c r="E163" s="2976">
        <v>0.1</v>
      </c>
      <c r="F163" s="2976">
        <v>0.1</v>
      </c>
      <c r="G163" s="2977">
        <v>0.1</v>
      </c>
    </row>
    <row r="164" spans="1:7">
      <c r="A164" s="2986" t="s">
        <v>29</v>
      </c>
      <c r="B164" s="2975" t="s">
        <v>3008</v>
      </c>
      <c r="C164" s="2992"/>
      <c r="D164" s="2992"/>
      <c r="E164" s="2992"/>
      <c r="F164" s="2976">
        <v>0.1</v>
      </c>
      <c r="G164" s="2988"/>
    </row>
    <row r="165" spans="1:7">
      <c r="A165" s="2986" t="s">
        <v>29</v>
      </c>
      <c r="B165" s="2975" t="s">
        <v>3179</v>
      </c>
      <c r="C165" s="2976">
        <v>0.126</v>
      </c>
      <c r="D165" s="2976">
        <v>0.126</v>
      </c>
      <c r="E165" s="2976">
        <v>0.11899999999999999</v>
      </c>
      <c r="F165" s="2976">
        <v>0.13</v>
      </c>
      <c r="G165" s="2977">
        <v>0.128</v>
      </c>
    </row>
    <row r="166" spans="1:7">
      <c r="A166" s="2986" t="s">
        <v>29</v>
      </c>
      <c r="B166" s="2975" t="s">
        <v>3018</v>
      </c>
      <c r="C166" s="2976">
        <v>0.129</v>
      </c>
      <c r="D166" s="2976">
        <v>0.129</v>
      </c>
      <c r="E166" s="2976">
        <v>0.123</v>
      </c>
      <c r="F166" s="2976">
        <v>0.128</v>
      </c>
      <c r="G166" s="2977">
        <v>0.13</v>
      </c>
    </row>
    <row r="167" spans="1:7">
      <c r="A167" s="2986" t="s">
        <v>29</v>
      </c>
      <c r="B167" s="2975" t="s">
        <v>3022</v>
      </c>
      <c r="C167" s="2976">
        <v>0.125</v>
      </c>
      <c r="D167" s="2976">
        <v>0.125</v>
      </c>
      <c r="E167" s="2976">
        <v>0.11700000000000001</v>
      </c>
      <c r="F167" s="2976">
        <v>0.13</v>
      </c>
      <c r="G167" s="2977">
        <v>0.126</v>
      </c>
    </row>
    <row r="168" spans="1:7">
      <c r="A168" s="2986" t="s">
        <v>29</v>
      </c>
      <c r="B168" s="2975" t="s">
        <v>3027</v>
      </c>
      <c r="C168" s="2976">
        <v>0.128</v>
      </c>
      <c r="D168" s="2976">
        <v>0.128</v>
      </c>
      <c r="E168" s="2976">
        <v>0.123</v>
      </c>
      <c r="F168" s="2987"/>
      <c r="G168" s="2977">
        <v>0.13</v>
      </c>
    </row>
    <row r="169" spans="1:7">
      <c r="A169" s="2986" t="s">
        <v>29</v>
      </c>
      <c r="B169" s="2975" t="s">
        <v>3180</v>
      </c>
      <c r="C169" s="2992"/>
      <c r="D169" s="2992"/>
      <c r="E169" s="2992"/>
      <c r="F169" s="2976">
        <v>0.05</v>
      </c>
      <c r="G169" s="2988"/>
    </row>
    <row r="170" spans="1:7">
      <c r="A170" s="2986" t="s">
        <v>29</v>
      </c>
      <c r="B170" s="2975" t="s">
        <v>3181</v>
      </c>
      <c r="C170" s="2992"/>
      <c r="D170" s="2992"/>
      <c r="E170" s="2992"/>
      <c r="F170" s="2976">
        <v>0.05</v>
      </c>
      <c r="G170" s="2988"/>
    </row>
    <row r="171" spans="1:7">
      <c r="A171" s="2986" t="s">
        <v>29</v>
      </c>
      <c r="B171" s="2975" t="s">
        <v>3182</v>
      </c>
      <c r="C171" s="2992"/>
      <c r="D171" s="2992"/>
      <c r="E171" s="2992"/>
      <c r="F171" s="2976">
        <v>0.05</v>
      </c>
      <c r="G171" s="2993"/>
    </row>
    <row r="172" spans="1:7">
      <c r="A172" s="2986" t="s">
        <v>29</v>
      </c>
      <c r="B172" s="2975" t="s">
        <v>3183</v>
      </c>
      <c r="C172" s="2992"/>
      <c r="D172" s="2992"/>
      <c r="E172" s="2992"/>
      <c r="F172" s="2976">
        <v>0.05</v>
      </c>
      <c r="G172" s="2993"/>
    </row>
    <row r="173" spans="1:7">
      <c r="A173" s="2986" t="s">
        <v>29</v>
      </c>
      <c r="B173" s="2975" t="s">
        <v>3184</v>
      </c>
      <c r="C173" s="2992"/>
      <c r="D173" s="2992"/>
      <c r="E173" s="2992"/>
      <c r="F173" s="2976">
        <v>0.05</v>
      </c>
      <c r="G173" s="2988"/>
    </row>
    <row r="174" spans="1:7">
      <c r="A174" s="2986" t="s">
        <v>29</v>
      </c>
      <c r="B174" s="2975" t="s">
        <v>3185</v>
      </c>
      <c r="C174" s="2992"/>
      <c r="D174" s="2992"/>
      <c r="E174" s="2992"/>
      <c r="F174" s="2976">
        <v>0.05</v>
      </c>
      <c r="G174" s="2988"/>
    </row>
    <row r="175" spans="1:7">
      <c r="A175" s="2986" t="s">
        <v>29</v>
      </c>
      <c r="B175" s="2975" t="s">
        <v>3186</v>
      </c>
      <c r="C175" s="2992"/>
      <c r="D175" s="2992"/>
      <c r="E175" s="2992"/>
      <c r="F175" s="2976">
        <v>0.05</v>
      </c>
      <c r="G175" s="2988"/>
    </row>
    <row r="176" spans="1:7">
      <c r="A176" s="2986" t="s">
        <v>29</v>
      </c>
      <c r="B176" s="2975" t="s">
        <v>3187</v>
      </c>
      <c r="C176" s="2992"/>
      <c r="D176" s="2992"/>
      <c r="E176" s="2992"/>
      <c r="F176" s="2976">
        <v>0.05</v>
      </c>
      <c r="G176" s="2988"/>
    </row>
    <row r="177" spans="1:7">
      <c r="A177" s="2986" t="s">
        <v>29</v>
      </c>
      <c r="B177" s="2975" t="s">
        <v>3188</v>
      </c>
      <c r="C177" s="2987"/>
      <c r="D177" s="2987"/>
      <c r="E177" s="2987"/>
      <c r="F177" s="2976">
        <v>0.05</v>
      </c>
      <c r="G177" s="2993"/>
    </row>
    <row r="178" spans="1:7">
      <c r="A178" s="2986" t="s">
        <v>29</v>
      </c>
      <c r="B178" s="2975" t="s">
        <v>3189</v>
      </c>
      <c r="C178" s="2987"/>
      <c r="D178" s="2987"/>
      <c r="E178" s="2987"/>
      <c r="F178" s="2976">
        <v>0.05</v>
      </c>
      <c r="G178" s="2993"/>
    </row>
    <row r="179" spans="1:7">
      <c r="A179" s="2986" t="s">
        <v>29</v>
      </c>
      <c r="B179" s="2975" t="s">
        <v>3190</v>
      </c>
      <c r="C179" s="2987"/>
      <c r="D179" s="2987"/>
      <c r="E179" s="2987"/>
      <c r="F179" s="2976">
        <v>0.05</v>
      </c>
      <c r="G179" s="2993"/>
    </row>
    <row r="180" spans="1:7">
      <c r="A180" s="2986" t="s">
        <v>29</v>
      </c>
      <c r="B180" s="2975" t="s">
        <v>3191</v>
      </c>
      <c r="C180" s="2987"/>
      <c r="D180" s="2987"/>
      <c r="E180" s="2987"/>
      <c r="F180" s="2976">
        <v>0.05</v>
      </c>
      <c r="G180" s="2993"/>
    </row>
    <row r="181" spans="1:7">
      <c r="A181" s="2986" t="s">
        <v>29</v>
      </c>
      <c r="B181" s="2975" t="s">
        <v>3192</v>
      </c>
      <c r="C181" s="2987"/>
      <c r="D181" s="2987"/>
      <c r="E181" s="2987"/>
      <c r="F181" s="2976">
        <v>0.05</v>
      </c>
      <c r="G181" s="2993"/>
    </row>
    <row r="182" spans="1:7">
      <c r="A182" s="2986" t="s">
        <v>29</v>
      </c>
      <c r="B182" s="2975" t="s">
        <v>3193</v>
      </c>
      <c r="C182" s="2987"/>
      <c r="D182" s="2987"/>
      <c r="E182" s="2987"/>
      <c r="F182" s="2976">
        <v>0.05</v>
      </c>
      <c r="G182" s="2993"/>
    </row>
    <row r="183" spans="1:7">
      <c r="A183" s="2986" t="s">
        <v>29</v>
      </c>
      <c r="B183" s="2975" t="s">
        <v>3194</v>
      </c>
      <c r="C183" s="2987"/>
      <c r="D183" s="2987"/>
      <c r="E183" s="2987"/>
      <c r="F183" s="2976">
        <v>0.05</v>
      </c>
      <c r="G183" s="2993"/>
    </row>
    <row r="184" spans="1:7">
      <c r="A184" s="2986" t="s">
        <v>29</v>
      </c>
      <c r="B184" s="2975" t="s">
        <v>3195</v>
      </c>
      <c r="C184" s="2987"/>
      <c r="D184" s="2987"/>
      <c r="E184" s="2987"/>
      <c r="F184" s="2976">
        <v>0.05</v>
      </c>
      <c r="G184" s="2993"/>
    </row>
    <row r="185" spans="1:7">
      <c r="A185" s="2986" t="s">
        <v>29</v>
      </c>
      <c r="B185" s="2975" t="s">
        <v>3196</v>
      </c>
      <c r="C185" s="2987"/>
      <c r="D185" s="2987"/>
      <c r="E185" s="2987"/>
      <c r="F185" s="2976">
        <v>0.05</v>
      </c>
      <c r="G185" s="2993"/>
    </row>
    <row r="186" spans="1:7">
      <c r="A186" s="2986" t="s">
        <v>29</v>
      </c>
      <c r="B186" s="2975" t="s">
        <v>3197</v>
      </c>
      <c r="C186" s="2987"/>
      <c r="D186" s="2987"/>
      <c r="E186" s="2987"/>
      <c r="F186" s="2976">
        <v>0.05</v>
      </c>
      <c r="G186" s="2993"/>
    </row>
    <row r="187" spans="1:7">
      <c r="A187" s="2986" t="s">
        <v>29</v>
      </c>
      <c r="B187" s="2975" t="s">
        <v>3198</v>
      </c>
      <c r="C187" s="2987"/>
      <c r="D187" s="2987"/>
      <c r="E187" s="2987"/>
      <c r="F187" s="2976">
        <v>0.05</v>
      </c>
      <c r="G187" s="2993"/>
    </row>
    <row r="188" spans="1:7">
      <c r="A188" s="2986" t="s">
        <v>29</v>
      </c>
      <c r="B188" s="2975" t="s">
        <v>3199</v>
      </c>
      <c r="C188" s="2987"/>
      <c r="D188" s="2987"/>
      <c r="E188" s="2987"/>
      <c r="F188" s="2976">
        <v>0.05</v>
      </c>
      <c r="G188" s="2993"/>
    </row>
    <row r="189" spans="1:7" ht="15" thickBot="1">
      <c r="A189" s="2989" t="s">
        <v>29</v>
      </c>
      <c r="B189" s="2979" t="s">
        <v>3200</v>
      </c>
      <c r="C189" s="2981"/>
      <c r="D189" s="2981"/>
      <c r="E189" s="2981"/>
      <c r="F189" s="2980">
        <v>0.05</v>
      </c>
      <c r="G189" s="2994"/>
    </row>
    <row r="190" spans="1:7">
      <c r="A190" s="2985" t="s">
        <v>304</v>
      </c>
      <c r="B190" s="2971" t="s">
        <v>2856</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2892</v>
      </c>
      <c r="C199" s="2976">
        <v>0.13</v>
      </c>
      <c r="D199" s="2976">
        <v>0.13</v>
      </c>
      <c r="E199" s="2976">
        <v>0.13</v>
      </c>
      <c r="F199" s="2976">
        <v>0.13</v>
      </c>
      <c r="G199" s="2977">
        <v>0.13</v>
      </c>
    </row>
    <row r="200" spans="1:7">
      <c r="A200" s="2986" t="s">
        <v>304</v>
      </c>
      <c r="B200" s="2975" t="s">
        <v>2895</v>
      </c>
      <c r="C200" s="2992"/>
      <c r="D200" s="2992"/>
      <c r="E200" s="2992"/>
      <c r="F200" s="2976">
        <v>0.13</v>
      </c>
      <c r="G200" s="2988"/>
    </row>
    <row r="201" spans="1:7">
      <c r="A201" s="2986" t="s">
        <v>304</v>
      </c>
      <c r="B201" s="2975" t="s">
        <v>2900</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2903</v>
      </c>
      <c r="C203" s="2976">
        <v>0.129</v>
      </c>
      <c r="D203" s="2976">
        <v>0.129</v>
      </c>
      <c r="E203" s="2976">
        <v>0.13</v>
      </c>
      <c r="F203" s="2976">
        <v>0.13</v>
      </c>
      <c r="G203" s="2977">
        <v>0.13</v>
      </c>
    </row>
    <row r="204" spans="1:7">
      <c r="A204" s="2986" t="s">
        <v>304</v>
      </c>
      <c r="B204" s="2975" t="s">
        <v>2906</v>
      </c>
      <c r="C204" s="2976">
        <v>0.129</v>
      </c>
      <c r="D204" s="2976">
        <v>0.129</v>
      </c>
      <c r="E204" s="2976">
        <v>0.123</v>
      </c>
      <c r="F204" s="2976">
        <v>0.13</v>
      </c>
      <c r="G204" s="2977">
        <v>0.13</v>
      </c>
    </row>
    <row r="205" spans="1:7">
      <c r="A205" s="2986" t="s">
        <v>304</v>
      </c>
      <c r="B205" s="2975" t="s">
        <v>2908</v>
      </c>
      <c r="C205" s="2976">
        <v>0.13</v>
      </c>
      <c r="D205" s="2976">
        <v>0.13</v>
      </c>
      <c r="E205" s="2976">
        <v>0.13</v>
      </c>
      <c r="F205" s="2976">
        <v>0.13</v>
      </c>
      <c r="G205" s="2977">
        <v>0.13</v>
      </c>
    </row>
    <row r="206" spans="1:7">
      <c r="A206" s="2986" t="s">
        <v>304</v>
      </c>
      <c r="B206" s="2975" t="s">
        <v>2911</v>
      </c>
      <c r="C206" s="2976">
        <v>0.13</v>
      </c>
      <c r="D206" s="2976">
        <v>0.13</v>
      </c>
      <c r="E206" s="2976">
        <v>0.13</v>
      </c>
      <c r="F206" s="2976">
        <v>0.128</v>
      </c>
      <c r="G206" s="2977">
        <v>0.13</v>
      </c>
    </row>
    <row r="207" spans="1:7">
      <c r="A207" s="2986" t="s">
        <v>304</v>
      </c>
      <c r="B207" s="2975" t="s">
        <v>2913</v>
      </c>
      <c r="C207" s="2976">
        <v>0.13</v>
      </c>
      <c r="D207" s="2976">
        <v>0.13</v>
      </c>
      <c r="E207" s="2976">
        <v>0.13</v>
      </c>
      <c r="F207" s="2976">
        <v>0.13</v>
      </c>
      <c r="G207" s="2977">
        <v>0.13</v>
      </c>
    </row>
    <row r="208" spans="1:7">
      <c r="A208" s="2986" t="s">
        <v>304</v>
      </c>
      <c r="B208" s="2975" t="s">
        <v>2916</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2923</v>
      </c>
      <c r="C210" s="2976">
        <v>0.121</v>
      </c>
      <c r="D210" s="2976">
        <v>0.121</v>
      </c>
      <c r="E210" s="2976">
        <v>0.125</v>
      </c>
      <c r="F210" s="2976">
        <v>0.13</v>
      </c>
      <c r="G210" s="2977">
        <v>0.123</v>
      </c>
    </row>
    <row r="211" spans="1:7">
      <c r="A211" s="2986" t="s">
        <v>304</v>
      </c>
      <c r="B211" s="2975" t="s">
        <v>2926</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2938</v>
      </c>
      <c r="C214" s="2976">
        <v>0.128</v>
      </c>
      <c r="D214" s="2976">
        <v>0.128</v>
      </c>
      <c r="E214" s="2976">
        <v>0.13</v>
      </c>
      <c r="F214" s="2976">
        <v>0.13</v>
      </c>
      <c r="G214" s="2977">
        <v>0.13</v>
      </c>
    </row>
    <row r="215" spans="1:7">
      <c r="A215" s="2986" t="s">
        <v>304</v>
      </c>
      <c r="B215" s="2975" t="s">
        <v>2942</v>
      </c>
      <c r="C215" s="2976">
        <v>0.13</v>
      </c>
      <c r="D215" s="2976">
        <v>0.13</v>
      </c>
      <c r="E215" s="2976">
        <v>0.13</v>
      </c>
      <c r="F215" s="2976">
        <v>0.129</v>
      </c>
      <c r="G215" s="2977">
        <v>0.13</v>
      </c>
    </row>
    <row r="216" spans="1:7">
      <c r="A216" s="2986" t="s">
        <v>304</v>
      </c>
      <c r="B216" s="2975" t="s">
        <v>2949</v>
      </c>
      <c r="C216" s="2976">
        <v>0.13</v>
      </c>
      <c r="D216" s="2976">
        <v>0.13</v>
      </c>
      <c r="E216" s="2976">
        <v>0.13</v>
      </c>
      <c r="F216" s="2976">
        <v>0.13</v>
      </c>
      <c r="G216" s="2977">
        <v>0.13</v>
      </c>
    </row>
    <row r="217" spans="1:7">
      <c r="A217" s="2986" t="s">
        <v>304</v>
      </c>
      <c r="B217" s="2975" t="s">
        <v>2956</v>
      </c>
      <c r="C217" s="2976">
        <v>0.129</v>
      </c>
      <c r="D217" s="2976">
        <v>0.129</v>
      </c>
      <c r="E217" s="2976">
        <v>0.13</v>
      </c>
      <c r="F217" s="2976">
        <v>0.13</v>
      </c>
      <c r="G217" s="2977">
        <v>0.13</v>
      </c>
    </row>
    <row r="218" spans="1:7">
      <c r="A218" s="2986" t="s">
        <v>304</v>
      </c>
      <c r="B218" s="2975" t="s">
        <v>2962</v>
      </c>
      <c r="C218" s="2987"/>
      <c r="D218" s="2987"/>
      <c r="E218" s="2987"/>
      <c r="F218" s="2976">
        <v>0.05</v>
      </c>
      <c r="G218" s="2993"/>
    </row>
    <row r="219" spans="1:7">
      <c r="A219" s="2986" t="s">
        <v>304</v>
      </c>
      <c r="B219" s="2975" t="s">
        <v>2969</v>
      </c>
      <c r="C219" s="2987"/>
      <c r="D219" s="2987"/>
      <c r="E219" s="2987"/>
      <c r="F219" s="2976">
        <v>0.05</v>
      </c>
      <c r="G219" s="2993"/>
    </row>
    <row r="220" spans="1:7">
      <c r="A220" s="2986" t="s">
        <v>304</v>
      </c>
      <c r="B220" s="2975" t="s">
        <v>2975</v>
      </c>
      <c r="C220" s="2987"/>
      <c r="D220" s="2987"/>
      <c r="E220" s="2987"/>
      <c r="F220" s="2976">
        <v>0.05</v>
      </c>
      <c r="G220" s="2993"/>
    </row>
    <row r="221" spans="1:7">
      <c r="A221" s="2986" t="s">
        <v>304</v>
      </c>
      <c r="B221" s="2975" t="s">
        <v>2980</v>
      </c>
      <c r="C221" s="2987"/>
      <c r="D221" s="2987"/>
      <c r="E221" s="2987"/>
      <c r="F221" s="2976">
        <v>0.05</v>
      </c>
      <c r="G221" s="2993"/>
    </row>
    <row r="222" spans="1:7">
      <c r="A222" s="2986" t="s">
        <v>304</v>
      </c>
      <c r="B222" s="2975" t="s">
        <v>2984</v>
      </c>
      <c r="C222" s="2987"/>
      <c r="D222" s="2987"/>
      <c r="E222" s="2987"/>
      <c r="F222" s="2976">
        <v>0.05</v>
      </c>
      <c r="G222" s="2993"/>
    </row>
    <row r="223" spans="1:7">
      <c r="A223" s="2986" t="s">
        <v>304</v>
      </c>
      <c r="B223" s="2975" t="s">
        <v>2989</v>
      </c>
      <c r="C223" s="2987"/>
      <c r="D223" s="2987"/>
      <c r="E223" s="2987"/>
      <c r="F223" s="2976">
        <v>0.05</v>
      </c>
      <c r="G223" s="2993"/>
    </row>
    <row r="224" spans="1:7">
      <c r="A224" s="2986" t="s">
        <v>304</v>
      </c>
      <c r="B224" s="2975" t="s">
        <v>2994</v>
      </c>
      <c r="C224" s="2987"/>
      <c r="D224" s="2987"/>
      <c r="E224" s="2987"/>
      <c r="F224" s="2976">
        <v>0.05</v>
      </c>
      <c r="G224" s="2993"/>
    </row>
    <row r="225" spans="1:7">
      <c r="A225" s="2986" t="s">
        <v>304</v>
      </c>
      <c r="B225" s="2975" t="s">
        <v>2999</v>
      </c>
      <c r="C225" s="2987"/>
      <c r="D225" s="2987"/>
      <c r="E225" s="2987"/>
      <c r="F225" s="2976">
        <v>0.05</v>
      </c>
      <c r="G225" s="2993"/>
    </row>
    <row r="226" spans="1:7">
      <c r="A226" s="2986" t="s">
        <v>304</v>
      </c>
      <c r="B226" s="2975" t="s">
        <v>3201</v>
      </c>
      <c r="C226" s="2987"/>
      <c r="D226" s="2987"/>
      <c r="E226" s="2987"/>
      <c r="F226" s="2976">
        <v>0.05</v>
      </c>
      <c r="G226" s="2993"/>
    </row>
    <row r="227" spans="1:7">
      <c r="A227" s="2986" t="s">
        <v>304</v>
      </c>
      <c r="B227" s="2975" t="s">
        <v>3202</v>
      </c>
      <c r="C227" s="2987"/>
      <c r="D227" s="2987"/>
      <c r="E227" s="2987"/>
      <c r="F227" s="2976">
        <v>0.05</v>
      </c>
      <c r="G227" s="2993"/>
    </row>
    <row r="228" spans="1:7">
      <c r="A228" s="2986" t="s">
        <v>304</v>
      </c>
      <c r="B228" s="2975" t="s">
        <v>3203</v>
      </c>
      <c r="C228" s="2987"/>
      <c r="D228" s="2987"/>
      <c r="E228" s="2987"/>
      <c r="F228" s="2976">
        <v>0.05</v>
      </c>
      <c r="G228" s="2993"/>
    </row>
    <row r="229" spans="1:7">
      <c r="A229" s="2986" t="s">
        <v>304</v>
      </c>
      <c r="B229" s="2975" t="s">
        <v>3204</v>
      </c>
      <c r="C229" s="2987"/>
      <c r="D229" s="2987"/>
      <c r="E229" s="2987"/>
      <c r="F229" s="2976">
        <v>0.05</v>
      </c>
      <c r="G229" s="2993"/>
    </row>
    <row r="230" spans="1:7">
      <c r="A230" s="2986" t="s">
        <v>304</v>
      </c>
      <c r="B230" s="2975" t="s">
        <v>3205</v>
      </c>
      <c r="C230" s="2987"/>
      <c r="D230" s="2987"/>
      <c r="E230" s="2987"/>
      <c r="F230" s="2976">
        <v>0.05</v>
      </c>
      <c r="G230" s="2993"/>
    </row>
    <row r="231" spans="1:7">
      <c r="A231" s="2986" t="s">
        <v>304</v>
      </c>
      <c r="B231" s="2975" t="s">
        <v>3206</v>
      </c>
      <c r="C231" s="2987"/>
      <c r="D231" s="2987"/>
      <c r="E231" s="2987"/>
      <c r="F231" s="2976">
        <v>0.05</v>
      </c>
      <c r="G231" s="2993"/>
    </row>
    <row r="232" spans="1:7">
      <c r="A232" s="2986" t="s">
        <v>304</v>
      </c>
      <c r="B232" s="2975" t="s">
        <v>3207</v>
      </c>
      <c r="C232" s="2987"/>
      <c r="D232" s="2987"/>
      <c r="E232" s="2987"/>
      <c r="F232" s="2976">
        <v>0.05</v>
      </c>
      <c r="G232" s="2993"/>
    </row>
    <row r="233" spans="1:7" ht="15" thickBot="1">
      <c r="A233" s="2989" t="s">
        <v>304</v>
      </c>
      <c r="B233" s="2979" t="s">
        <v>3208</v>
      </c>
      <c r="C233" s="2981"/>
      <c r="D233" s="2981"/>
      <c r="E233" s="2981"/>
      <c r="F233" s="2980">
        <v>0.05</v>
      </c>
      <c r="G233" s="2994"/>
    </row>
    <row r="234" spans="1:7">
      <c r="A234" s="2985" t="s">
        <v>305</v>
      </c>
      <c r="B234" s="2971" t="s">
        <v>2857</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2877</v>
      </c>
      <c r="C238" s="2976">
        <v>0.14899999999999999</v>
      </c>
      <c r="D238" s="2976">
        <v>0.14899999999999999</v>
      </c>
      <c r="E238" s="2976">
        <v>0.15</v>
      </c>
      <c r="F238" s="2976">
        <v>0.15</v>
      </c>
      <c r="G238" s="2977">
        <v>0.15</v>
      </c>
    </row>
    <row r="239" spans="1:7">
      <c r="A239" s="2986" t="s">
        <v>305</v>
      </c>
      <c r="B239" s="2975" t="s">
        <v>2881</v>
      </c>
      <c r="C239" s="2976">
        <v>0.15</v>
      </c>
      <c r="D239" s="2976">
        <v>0.15</v>
      </c>
      <c r="E239" s="2976">
        <v>0.15</v>
      </c>
      <c r="F239" s="2976">
        <v>0.15</v>
      </c>
      <c r="G239" s="2977">
        <v>0.15</v>
      </c>
    </row>
    <row r="240" spans="1:7">
      <c r="A240" s="2986" t="s">
        <v>305</v>
      </c>
      <c r="B240" s="2975" t="s">
        <v>2886</v>
      </c>
      <c r="C240" s="2976">
        <v>0.15</v>
      </c>
      <c r="D240" s="2976">
        <v>0.15</v>
      </c>
      <c r="E240" s="2976">
        <v>0.15</v>
      </c>
      <c r="F240" s="2976">
        <v>0.15</v>
      </c>
      <c r="G240" s="2977">
        <v>0.15</v>
      </c>
    </row>
    <row r="241" spans="1:7">
      <c r="A241" s="2986" t="s">
        <v>305</v>
      </c>
      <c r="B241" s="2975" t="s">
        <v>2890</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2896</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2904</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2909</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2917</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2930</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2939</v>
      </c>
      <c r="C258" s="2976">
        <v>0.14299999999999999</v>
      </c>
      <c r="D258" s="2976">
        <v>0.14299999999999999</v>
      </c>
      <c r="E258" s="2976">
        <v>0.15</v>
      </c>
      <c r="F258" s="2976">
        <v>0.14799999999999999</v>
      </c>
      <c r="G258" s="2977">
        <v>0.14599999999999999</v>
      </c>
    </row>
    <row r="259" spans="1:7">
      <c r="A259" s="2986" t="s">
        <v>305</v>
      </c>
      <c r="B259" s="2975" t="s">
        <v>2943</v>
      </c>
      <c r="C259" s="2976">
        <v>0.14399999999999999</v>
      </c>
      <c r="D259" s="2976">
        <v>0.14399999999999999</v>
      </c>
      <c r="E259" s="2976">
        <v>0.14899999999999999</v>
      </c>
      <c r="F259" s="2976">
        <v>0.14699999999999999</v>
      </c>
      <c r="G259" s="2977">
        <v>0.14599999999999999</v>
      </c>
    </row>
    <row r="260" spans="1:7">
      <c r="A260" s="2986" t="s">
        <v>305</v>
      </c>
      <c r="B260" s="2975" t="s">
        <v>2950</v>
      </c>
      <c r="C260" s="2976">
        <v>0.109</v>
      </c>
      <c r="D260" s="2976">
        <v>0.111</v>
      </c>
      <c r="E260" s="2976">
        <v>0.13100000000000001</v>
      </c>
      <c r="F260" s="2976">
        <v>0.126</v>
      </c>
      <c r="G260" s="2977">
        <v>0.11899999999999999</v>
      </c>
    </row>
    <row r="261" spans="1:7">
      <c r="A261" s="2986" t="s">
        <v>305</v>
      </c>
      <c r="B261" s="2975" t="s">
        <v>2957</v>
      </c>
      <c r="C261" s="2976">
        <v>0.1</v>
      </c>
      <c r="D261" s="2976">
        <v>0.1</v>
      </c>
      <c r="E261" s="2976">
        <v>0.11799999999999999</v>
      </c>
      <c r="F261" s="2976">
        <v>0.108</v>
      </c>
      <c r="G261" s="2977">
        <v>0.107</v>
      </c>
    </row>
    <row r="262" spans="1:7">
      <c r="A262" s="2986" t="s">
        <v>305</v>
      </c>
      <c r="B262" s="2975" t="s">
        <v>2963</v>
      </c>
      <c r="C262" s="2976">
        <v>0.1</v>
      </c>
      <c r="D262" s="2976">
        <v>0.1</v>
      </c>
      <c r="E262" s="2976">
        <v>0.1</v>
      </c>
      <c r="F262" s="2976">
        <v>0.14099999999999999</v>
      </c>
      <c r="G262" s="2977">
        <v>0.1</v>
      </c>
    </row>
    <row r="263" spans="1:7">
      <c r="A263" s="2986" t="s">
        <v>305</v>
      </c>
      <c r="B263" s="2975" t="s">
        <v>2970</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2981</v>
      </c>
      <c r="C265" s="2987"/>
      <c r="D265" s="2987"/>
      <c r="E265" s="2987"/>
      <c r="F265" s="2976">
        <v>0.05</v>
      </c>
      <c r="G265" s="2993"/>
    </row>
    <row r="266" spans="1:7">
      <c r="A266" s="2986" t="s">
        <v>305</v>
      </c>
      <c r="B266" s="2975" t="s">
        <v>2985</v>
      </c>
      <c r="C266" s="2987"/>
      <c r="D266" s="2987"/>
      <c r="E266" s="2987"/>
      <c r="F266" s="2976">
        <v>0.05</v>
      </c>
      <c r="G266" s="2993"/>
    </row>
    <row r="267" spans="1:7">
      <c r="A267" s="2986" t="s">
        <v>305</v>
      </c>
      <c r="B267" s="2975" t="s">
        <v>2990</v>
      </c>
      <c r="C267" s="2987"/>
      <c r="D267" s="2987"/>
      <c r="E267" s="2987"/>
      <c r="F267" s="2976">
        <v>0.05</v>
      </c>
      <c r="G267" s="2993"/>
    </row>
    <row r="268" spans="1:7">
      <c r="A268" s="2986" t="s">
        <v>305</v>
      </c>
      <c r="B268" s="2975" t="s">
        <v>2995</v>
      </c>
      <c r="C268" s="2987"/>
      <c r="D268" s="2987"/>
      <c r="E268" s="2987"/>
      <c r="F268" s="2976">
        <v>0.05</v>
      </c>
      <c r="G268" s="2993"/>
    </row>
    <row r="269" spans="1:7">
      <c r="A269" s="2986" t="s">
        <v>305</v>
      </c>
      <c r="B269" s="2975" t="s">
        <v>3000</v>
      </c>
      <c r="C269" s="2987"/>
      <c r="D269" s="2987"/>
      <c r="E269" s="2987"/>
      <c r="F269" s="2976">
        <v>0.05</v>
      </c>
      <c r="G269" s="2993"/>
    </row>
    <row r="270" spans="1:7">
      <c r="A270" s="2986" t="s">
        <v>305</v>
      </c>
      <c r="B270" s="2975" t="s">
        <v>3005</v>
      </c>
      <c r="C270" s="2987"/>
      <c r="D270" s="2987"/>
      <c r="E270" s="2987"/>
      <c r="F270" s="2976">
        <v>0.05</v>
      </c>
      <c r="G270" s="2993"/>
    </row>
    <row r="271" spans="1:7">
      <c r="A271" s="2986" t="s">
        <v>305</v>
      </c>
      <c r="B271" s="2975" t="s">
        <v>3209</v>
      </c>
      <c r="C271" s="2987"/>
      <c r="D271" s="2987"/>
      <c r="E271" s="2987"/>
      <c r="F271" s="2976">
        <v>0.05</v>
      </c>
      <c r="G271" s="2993"/>
    </row>
    <row r="272" spans="1:7">
      <c r="A272" s="2986" t="s">
        <v>305</v>
      </c>
      <c r="B272" s="2975" t="s">
        <v>3210</v>
      </c>
      <c r="C272" s="2987"/>
      <c r="D272" s="2987"/>
      <c r="E272" s="2987"/>
      <c r="F272" s="2976">
        <v>0.05</v>
      </c>
      <c r="G272" s="2993"/>
    </row>
    <row r="273" spans="1:7">
      <c r="A273" s="2986" t="s">
        <v>305</v>
      </c>
      <c r="B273" s="2975" t="s">
        <v>3211</v>
      </c>
      <c r="C273" s="2987"/>
      <c r="D273" s="2987"/>
      <c r="E273" s="2987"/>
      <c r="F273" s="2976">
        <v>0.05</v>
      </c>
      <c r="G273" s="2993"/>
    </row>
    <row r="274" spans="1:7">
      <c r="A274" s="2986" t="s">
        <v>305</v>
      </c>
      <c r="B274" s="2975" t="s">
        <v>3212</v>
      </c>
      <c r="C274" s="2987"/>
      <c r="D274" s="2987"/>
      <c r="E274" s="2987"/>
      <c r="F274" s="2976">
        <v>0.05</v>
      </c>
      <c r="G274" s="2993"/>
    </row>
    <row r="275" spans="1:7">
      <c r="A275" s="2986" t="s">
        <v>305</v>
      </c>
      <c r="B275" s="2975" t="s">
        <v>3213</v>
      </c>
      <c r="C275" s="2987"/>
      <c r="D275" s="2987"/>
      <c r="E275" s="2987"/>
      <c r="F275" s="2976">
        <v>0.05</v>
      </c>
      <c r="G275" s="2993"/>
    </row>
    <row r="276" spans="1:7" ht="15" thickBot="1">
      <c r="A276" s="2989" t="s">
        <v>305</v>
      </c>
      <c r="B276" s="2979" t="s">
        <v>3214</v>
      </c>
      <c r="C276" s="2981"/>
      <c r="D276" s="2981"/>
      <c r="E276" s="2981"/>
      <c r="F276" s="2980">
        <v>0.05</v>
      </c>
      <c r="G276" s="2994"/>
    </row>
    <row r="277" spans="1:7">
      <c r="A277" s="2985" t="s">
        <v>306</v>
      </c>
      <c r="B277" s="2971" t="s">
        <v>2858</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2870</v>
      </c>
      <c r="C279" s="2976">
        <v>0.15</v>
      </c>
      <c r="D279" s="2976">
        <v>0.15</v>
      </c>
      <c r="E279" s="2976">
        <v>0.15</v>
      </c>
      <c r="F279" s="2976">
        <v>0.15</v>
      </c>
      <c r="G279" s="2977">
        <v>0.15</v>
      </c>
    </row>
    <row r="280" spans="1:7">
      <c r="A280" s="2986" t="s">
        <v>306</v>
      </c>
      <c r="B280" s="2975" t="s">
        <v>2874</v>
      </c>
      <c r="C280" s="2976">
        <v>0.15</v>
      </c>
      <c r="D280" s="2976">
        <v>0.15</v>
      </c>
      <c r="E280" s="2976">
        <v>0.15</v>
      </c>
      <c r="F280" s="2976">
        <v>0.15</v>
      </c>
      <c r="G280" s="2977">
        <v>0.15</v>
      </c>
    </row>
    <row r="281" spans="1:7">
      <c r="A281" s="2986" t="s">
        <v>306</v>
      </c>
      <c r="B281" s="2975" t="s">
        <v>2878</v>
      </c>
      <c r="C281" s="2976">
        <v>0.15</v>
      </c>
      <c r="D281" s="2976">
        <v>0.15</v>
      </c>
      <c r="E281" s="2976">
        <v>0.15</v>
      </c>
      <c r="F281" s="2976">
        <v>0.15</v>
      </c>
      <c r="G281" s="2977">
        <v>0.15</v>
      </c>
    </row>
    <row r="282" spans="1:7">
      <c r="A282" s="2986" t="s">
        <v>306</v>
      </c>
      <c r="B282" s="2975" t="s">
        <v>2882</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2897</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2902</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2912</v>
      </c>
      <c r="C293" s="2976">
        <v>0.15</v>
      </c>
      <c r="D293" s="2976">
        <v>0.15</v>
      </c>
      <c r="E293" s="2976">
        <v>0.15</v>
      </c>
      <c r="F293" s="2976">
        <v>0.14499999999999999</v>
      </c>
      <c r="G293" s="2977">
        <v>0.15</v>
      </c>
    </row>
    <row r="294" spans="1:7">
      <c r="A294" s="2986" t="s">
        <v>306</v>
      </c>
      <c r="B294" s="2975" t="s">
        <v>2914</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2931</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2944</v>
      </c>
      <c r="C302" s="2976">
        <v>0.15</v>
      </c>
      <c r="D302" s="2976">
        <v>0.15</v>
      </c>
      <c r="E302" s="2976">
        <v>0.15</v>
      </c>
      <c r="F302" s="2976">
        <v>0.14699999999999999</v>
      </c>
      <c r="G302" s="2977">
        <v>0.15</v>
      </c>
    </row>
    <row r="303" spans="1:7">
      <c r="A303" s="2986" t="s">
        <v>306</v>
      </c>
      <c r="B303" s="2975" t="s">
        <v>2951</v>
      </c>
      <c r="C303" s="2976">
        <v>0.15</v>
      </c>
      <c r="D303" s="2976">
        <v>0.15</v>
      </c>
      <c r="E303" s="2976">
        <v>0.15</v>
      </c>
      <c r="F303" s="2976">
        <v>0.14199999999999999</v>
      </c>
      <c r="G303" s="2977">
        <v>0.15</v>
      </c>
    </row>
    <row r="304" spans="1:7">
      <c r="A304" s="2986" t="s">
        <v>306</v>
      </c>
      <c r="B304" s="2975" t="s">
        <v>2958</v>
      </c>
      <c r="C304" s="2976">
        <v>0.15</v>
      </c>
      <c r="D304" s="2976">
        <v>0.15</v>
      </c>
      <c r="E304" s="2976">
        <v>0.15</v>
      </c>
      <c r="F304" s="2976">
        <v>0.14499999999999999</v>
      </c>
      <c r="G304" s="2977">
        <v>0.15</v>
      </c>
    </row>
    <row r="305" spans="1:7">
      <c r="A305" s="2986" t="s">
        <v>306</v>
      </c>
      <c r="B305" s="2975" t="s">
        <v>2964</v>
      </c>
      <c r="C305" s="2976">
        <v>0.15</v>
      </c>
      <c r="D305" s="2976">
        <v>0.15</v>
      </c>
      <c r="E305" s="2976">
        <v>0.15</v>
      </c>
      <c r="F305" s="2976">
        <v>0.111</v>
      </c>
      <c r="G305" s="2977">
        <v>0.15</v>
      </c>
    </row>
    <row r="306" spans="1:7">
      <c r="A306" s="2986" t="s">
        <v>306</v>
      </c>
      <c r="B306" s="2975" t="s">
        <v>2971</v>
      </c>
      <c r="C306" s="2976">
        <v>0.15</v>
      </c>
      <c r="D306" s="2976">
        <v>0.15</v>
      </c>
      <c r="E306" s="2976">
        <v>0.15</v>
      </c>
      <c r="F306" s="2976">
        <v>0.126</v>
      </c>
      <c r="G306" s="2977">
        <v>0.15</v>
      </c>
    </row>
    <row r="307" spans="1:7">
      <c r="A307" s="2986" t="s">
        <v>306</v>
      </c>
      <c r="B307" s="2975" t="s">
        <v>2976</v>
      </c>
      <c r="C307" s="2976">
        <v>0.15</v>
      </c>
      <c r="D307" s="2976">
        <v>0.15</v>
      </c>
      <c r="E307" s="2976">
        <v>0.15</v>
      </c>
      <c r="F307" s="2976">
        <v>0.12</v>
      </c>
      <c r="G307" s="2977">
        <v>0.15</v>
      </c>
    </row>
    <row r="308" spans="1:7">
      <c r="A308" s="2986" t="s">
        <v>306</v>
      </c>
      <c r="B308" s="2975" t="s">
        <v>2982</v>
      </c>
      <c r="C308" s="2976">
        <v>0.15</v>
      </c>
      <c r="D308" s="2976">
        <v>0.15</v>
      </c>
      <c r="E308" s="2976">
        <v>0.15</v>
      </c>
      <c r="F308" s="2976">
        <v>0.13</v>
      </c>
      <c r="G308" s="2977">
        <v>0.15</v>
      </c>
    </row>
    <row r="309" spans="1:7">
      <c r="A309" s="2986" t="s">
        <v>306</v>
      </c>
      <c r="B309" s="2975" t="s">
        <v>2986</v>
      </c>
      <c r="C309" s="2976">
        <v>0.15</v>
      </c>
      <c r="D309" s="2976">
        <v>0.15</v>
      </c>
      <c r="E309" s="2976">
        <v>0.15</v>
      </c>
      <c r="F309" s="2976">
        <v>0.14099999999999999</v>
      </c>
      <c r="G309" s="2977">
        <v>0.15</v>
      </c>
    </row>
    <row r="310" spans="1:7">
      <c r="A310" s="2986" t="s">
        <v>306</v>
      </c>
      <c r="B310" s="2975" t="s">
        <v>2991</v>
      </c>
      <c r="C310" s="2976">
        <v>0.15</v>
      </c>
      <c r="D310" s="2976">
        <v>0.15</v>
      </c>
      <c r="E310" s="2976">
        <v>0.15</v>
      </c>
      <c r="F310" s="2976">
        <v>0.15</v>
      </c>
      <c r="G310" s="2977">
        <v>0.15</v>
      </c>
    </row>
    <row r="311" spans="1:7">
      <c r="A311" s="2986" t="s">
        <v>306</v>
      </c>
      <c r="B311" s="2975" t="s">
        <v>2996</v>
      </c>
      <c r="C311" s="2976">
        <v>0.13200000000000001</v>
      </c>
      <c r="D311" s="2976">
        <v>0.13300000000000001</v>
      </c>
      <c r="E311" s="2976">
        <v>0.14499999999999999</v>
      </c>
      <c r="F311" s="2976">
        <v>0.14199999999999999</v>
      </c>
      <c r="G311" s="2977">
        <v>0.14000000000000001</v>
      </c>
    </row>
    <row r="312" spans="1:7">
      <c r="A312" s="2986" t="s">
        <v>306</v>
      </c>
      <c r="B312" s="2975" t="s">
        <v>3001</v>
      </c>
      <c r="C312" s="2976">
        <v>0.13800000000000001</v>
      </c>
      <c r="D312" s="2976">
        <v>0.14000000000000001</v>
      </c>
      <c r="E312" s="2976">
        <v>0.14599999999999999</v>
      </c>
      <c r="F312" s="2976">
        <v>0.14899999999999999</v>
      </c>
      <c r="G312" s="2977">
        <v>0.14199999999999999</v>
      </c>
    </row>
    <row r="313" spans="1:7">
      <c r="A313" s="2986" t="s">
        <v>306</v>
      </c>
      <c r="B313" s="2975" t="s">
        <v>3006</v>
      </c>
      <c r="C313" s="2976">
        <v>0.125</v>
      </c>
      <c r="D313" s="2976">
        <v>0.127</v>
      </c>
      <c r="E313" s="2976">
        <v>0.14399999999999999</v>
      </c>
      <c r="F313" s="2976">
        <v>0.115</v>
      </c>
      <c r="G313" s="2977">
        <v>0.13600000000000001</v>
      </c>
    </row>
    <row r="314" spans="1:7">
      <c r="A314" s="2986" t="s">
        <v>306</v>
      </c>
      <c r="B314" s="2975" t="s">
        <v>3215</v>
      </c>
      <c r="C314" s="2992"/>
      <c r="D314" s="2992"/>
      <c r="E314" s="2992"/>
      <c r="F314" s="2976">
        <v>0.05</v>
      </c>
      <c r="G314" s="2993"/>
    </row>
    <row r="315" spans="1:7">
      <c r="A315" s="2986" t="s">
        <v>306</v>
      </c>
      <c r="B315" s="2975" t="s">
        <v>3216</v>
      </c>
      <c r="C315" s="2992"/>
      <c r="D315" s="2992"/>
      <c r="E315" s="2992"/>
      <c r="F315" s="2976">
        <v>0.05</v>
      </c>
      <c r="G315" s="2993"/>
    </row>
    <row r="316" spans="1:7">
      <c r="A316" s="2986" t="s">
        <v>306</v>
      </c>
      <c r="B316" s="2975" t="s">
        <v>3217</v>
      </c>
      <c r="C316" s="2987"/>
      <c r="D316" s="2987"/>
      <c r="E316" s="2987"/>
      <c r="F316" s="2976">
        <v>0.05</v>
      </c>
      <c r="G316" s="2993"/>
    </row>
    <row r="317" spans="1:7">
      <c r="A317" s="2986" t="s">
        <v>306</v>
      </c>
      <c r="B317" s="2975" t="s">
        <v>3218</v>
      </c>
      <c r="C317" s="2987"/>
      <c r="D317" s="2987"/>
      <c r="E317" s="2987"/>
      <c r="F317" s="2976">
        <v>0.05</v>
      </c>
      <c r="G317" s="2993"/>
    </row>
    <row r="318" spans="1:7">
      <c r="A318" s="2986" t="s">
        <v>306</v>
      </c>
      <c r="B318" s="2975" t="s">
        <v>3219</v>
      </c>
      <c r="C318" s="2987"/>
      <c r="D318" s="2987"/>
      <c r="E318" s="2987"/>
      <c r="F318" s="2976">
        <v>0.05</v>
      </c>
      <c r="G318" s="2993"/>
    </row>
    <row r="319" spans="1:7">
      <c r="A319" s="2986" t="s">
        <v>306</v>
      </c>
      <c r="B319" s="2975" t="s">
        <v>3220</v>
      </c>
      <c r="C319" s="2987"/>
      <c r="D319" s="2987"/>
      <c r="E319" s="2987"/>
      <c r="F319" s="2976">
        <v>0.05</v>
      </c>
      <c r="G319" s="2993"/>
    </row>
    <row r="320" spans="1:7">
      <c r="A320" s="2986" t="s">
        <v>306</v>
      </c>
      <c r="B320" s="2975" t="s">
        <v>3221</v>
      </c>
      <c r="C320" s="2987"/>
      <c r="D320" s="2987"/>
      <c r="E320" s="2987"/>
      <c r="F320" s="2976">
        <v>0.05</v>
      </c>
      <c r="G320" s="2993"/>
    </row>
    <row r="321" spans="1:7">
      <c r="A321" s="2986" t="s">
        <v>306</v>
      </c>
      <c r="B321" s="2975" t="s">
        <v>3222</v>
      </c>
      <c r="C321" s="2987"/>
      <c r="D321" s="2987"/>
      <c r="E321" s="2987"/>
      <c r="F321" s="2976">
        <v>0.05</v>
      </c>
      <c r="G321" s="2993"/>
    </row>
    <row r="322" spans="1:7">
      <c r="A322" s="2986" t="s">
        <v>306</v>
      </c>
      <c r="B322" s="2975" t="s">
        <v>3223</v>
      </c>
      <c r="C322" s="2987"/>
      <c r="D322" s="2987"/>
      <c r="E322" s="2987"/>
      <c r="F322" s="2976">
        <v>0.05</v>
      </c>
      <c r="G322" s="2993"/>
    </row>
    <row r="323" spans="1:7">
      <c r="A323" s="2986" t="s">
        <v>306</v>
      </c>
      <c r="B323" s="2975" t="s">
        <v>3224</v>
      </c>
      <c r="C323" s="2987"/>
      <c r="D323" s="2987"/>
      <c r="E323" s="2987"/>
      <c r="F323" s="2976">
        <v>0.05</v>
      </c>
      <c r="G323" s="2993"/>
    </row>
    <row r="324" spans="1:7">
      <c r="A324" s="2986" t="s">
        <v>306</v>
      </c>
      <c r="B324" s="2975" t="s">
        <v>3225</v>
      </c>
      <c r="C324" s="2987"/>
      <c r="D324" s="2987"/>
      <c r="E324" s="2987"/>
      <c r="F324" s="2976">
        <v>0.05</v>
      </c>
      <c r="G324" s="2993"/>
    </row>
    <row r="325" spans="1:7">
      <c r="A325" s="2986" t="s">
        <v>306</v>
      </c>
      <c r="B325" s="2975" t="s">
        <v>3226</v>
      </c>
      <c r="C325" s="2987"/>
      <c r="D325" s="2987"/>
      <c r="E325" s="2987"/>
      <c r="F325" s="2976">
        <v>0.05</v>
      </c>
      <c r="G325" s="2993"/>
    </row>
    <row r="326" spans="1:7" ht="15" thickBot="1">
      <c r="A326" s="2989" t="s">
        <v>306</v>
      </c>
      <c r="B326" s="2979" t="s">
        <v>3227</v>
      </c>
      <c r="C326" s="2981"/>
      <c r="D326" s="2981"/>
      <c r="E326" s="2981"/>
      <c r="F326" s="2980">
        <v>0.05</v>
      </c>
      <c r="G326" s="2994"/>
    </row>
    <row r="327" spans="1:7">
      <c r="A327" s="2985" t="s">
        <v>307</v>
      </c>
      <c r="B327" s="2971" t="s">
        <v>2859</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2871</v>
      </c>
      <c r="C329" s="2976">
        <v>0.15</v>
      </c>
      <c r="D329" s="2976">
        <v>0.15</v>
      </c>
      <c r="E329" s="2976">
        <v>0.15</v>
      </c>
      <c r="F329" s="2976">
        <v>0.15</v>
      </c>
      <c r="G329" s="2977">
        <v>0.15</v>
      </c>
    </row>
    <row r="330" spans="1:7">
      <c r="A330" s="2986" t="s">
        <v>307</v>
      </c>
      <c r="B330" s="2975" t="s">
        <v>2875</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2883</v>
      </c>
      <c r="C332" s="2976">
        <v>0.15</v>
      </c>
      <c r="D332" s="2976">
        <v>0.15</v>
      </c>
      <c r="E332" s="2976">
        <v>0.15</v>
      </c>
      <c r="F332" s="2976">
        <v>0.15</v>
      </c>
      <c r="G332" s="2977">
        <v>0.15</v>
      </c>
    </row>
    <row r="333" spans="1:7">
      <c r="A333" s="2986" t="s">
        <v>307</v>
      </c>
      <c r="B333" s="2975" t="s">
        <v>2887</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2893</v>
      </c>
      <c r="C336" s="2976">
        <v>0.15</v>
      </c>
      <c r="D336" s="2976">
        <v>0.15</v>
      </c>
      <c r="E336" s="2976">
        <v>0.15</v>
      </c>
      <c r="F336" s="2976">
        <v>0.14199999999999999</v>
      </c>
      <c r="G336" s="2977">
        <v>0.15</v>
      </c>
    </row>
    <row r="337" spans="1:7">
      <c r="A337" s="2986" t="s">
        <v>307</v>
      </c>
      <c r="B337" s="2975" t="s">
        <v>2898</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2905</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2910</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2918</v>
      </c>
      <c r="C345" s="2976">
        <v>0.15</v>
      </c>
      <c r="D345" s="2976">
        <v>0.15</v>
      </c>
      <c r="E345" s="2976">
        <v>0.15</v>
      </c>
      <c r="F345" s="2976">
        <v>0.13800000000000001</v>
      </c>
      <c r="G345" s="2977">
        <v>0.15</v>
      </c>
    </row>
    <row r="346" spans="1:7">
      <c r="A346" s="2986" t="s">
        <v>307</v>
      </c>
      <c r="B346" s="2975" t="s">
        <v>2920</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2927</v>
      </c>
      <c r="C348" s="2976">
        <v>0.15</v>
      </c>
      <c r="D348" s="2976">
        <v>0.15</v>
      </c>
      <c r="E348" s="2976">
        <v>0.15</v>
      </c>
      <c r="F348" s="2976">
        <v>0.14399999999999999</v>
      </c>
      <c r="G348" s="2977">
        <v>0.15</v>
      </c>
    </row>
    <row r="349" spans="1:7">
      <c r="A349" s="2986" t="s">
        <v>307</v>
      </c>
      <c r="B349" s="2975" t="s">
        <v>2932</v>
      </c>
      <c r="C349" s="2976">
        <v>0.15</v>
      </c>
      <c r="D349" s="2976">
        <v>0.15</v>
      </c>
      <c r="E349" s="2976">
        <v>0.15</v>
      </c>
      <c r="F349" s="2976">
        <v>0.15</v>
      </c>
      <c r="G349" s="2977">
        <v>0.15</v>
      </c>
    </row>
    <row r="350" spans="1:7">
      <c r="A350" s="2986" t="s">
        <v>307</v>
      </c>
      <c r="B350" s="2975" t="s">
        <v>2935</v>
      </c>
      <c r="C350" s="2976">
        <v>0.15</v>
      </c>
      <c r="D350" s="2976">
        <v>0.15</v>
      </c>
      <c r="E350" s="2976">
        <v>0.15</v>
      </c>
      <c r="F350" s="2976">
        <v>0.14699999999999999</v>
      </c>
      <c r="G350" s="2977">
        <v>0.15</v>
      </c>
    </row>
    <row r="351" spans="1:7">
      <c r="A351" s="2986" t="s">
        <v>307</v>
      </c>
      <c r="B351" s="2975" t="s">
        <v>2940</v>
      </c>
      <c r="C351" s="2976">
        <v>0.15</v>
      </c>
      <c r="D351" s="2976">
        <v>0.15</v>
      </c>
      <c r="E351" s="2976">
        <v>0.15</v>
      </c>
      <c r="F351" s="2976">
        <v>0.13</v>
      </c>
      <c r="G351" s="2977">
        <v>0.15</v>
      </c>
    </row>
    <row r="352" spans="1:7">
      <c r="A352" s="2986" t="s">
        <v>307</v>
      </c>
      <c r="B352" s="2975" t="s">
        <v>2945</v>
      </c>
      <c r="C352" s="2976">
        <v>0.15</v>
      </c>
      <c r="D352" s="2976">
        <v>0.15</v>
      </c>
      <c r="E352" s="2976">
        <v>0.15</v>
      </c>
      <c r="F352" s="2976">
        <v>0.14599999999999999</v>
      </c>
      <c r="G352" s="2977">
        <v>0.15</v>
      </c>
    </row>
    <row r="353" spans="1:7">
      <c r="A353" s="2986" t="s">
        <v>307</v>
      </c>
      <c r="B353" s="2975" t="s">
        <v>2952</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2965</v>
      </c>
      <c r="C355" s="2976">
        <v>0.15</v>
      </c>
      <c r="D355" s="2976">
        <v>0.15</v>
      </c>
      <c r="E355" s="2976">
        <v>0.15</v>
      </c>
      <c r="F355" s="2976">
        <v>0.15</v>
      </c>
      <c r="G355" s="2977">
        <v>0.15</v>
      </c>
    </row>
    <row r="356" spans="1:7">
      <c r="A356" s="2986" t="s">
        <v>307</v>
      </c>
      <c r="B356" s="2975" t="s">
        <v>2972</v>
      </c>
      <c r="C356" s="2976">
        <v>0.15</v>
      </c>
      <c r="D356" s="2976">
        <v>0.15</v>
      </c>
      <c r="E356" s="2976">
        <v>0.15</v>
      </c>
      <c r="F356" s="2976">
        <v>0.15</v>
      </c>
      <c r="G356" s="2977">
        <v>0.15</v>
      </c>
    </row>
    <row r="357" spans="1:7" ht="15" thickBot="1">
      <c r="A357" s="2989" t="s">
        <v>307</v>
      </c>
      <c r="B357" s="2979" t="s">
        <v>2977</v>
      </c>
      <c r="C357" s="2980">
        <v>0.126</v>
      </c>
      <c r="D357" s="2980">
        <v>0.127</v>
      </c>
      <c r="E357" s="2980">
        <v>0.14299999999999999</v>
      </c>
      <c r="F357" s="2980">
        <v>0.125</v>
      </c>
      <c r="G357" s="2982">
        <v>0.129</v>
      </c>
    </row>
    <row r="358" spans="1:7">
      <c r="A358" s="2985" t="s">
        <v>2846</v>
      </c>
      <c r="B358" s="2971" t="s">
        <v>2860</v>
      </c>
      <c r="C358" s="2972">
        <v>0.15</v>
      </c>
      <c r="D358" s="2972">
        <v>0.15</v>
      </c>
      <c r="E358" s="2972">
        <v>0.15</v>
      </c>
      <c r="F358" s="2972">
        <v>0.15</v>
      </c>
      <c r="G358" s="2973">
        <v>0.15</v>
      </c>
    </row>
    <row r="359" spans="1:7">
      <c r="A359" s="2986" t="s">
        <v>2846</v>
      </c>
      <c r="B359" s="2975" t="s">
        <v>2866</v>
      </c>
      <c r="C359" s="2976">
        <v>0.1</v>
      </c>
      <c r="D359" s="2976">
        <v>0.1</v>
      </c>
      <c r="E359" s="2976">
        <v>0.1</v>
      </c>
      <c r="F359" s="2976">
        <v>0.1</v>
      </c>
      <c r="G359" s="2977">
        <v>0.1</v>
      </c>
    </row>
    <row r="360" spans="1:7">
      <c r="A360" s="2986" t="s">
        <v>2846</v>
      </c>
      <c r="B360" s="2975" t="s">
        <v>2872</v>
      </c>
      <c r="C360" s="2976">
        <v>0.15</v>
      </c>
      <c r="D360" s="2976">
        <v>0.15</v>
      </c>
      <c r="E360" s="2976">
        <v>0.15</v>
      </c>
      <c r="F360" s="2976">
        <v>0.14899999999999999</v>
      </c>
      <c r="G360" s="2977">
        <v>0.15</v>
      </c>
    </row>
    <row r="361" spans="1:7">
      <c r="A361" s="2986" t="s">
        <v>2846</v>
      </c>
      <c r="B361" s="2975" t="s">
        <v>153</v>
      </c>
      <c r="C361" s="2976">
        <v>0.15</v>
      </c>
      <c r="D361" s="2976">
        <v>0.15</v>
      </c>
      <c r="E361" s="2976">
        <v>0.15</v>
      </c>
      <c r="F361" s="2976">
        <v>0.115</v>
      </c>
      <c r="G361" s="2977">
        <v>0.15</v>
      </c>
    </row>
    <row r="362" spans="1:7">
      <c r="A362" s="2986" t="s">
        <v>2846</v>
      </c>
      <c r="B362" s="2975" t="s">
        <v>2879</v>
      </c>
      <c r="C362" s="2976">
        <v>0.15</v>
      </c>
      <c r="D362" s="2976">
        <v>0.15</v>
      </c>
      <c r="E362" s="2976">
        <v>0.15</v>
      </c>
      <c r="F362" s="2976">
        <v>0.106</v>
      </c>
      <c r="G362" s="2977">
        <v>0.15</v>
      </c>
    </row>
    <row r="363" spans="1:7">
      <c r="A363" s="2986" t="s">
        <v>2846</v>
      </c>
      <c r="B363" s="2975" t="s">
        <v>2884</v>
      </c>
      <c r="C363" s="2976">
        <v>0.15</v>
      </c>
      <c r="D363" s="2976">
        <v>0.15</v>
      </c>
      <c r="E363" s="2976">
        <v>0.15</v>
      </c>
      <c r="F363" s="2976">
        <v>0.14699999999999999</v>
      </c>
      <c r="G363" s="2977">
        <v>0.15</v>
      </c>
    </row>
    <row r="364" spans="1:7">
      <c r="A364" s="2986" t="s">
        <v>2846</v>
      </c>
      <c r="B364" s="2975" t="s">
        <v>2888</v>
      </c>
      <c r="C364" s="2976">
        <v>0.15</v>
      </c>
      <c r="D364" s="2976">
        <v>0.15</v>
      </c>
      <c r="E364" s="2976">
        <v>0.15</v>
      </c>
      <c r="F364" s="2976">
        <v>0.14799999999999999</v>
      </c>
      <c r="G364" s="2977">
        <v>0.15</v>
      </c>
    </row>
    <row r="365" spans="1:7">
      <c r="A365" s="2986" t="s">
        <v>2846</v>
      </c>
      <c r="B365" s="2975" t="s">
        <v>200</v>
      </c>
      <c r="C365" s="2976">
        <v>0.15</v>
      </c>
      <c r="D365" s="2976">
        <v>0.15</v>
      </c>
      <c r="E365" s="2976">
        <v>0.15</v>
      </c>
      <c r="F365" s="2976">
        <v>0.15</v>
      </c>
      <c r="G365" s="2977">
        <v>0.15</v>
      </c>
    </row>
    <row r="366" spans="1:7">
      <c r="A366" s="2986" t="s">
        <v>2846</v>
      </c>
      <c r="B366" s="2975" t="s">
        <v>2891</v>
      </c>
      <c r="C366" s="2976">
        <v>0.15</v>
      </c>
      <c r="D366" s="2976">
        <v>0.15</v>
      </c>
      <c r="E366" s="2976">
        <v>0.15</v>
      </c>
      <c r="F366" s="2976">
        <v>0.15</v>
      </c>
      <c r="G366" s="2977">
        <v>0.15</v>
      </c>
    </row>
    <row r="367" spans="1:7">
      <c r="A367" s="2986" t="s">
        <v>2846</v>
      </c>
      <c r="B367" s="2975" t="s">
        <v>2894</v>
      </c>
      <c r="C367" s="2976">
        <v>0.15</v>
      </c>
      <c r="D367" s="2976">
        <v>0.15</v>
      </c>
      <c r="E367" s="2976">
        <v>0.15</v>
      </c>
      <c r="F367" s="2976">
        <v>0.14699999999999999</v>
      </c>
      <c r="G367" s="2977">
        <v>0.15</v>
      </c>
    </row>
    <row r="368" spans="1:7">
      <c r="A368" s="2986" t="s">
        <v>2846</v>
      </c>
      <c r="B368" s="2975" t="s">
        <v>2899</v>
      </c>
      <c r="C368" s="2976">
        <v>0.15</v>
      </c>
      <c r="D368" s="2976">
        <v>0.15</v>
      </c>
      <c r="E368" s="2976">
        <v>0.15</v>
      </c>
      <c r="F368" s="2976">
        <v>0.13600000000000001</v>
      </c>
      <c r="G368" s="2977">
        <v>0.15</v>
      </c>
    </row>
    <row r="369" spans="1:7">
      <c r="A369" s="2986" t="s">
        <v>2846</v>
      </c>
      <c r="B369" s="2975" t="s">
        <v>214</v>
      </c>
      <c r="C369" s="2976">
        <v>0.15</v>
      </c>
      <c r="D369" s="2976">
        <v>0.15</v>
      </c>
      <c r="E369" s="2976">
        <v>0.15</v>
      </c>
      <c r="F369" s="2976">
        <v>0.14399999999999999</v>
      </c>
      <c r="G369" s="2977">
        <v>0.15</v>
      </c>
    </row>
    <row r="370" spans="1:7">
      <c r="A370" s="2986" t="s">
        <v>2846</v>
      </c>
      <c r="B370" s="2975" t="s">
        <v>221</v>
      </c>
      <c r="C370" s="2976">
        <v>0.15</v>
      </c>
      <c r="D370" s="2976">
        <v>0.15</v>
      </c>
      <c r="E370" s="2976">
        <v>0.15</v>
      </c>
      <c r="F370" s="2976">
        <v>0.14599999999999999</v>
      </c>
      <c r="G370" s="2977">
        <v>0.15</v>
      </c>
    </row>
    <row r="371" spans="1:7">
      <c r="A371" s="2986" t="s">
        <v>2846</v>
      </c>
      <c r="B371" s="2975" t="s">
        <v>229</v>
      </c>
      <c r="C371" s="2976">
        <v>0.15</v>
      </c>
      <c r="D371" s="2976">
        <v>0.15</v>
      </c>
      <c r="E371" s="2976">
        <v>0.15</v>
      </c>
      <c r="F371" s="2976">
        <v>0.12</v>
      </c>
      <c r="G371" s="2977">
        <v>0.15</v>
      </c>
    </row>
    <row r="372" spans="1:7">
      <c r="A372" s="2986" t="s">
        <v>2846</v>
      </c>
      <c r="B372" s="2975" t="s">
        <v>2907</v>
      </c>
      <c r="C372" s="2976">
        <v>0.15</v>
      </c>
      <c r="D372" s="2976">
        <v>0.15</v>
      </c>
      <c r="E372" s="2976">
        <v>0.15</v>
      </c>
      <c r="F372" s="2976">
        <v>0.14299999999999999</v>
      </c>
      <c r="G372" s="2977">
        <v>0.15</v>
      </c>
    </row>
    <row r="373" spans="1:7">
      <c r="A373" s="2986" t="s">
        <v>2846</v>
      </c>
      <c r="B373" s="2975" t="s">
        <v>258</v>
      </c>
      <c r="C373" s="2976">
        <v>0.15</v>
      </c>
      <c r="D373" s="2976">
        <v>0.15</v>
      </c>
      <c r="E373" s="2976">
        <v>0.15</v>
      </c>
      <c r="F373" s="2976">
        <v>0.14599999999999999</v>
      </c>
      <c r="G373" s="2977">
        <v>0.15</v>
      </c>
    </row>
    <row r="374" spans="1:7">
      <c r="A374" s="2986" t="s">
        <v>2846</v>
      </c>
      <c r="B374" s="2975" t="s">
        <v>266</v>
      </c>
      <c r="C374" s="2976">
        <v>0.15</v>
      </c>
      <c r="D374" s="2976">
        <v>0.15</v>
      </c>
      <c r="E374" s="2976">
        <v>0.15</v>
      </c>
      <c r="F374" s="2976">
        <v>0.14399999999999999</v>
      </c>
      <c r="G374" s="2977">
        <v>0.15</v>
      </c>
    </row>
    <row r="375" spans="1:7">
      <c r="A375" s="2986" t="s">
        <v>2846</v>
      </c>
      <c r="B375" s="2975" t="s">
        <v>2915</v>
      </c>
      <c r="C375" s="2976">
        <v>0.15</v>
      </c>
      <c r="D375" s="2976">
        <v>0.15</v>
      </c>
      <c r="E375" s="2976">
        <v>0.15</v>
      </c>
      <c r="F375" s="2976">
        <v>0.13</v>
      </c>
      <c r="G375" s="2977">
        <v>0.15</v>
      </c>
    </row>
    <row r="376" spans="1:7">
      <c r="A376" s="2986" t="s">
        <v>2846</v>
      </c>
      <c r="B376" s="2975" t="s">
        <v>277</v>
      </c>
      <c r="C376" s="2976">
        <v>0.15</v>
      </c>
      <c r="D376" s="2976">
        <v>0.15</v>
      </c>
      <c r="E376" s="2976">
        <v>0.15</v>
      </c>
      <c r="F376" s="2976">
        <v>0.14199999999999999</v>
      </c>
      <c r="G376" s="2977">
        <v>0.15</v>
      </c>
    </row>
    <row r="377" spans="1:7" ht="15" thickBot="1">
      <c r="A377" s="2989" t="s">
        <v>2846</v>
      </c>
      <c r="B377" s="2979" t="s">
        <v>2921</v>
      </c>
      <c r="C377" s="2980">
        <v>0.15</v>
      </c>
      <c r="D377" s="2980">
        <v>0.15</v>
      </c>
      <c r="E377" s="2980">
        <v>0.15</v>
      </c>
      <c r="F377" s="2980">
        <v>0.14000000000000001</v>
      </c>
      <c r="G377" s="2982">
        <v>0.15</v>
      </c>
    </row>
    <row r="378" spans="1:7">
      <c r="A378" s="2985" t="s">
        <v>2847</v>
      </c>
      <c r="B378" s="2971" t="s">
        <v>2861</v>
      </c>
      <c r="C378" s="2972">
        <v>0.15</v>
      </c>
      <c r="D378" s="2972">
        <v>0.15</v>
      </c>
      <c r="E378" s="2972">
        <v>0.15</v>
      </c>
      <c r="F378" s="2972">
        <v>0.107</v>
      </c>
      <c r="G378" s="2973">
        <v>0.15</v>
      </c>
    </row>
    <row r="379" spans="1:7">
      <c r="A379" s="2986" t="s">
        <v>2847</v>
      </c>
      <c r="B379" s="2975" t="s">
        <v>2867</v>
      </c>
      <c r="C379" s="2976">
        <v>0.15</v>
      </c>
      <c r="D379" s="2976">
        <v>0.15</v>
      </c>
      <c r="E379" s="2976">
        <v>0.15</v>
      </c>
      <c r="F379" s="2976">
        <v>0.115</v>
      </c>
      <c r="G379" s="2977">
        <v>0.14899999999999999</v>
      </c>
    </row>
    <row r="380" spans="1:7">
      <c r="A380" s="2986" t="s">
        <v>2847</v>
      </c>
      <c r="B380" s="2975" t="s">
        <v>2873</v>
      </c>
      <c r="C380" s="2976">
        <v>0.15</v>
      </c>
      <c r="D380" s="2976">
        <v>0.15</v>
      </c>
      <c r="E380" s="2976">
        <v>0.15</v>
      </c>
      <c r="F380" s="2976">
        <v>0.1</v>
      </c>
      <c r="G380" s="2977">
        <v>0.14799999999999999</v>
      </c>
    </row>
    <row r="381" spans="1:7">
      <c r="A381" s="2986" t="s">
        <v>2847</v>
      </c>
      <c r="B381" s="2975" t="s">
        <v>2876</v>
      </c>
      <c r="C381" s="2976">
        <v>0.15</v>
      </c>
      <c r="D381" s="2976">
        <v>0.15</v>
      </c>
      <c r="E381" s="2976">
        <v>0.15</v>
      </c>
      <c r="F381" s="2976">
        <v>0.126</v>
      </c>
      <c r="G381" s="2977">
        <v>0.15</v>
      </c>
    </row>
    <row r="382" spans="1:7">
      <c r="A382" s="2986" t="s">
        <v>2847</v>
      </c>
      <c r="B382" s="2975" t="s">
        <v>2880</v>
      </c>
      <c r="C382" s="2976">
        <v>0.15</v>
      </c>
      <c r="D382" s="2976">
        <v>0.15</v>
      </c>
      <c r="E382" s="2976">
        <v>0.15</v>
      </c>
      <c r="F382" s="2976">
        <v>0.15</v>
      </c>
      <c r="G382" s="2977">
        <v>0.15</v>
      </c>
    </row>
    <row r="383" spans="1:7">
      <c r="A383" s="2986" t="s">
        <v>2847</v>
      </c>
      <c r="B383" s="2975" t="s">
        <v>2885</v>
      </c>
      <c r="C383" s="2976">
        <v>0.15</v>
      </c>
      <c r="D383" s="2976">
        <v>0.15</v>
      </c>
      <c r="E383" s="2976">
        <v>0.15</v>
      </c>
      <c r="F383" s="2976">
        <v>0.14699999999999999</v>
      </c>
      <c r="G383" s="2977">
        <v>0.15</v>
      </c>
    </row>
    <row r="384" spans="1:7" ht="15" thickBot="1">
      <c r="A384" s="2996" t="s">
        <v>2847</v>
      </c>
      <c r="B384" s="2997" t="s">
        <v>2889</v>
      </c>
      <c r="C384" s="2998">
        <v>0.15</v>
      </c>
      <c r="D384" s="2998">
        <v>0.15</v>
      </c>
      <c r="E384" s="2998">
        <v>0.15</v>
      </c>
      <c r="F384" s="2998">
        <v>0.15</v>
      </c>
      <c r="G384" s="2999">
        <v>0.15</v>
      </c>
    </row>
  </sheetData>
  <sheetProtection password="CEE9" sheet="1" objects="1" scenarios="1"/>
  <mergeCells count="1">
    <mergeCell ref="A1:B1"/>
  </mergeCells>
  <phoneticPr fontId="9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1"/>
  </cols>
  <sheetData>
    <row r="1" spans="1:6">
      <c r="A1" s="3491" t="s">
        <v>3228</v>
      </c>
      <c r="B1" s="3491"/>
      <c r="C1" s="3491"/>
      <c r="D1" s="3491"/>
      <c r="E1" s="3491"/>
      <c r="F1" s="3492"/>
    </row>
    <row r="2" spans="1:6">
      <c r="A2" s="3000" t="s">
        <v>3229</v>
      </c>
    </row>
    <row r="3" spans="1:6">
      <c r="A3" s="3000" t="s">
        <v>3230</v>
      </c>
      <c r="F3" s="3001" t="s">
        <v>3231</v>
      </c>
    </row>
    <row r="4" spans="1:6">
      <c r="A4" s="3002" t="s">
        <v>672</v>
      </c>
      <c r="B4" s="3002" t="s">
        <v>673</v>
      </c>
      <c r="C4" s="3002" t="s">
        <v>21</v>
      </c>
      <c r="D4" s="3002" t="s">
        <v>674</v>
      </c>
      <c r="E4" s="3002" t="s">
        <v>3</v>
      </c>
      <c r="F4" s="3002" t="s">
        <v>3232</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5">
        <f>基准地价修正!G23</f>
        <v>45772</v>
      </c>
      <c r="B1" s="2927" t="s">
        <v>3374</v>
      </c>
      <c r="C1" s="2928"/>
      <c r="D1" s="2928"/>
      <c r="E1" s="2928"/>
      <c r="F1" s="2928"/>
      <c r="G1" s="2928"/>
      <c r="H1" s="2928"/>
      <c r="I1" s="2928"/>
      <c r="J1" s="2894"/>
      <c r="K1" s="2928" t="s">
        <v>454</v>
      </c>
      <c r="L1" s="2928"/>
      <c r="M1" s="2928"/>
      <c r="N1" s="2928"/>
      <c r="O1" s="2928"/>
      <c r="P1" s="2928"/>
      <c r="Q1" s="2894"/>
      <c r="R1" s="3493" t="s">
        <v>456</v>
      </c>
      <c r="S1" s="3494"/>
      <c r="T1" s="3494"/>
      <c r="U1" s="3494"/>
      <c r="V1" s="3494"/>
      <c r="W1" s="3494"/>
      <c r="X1" s="2894"/>
      <c r="Y1" s="3493" t="s">
        <v>457</v>
      </c>
      <c r="Z1" s="3494"/>
      <c r="AA1" s="3494"/>
      <c r="AB1" s="3494"/>
      <c r="AC1" s="3494"/>
      <c r="AD1" s="3494"/>
    </row>
    <row r="2" spans="1:44" s="2010" customFormat="1" ht="15" thickBot="1">
      <c r="B2" s="2879"/>
      <c r="C2" s="2880"/>
      <c r="D2" s="2011" t="s">
        <v>2806</v>
      </c>
      <c r="E2" s="2012" t="s">
        <v>2807</v>
      </c>
      <c r="F2" s="2012" t="s">
        <v>2808</v>
      </c>
      <c r="G2" s="2012" t="s">
        <v>2809</v>
      </c>
      <c r="H2" s="2012" t="s">
        <v>2810</v>
      </c>
      <c r="I2" s="2012" t="s">
        <v>2627</v>
      </c>
      <c r="J2" s="2881"/>
      <c r="K2" s="2011" t="s">
        <v>2806</v>
      </c>
      <c r="L2" s="2012" t="s">
        <v>2807</v>
      </c>
      <c r="M2" s="2012" t="s">
        <v>2808</v>
      </c>
      <c r="N2" s="2012" t="s">
        <v>2809</v>
      </c>
      <c r="O2" s="2012" t="s">
        <v>2811</v>
      </c>
      <c r="P2" s="2012" t="s">
        <v>2627</v>
      </c>
      <c r="Q2" s="2881"/>
      <c r="R2" s="2011" t="s">
        <v>2806</v>
      </c>
      <c r="S2" s="2012" t="s">
        <v>2807</v>
      </c>
      <c r="T2" s="2012" t="s">
        <v>2808</v>
      </c>
      <c r="U2" s="2012" t="s">
        <v>2812</v>
      </c>
      <c r="V2" s="2012" t="s">
        <v>2813</v>
      </c>
      <c r="W2" s="2012" t="s">
        <v>2627</v>
      </c>
      <c r="X2" s="2881"/>
      <c r="Y2" s="2011" t="s">
        <v>2806</v>
      </c>
      <c r="Z2" s="2012" t="s">
        <v>2807</v>
      </c>
      <c r="AA2" s="2012" t="s">
        <v>2808</v>
      </c>
      <c r="AB2" s="2012" t="s">
        <v>2814</v>
      </c>
      <c r="AC2" s="2012" t="s">
        <v>2813</v>
      </c>
      <c r="AD2" s="2012" t="s">
        <v>2627</v>
      </c>
      <c r="AF2" t="s">
        <v>3401</v>
      </c>
      <c r="AG2" t="s">
        <v>673</v>
      </c>
      <c r="AH2" t="s">
        <v>21</v>
      </c>
      <c r="AI2" t="s">
        <v>3402</v>
      </c>
      <c r="AJ2" t="s">
        <v>3</v>
      </c>
      <c r="AK2" t="s">
        <v>3403</v>
      </c>
      <c r="AM2" t="s">
        <v>3401</v>
      </c>
      <c r="AN2" t="s">
        <v>673</v>
      </c>
      <c r="AO2" t="s">
        <v>21</v>
      </c>
      <c r="AP2" t="s">
        <v>3402</v>
      </c>
      <c r="AQ2" t="s">
        <v>3</v>
      </c>
      <c r="AR2" t="s">
        <v>3403</v>
      </c>
    </row>
    <row r="3" spans="1:44" s="2884" customFormat="1" ht="13.2">
      <c r="A3" s="2882" t="s">
        <v>2815</v>
      </c>
      <c r="B3" s="2883"/>
      <c r="D3" s="2884">
        <f>ROUND(AVERAGEIF(D4:D24,"&lt;&gt;0"),2)</f>
        <v>0.39</v>
      </c>
      <c r="E3" s="2884">
        <f t="shared" ref="E3:H3" si="0">ROUND(AVERAGEIF(E4:E24,"&lt;&gt;0"),2)</f>
        <v>0.21</v>
      </c>
      <c r="F3" s="2884">
        <f t="shared" si="0"/>
        <v>-0.06</v>
      </c>
      <c r="G3" s="2884">
        <f t="shared" si="0"/>
        <v>0.46</v>
      </c>
      <c r="H3" s="2884">
        <f t="shared" si="0"/>
        <v>0.51</v>
      </c>
      <c r="I3" s="2884">
        <f>F3</f>
        <v>-0.06</v>
      </c>
      <c r="J3" s="2885"/>
      <c r="K3" s="2886">
        <f>ROUND(AVERAGEIF(K4:K24,"&lt;&gt;0"),4)</f>
        <v>3.8999999999999998E-3</v>
      </c>
      <c r="L3" s="2887">
        <f t="shared" ref="L3:O3" si="1">ROUND(AVERAGEIF(L4:L24,"&lt;&gt;0"),4)</f>
        <v>2.0999999999999999E-3</v>
      </c>
      <c r="M3" s="2887">
        <f t="shared" si="1"/>
        <v>-5.9999999999999995E-4</v>
      </c>
      <c r="N3" s="2887">
        <f t="shared" si="1"/>
        <v>4.5999999999999999E-3</v>
      </c>
      <c r="O3" s="2887">
        <f t="shared" si="1"/>
        <v>5.1000000000000004E-3</v>
      </c>
      <c r="P3" s="2887">
        <f>M3</f>
        <v>-5.9999999999999995E-4</v>
      </c>
      <c r="Q3" s="2885"/>
      <c r="R3" s="2888">
        <f>ROUND(SUMPRODUCT(PRODUCT(1+K4:K24)),4)</f>
        <v>1.0674999999999999</v>
      </c>
      <c r="S3" s="2889">
        <f t="shared" ref="S3:V3" si="2">ROUND(SUMPRODUCT(PRODUCT(1+L4:L24)),4)</f>
        <v>1.0355000000000001</v>
      </c>
      <c r="T3" s="2889">
        <f t="shared" si="2"/>
        <v>0.98880000000000001</v>
      </c>
      <c r="U3" s="2889">
        <f t="shared" si="2"/>
        <v>1.0798000000000001</v>
      </c>
      <c r="V3" s="2889">
        <f t="shared" si="2"/>
        <v>1.0911</v>
      </c>
      <c r="W3" s="2888">
        <f>T3</f>
        <v>0.98880000000000001</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9" customFormat="1" ht="13.2">
      <c r="B4" s="2025"/>
      <c r="J4" s="2894"/>
      <c r="K4" s="2895"/>
      <c r="L4" s="2896"/>
      <c r="M4" s="2896"/>
      <c r="N4" s="2896"/>
      <c r="O4" s="2896"/>
      <c r="P4" s="2896"/>
      <c r="Q4" s="2894"/>
      <c r="R4" s="2027"/>
      <c r="S4" s="2897"/>
      <c r="T4" s="2898"/>
      <c r="U4" s="2027"/>
      <c r="V4" s="2899"/>
      <c r="W4" s="2027"/>
      <c r="X4" s="2894"/>
      <c r="Y4" s="2028"/>
      <c r="Z4" s="2900"/>
      <c r="AA4" s="2901"/>
      <c r="AB4" s="2028"/>
      <c r="AC4" s="2902"/>
      <c r="AD4" s="2028"/>
    </row>
    <row r="5" spans="1:44" s="2045" customFormat="1">
      <c r="A5" s="2040" t="s">
        <v>3400</v>
      </c>
      <c r="B5" s="2031">
        <v>2025</v>
      </c>
      <c r="C5" s="2042">
        <v>4</v>
      </c>
      <c r="D5" s="2007">
        <v>0</v>
      </c>
      <c r="E5" s="2007">
        <v>0</v>
      </c>
      <c r="F5" s="2007">
        <v>0</v>
      </c>
      <c r="G5" s="2007">
        <v>0</v>
      </c>
      <c r="H5" s="2007">
        <v>0</v>
      </c>
      <c r="I5" s="2008">
        <f t="shared" ref="I5" si="4">F5</f>
        <v>0</v>
      </c>
      <c r="J5" s="2904"/>
      <c r="K5" s="2043">
        <f t="shared" ref="K5" si="5">D5/100</f>
        <v>0</v>
      </c>
      <c r="L5" s="2028">
        <f t="shared" ref="L5" si="6">E5/100</f>
        <v>0</v>
      </c>
      <c r="M5" s="2028">
        <f t="shared" ref="M5" si="7">F5/100</f>
        <v>0</v>
      </c>
      <c r="N5" s="2028">
        <f t="shared" ref="N5" si="8">G5/100</f>
        <v>0</v>
      </c>
      <c r="O5" s="2028">
        <f t="shared" ref="O5" si="9">H5/100</f>
        <v>0</v>
      </c>
      <c r="P5" s="2028">
        <f t="shared" ref="P5:P11" si="10">M5</f>
        <v>0</v>
      </c>
      <c r="Q5" s="2904"/>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4"/>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1">
        <f>$AF$24*R5</f>
        <v>105.72</v>
      </c>
      <c r="AG5" s="3151">
        <f t="shared" ref="AG5:AK5" si="18">$AF$24*S5</f>
        <v>103.39</v>
      </c>
      <c r="AH5" s="3151">
        <f t="shared" si="18"/>
        <v>99.13</v>
      </c>
      <c r="AI5" s="3151">
        <f t="shared" si="18"/>
        <v>106.79</v>
      </c>
      <c r="AJ5" s="3151">
        <f t="shared" si="18"/>
        <v>108.72</v>
      </c>
      <c r="AK5" s="3151">
        <f t="shared" si="18"/>
        <v>99.13</v>
      </c>
      <c r="AM5" s="3157">
        <v>100</v>
      </c>
      <c r="AN5" s="3157">
        <v>100</v>
      </c>
      <c r="AO5" s="3157">
        <v>100</v>
      </c>
      <c r="AP5" s="3157">
        <v>100</v>
      </c>
      <c r="AQ5" s="3157">
        <v>100</v>
      </c>
      <c r="AR5" s="3157">
        <v>100</v>
      </c>
    </row>
    <row r="6" spans="1:44" s="2045" customFormat="1" ht="13.2">
      <c r="A6" s="2040" t="s">
        <v>3399</v>
      </c>
      <c r="B6" s="2031">
        <v>2025</v>
      </c>
      <c r="C6" s="2042">
        <v>3</v>
      </c>
      <c r="D6" s="2007">
        <v>0</v>
      </c>
      <c r="E6" s="2007">
        <v>0</v>
      </c>
      <c r="F6" s="2007">
        <v>0</v>
      </c>
      <c r="G6" s="2007">
        <v>0</v>
      </c>
      <c r="H6" s="2007">
        <v>0</v>
      </c>
      <c r="I6" s="2008">
        <f t="shared" ref="I6" si="19">F6</f>
        <v>0</v>
      </c>
      <c r="J6" s="2904"/>
      <c r="K6" s="2043">
        <f t="shared" ref="K6" si="20">D6/100</f>
        <v>0</v>
      </c>
      <c r="L6" s="2028">
        <f t="shared" ref="L6" si="21">E6/100</f>
        <v>0</v>
      </c>
      <c r="M6" s="2028">
        <f t="shared" ref="M6" si="22">F6/100</f>
        <v>0</v>
      </c>
      <c r="N6" s="2028">
        <f t="shared" ref="N6" si="23">G6/100</f>
        <v>0</v>
      </c>
      <c r="O6" s="2028">
        <f t="shared" ref="O6" si="24">H6/100</f>
        <v>0</v>
      </c>
      <c r="P6" s="2028">
        <f t="shared" si="10"/>
        <v>0</v>
      </c>
      <c r="Q6" s="2904"/>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4"/>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1">
        <f t="shared" ref="AF6:AF23" si="30">$AF$24*R6</f>
        <v>105.72</v>
      </c>
      <c r="AG6" s="3151">
        <f t="shared" ref="AG6:AG23" si="31">$AF$24*S6</f>
        <v>103.39</v>
      </c>
      <c r="AH6" s="3151">
        <f t="shared" ref="AH6:AH23" si="32">$AF$24*T6</f>
        <v>99.13</v>
      </c>
      <c r="AI6" s="3151">
        <f t="shared" ref="AI6:AI23" si="33">$AF$24*U6</f>
        <v>106.79</v>
      </c>
      <c r="AJ6" s="3151">
        <f t="shared" ref="AJ6:AJ23" si="34">$AF$24*V6</f>
        <v>108.72</v>
      </c>
      <c r="AK6" s="3151">
        <f t="shared" ref="AK6:AK23" si="35">$AF$24*W6</f>
        <v>99.13</v>
      </c>
      <c r="AM6" s="3151">
        <f>AM5/(1+D5/100)</f>
        <v>100</v>
      </c>
      <c r="AN6" s="3151">
        <f t="shared" ref="AN6:AR6" si="36">AN5/(1+E5/100)</f>
        <v>100</v>
      </c>
      <c r="AO6" s="3151">
        <f t="shared" si="36"/>
        <v>100</v>
      </c>
      <c r="AP6" s="3151">
        <f t="shared" si="36"/>
        <v>100</v>
      </c>
      <c r="AQ6" s="3151">
        <f t="shared" si="36"/>
        <v>100</v>
      </c>
      <c r="AR6" s="3151">
        <f t="shared" si="36"/>
        <v>100</v>
      </c>
    </row>
    <row r="7" spans="1:44" s="2914" customFormat="1" ht="13.2">
      <c r="A7" s="2905" t="s">
        <v>3398</v>
      </c>
      <c r="B7" s="2906">
        <v>2025</v>
      </c>
      <c r="C7" s="2907">
        <v>2</v>
      </c>
      <c r="D7" s="2908">
        <v>0</v>
      </c>
      <c r="E7" s="2908">
        <v>0</v>
      </c>
      <c r="F7" s="2908">
        <v>0</v>
      </c>
      <c r="G7" s="2908">
        <v>0</v>
      </c>
      <c r="H7" s="2909">
        <v>0</v>
      </c>
      <c r="I7" s="2910">
        <f t="shared" ref="I7" si="37">F7</f>
        <v>0</v>
      </c>
      <c r="J7" s="2911"/>
      <c r="K7" s="2912">
        <f t="shared" ref="K7" si="38">D7/100</f>
        <v>0</v>
      </c>
      <c r="L7" s="2913">
        <f t="shared" ref="L7" si="39">E7/100</f>
        <v>0</v>
      </c>
      <c r="M7" s="2913">
        <f t="shared" ref="M7" si="40">F7/100</f>
        <v>0</v>
      </c>
      <c r="N7" s="2913">
        <f t="shared" ref="N7" si="41">G7/100</f>
        <v>0</v>
      </c>
      <c r="O7" s="2913">
        <f t="shared" ref="O7" si="42">H7/100</f>
        <v>0</v>
      </c>
      <c r="P7" s="2913">
        <f t="shared" si="10"/>
        <v>0</v>
      </c>
      <c r="Q7" s="2911"/>
      <c r="R7" s="2911">
        <f>ROUND(IF(项目基本情况!$B$8="出让",SUMPRODUCT(PRODUCT(1+K7:$K$24)),SUMPRODUCT(PRODUCT(1+K7:$K$23))),4)</f>
        <v>1.0571999999999999</v>
      </c>
      <c r="S7" s="2911">
        <f>ROUND(IF(项目基本情况!$B$8="出让",SUMPRODUCT(PRODUCT(1+L7:$L$24)),SUMPRODUCT(PRODUCT(1+L7:$L$23))),4)</f>
        <v>1.0339</v>
      </c>
      <c r="T7" s="2911">
        <f>ROUND(IF(项目基本情况!$B$8="出让",SUMPRODUCT(PRODUCT(1+M7:$M$24)),SUMPRODUCT(PRODUCT(1+M7:$M$23))),4)</f>
        <v>0.99129999999999996</v>
      </c>
      <c r="U7" s="2911">
        <f>ROUND(IF(项目基本情况!$B$8="出让",SUMPRODUCT(PRODUCT(1+N7:$N$24)),SUMPRODUCT(PRODUCT(1+N7:$N$23))),4)</f>
        <v>1.0679000000000001</v>
      </c>
      <c r="V7" s="2911">
        <f>ROUND(IF(项目基本情况!$B$8="出让",SUMPRODUCT(PRODUCT(1+O7:$O$24)),SUMPRODUCT(PRODUCT(1+O7:$O$23))),4)</f>
        <v>1.0871999999999999</v>
      </c>
      <c r="W7" s="2911">
        <f t="shared" si="11"/>
        <v>0.99129999999999996</v>
      </c>
      <c r="X7" s="2911"/>
      <c r="Y7" s="2913">
        <f t="shared" si="12"/>
        <v>0</v>
      </c>
      <c r="Z7" s="2913">
        <f t="shared" ref="Z7" si="43">IF(E7=0,0,ROUND(AVERAGE(E7:E20)/100,4))</f>
        <v>0</v>
      </c>
      <c r="AA7" s="2913">
        <f t="shared" ref="AA7" si="44">IF(F7=0,0,ROUND(AVERAGE(F7:F20)/100,4))</f>
        <v>0</v>
      </c>
      <c r="AB7" s="2913">
        <f t="shared" ref="AB7" si="45">IF(G7=0,0,ROUND(AVERAGE(G7:G20)/100,4))</f>
        <v>0</v>
      </c>
      <c r="AC7" s="2913">
        <f t="shared" ref="AC7" si="46">IF(H7=0,0,ROUND(AVERAGE(H7:H20)/100,4))</f>
        <v>0</v>
      </c>
      <c r="AD7" s="2913">
        <f t="shared" ref="AD7" si="47">AA7</f>
        <v>0</v>
      </c>
      <c r="AF7" s="3152">
        <f t="shared" si="30"/>
        <v>105.72</v>
      </c>
      <c r="AG7" s="3152">
        <f t="shared" si="31"/>
        <v>103.39</v>
      </c>
      <c r="AH7" s="3152">
        <f t="shared" si="32"/>
        <v>99.13</v>
      </c>
      <c r="AI7" s="3152">
        <f t="shared" si="33"/>
        <v>106.79</v>
      </c>
      <c r="AJ7" s="3152">
        <f t="shared" si="34"/>
        <v>108.72</v>
      </c>
      <c r="AK7" s="3152">
        <f t="shared" si="35"/>
        <v>99.13</v>
      </c>
      <c r="AM7" s="3152">
        <f t="shared" ref="AM7:AM24" si="48">AM6/(1+D6/100)</f>
        <v>100</v>
      </c>
      <c r="AN7" s="3152">
        <f t="shared" ref="AN7:AN24" si="49">AN6/(1+E6/100)</f>
        <v>100</v>
      </c>
      <c r="AO7" s="3152">
        <f t="shared" ref="AO7:AO24" si="50">AO6/(1+F6/100)</f>
        <v>100</v>
      </c>
      <c r="AP7" s="3152">
        <f t="shared" ref="AP7:AP24" si="51">AP6/(1+G6/100)</f>
        <v>100</v>
      </c>
      <c r="AQ7" s="3152">
        <f t="shared" ref="AQ7:AQ24" si="52">AQ6/(1+H6/100)</f>
        <v>100</v>
      </c>
      <c r="AR7" s="3152">
        <f t="shared" ref="AR7:AR24" si="53">AR6/(1+I6/100)</f>
        <v>100</v>
      </c>
    </row>
    <row r="8" spans="1:44" s="2045" customFormat="1" ht="13.2">
      <c r="A8" s="2040" t="s">
        <v>3406</v>
      </c>
      <c r="B8" s="2031">
        <v>2025</v>
      </c>
      <c r="C8" s="2042">
        <v>1</v>
      </c>
      <c r="D8" s="2007">
        <v>0.56999999999999995</v>
      </c>
      <c r="E8" s="2007">
        <v>-0.56999999999999995</v>
      </c>
      <c r="F8" s="2007">
        <v>-0.9</v>
      </c>
      <c r="G8" s="2007">
        <v>1.1200000000000001</v>
      </c>
      <c r="H8" s="2007">
        <v>0.42</v>
      </c>
      <c r="I8" s="2008">
        <f t="shared" ref="I8" si="54">F8</f>
        <v>-0.9</v>
      </c>
      <c r="J8" s="2904"/>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4"/>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4"/>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100</v>
      </c>
      <c r="AN8" s="3151">
        <f t="shared" si="49"/>
        <v>100</v>
      </c>
      <c r="AO8" s="3151">
        <f t="shared" si="50"/>
        <v>100</v>
      </c>
      <c r="AP8" s="3151">
        <f t="shared" si="51"/>
        <v>100</v>
      </c>
      <c r="AQ8" s="3151">
        <f t="shared" si="52"/>
        <v>100</v>
      </c>
      <c r="AR8" s="3151">
        <f t="shared" si="53"/>
        <v>100</v>
      </c>
    </row>
    <row r="9" spans="1:44" s="2045" customFormat="1" ht="13.2">
      <c r="A9" s="2040" t="s">
        <v>3405</v>
      </c>
      <c r="B9" s="2031">
        <v>2024</v>
      </c>
      <c r="C9" s="2042">
        <v>4</v>
      </c>
      <c r="D9" s="2007">
        <v>-1.02</v>
      </c>
      <c r="E9" s="2007">
        <v>-0.48</v>
      </c>
      <c r="F9" s="2007">
        <v>-0.75</v>
      </c>
      <c r="G9" s="2007">
        <v>-1.05</v>
      </c>
      <c r="H9" s="2007">
        <v>0.08</v>
      </c>
      <c r="I9" s="2008">
        <f t="shared" ref="I9" si="65">F9</f>
        <v>-0.75</v>
      </c>
      <c r="J9" s="2904"/>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4"/>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4"/>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99.433230585661718</v>
      </c>
      <c r="AN9" s="3151">
        <f t="shared" si="49"/>
        <v>100.57326762546515</v>
      </c>
      <c r="AO9" s="3151">
        <f t="shared" si="50"/>
        <v>100.90817356205852</v>
      </c>
      <c r="AP9" s="3151">
        <f t="shared" si="51"/>
        <v>98.892405063291136</v>
      </c>
      <c r="AQ9" s="3151">
        <f t="shared" si="52"/>
        <v>99.581756622186816</v>
      </c>
      <c r="AR9" s="3151">
        <f t="shared" si="53"/>
        <v>100.90817356205852</v>
      </c>
    </row>
    <row r="10" spans="1:44" s="2045" customFormat="1" ht="13.2">
      <c r="A10" s="2040" t="s">
        <v>3378</v>
      </c>
      <c r="B10" s="2031">
        <v>2024</v>
      </c>
      <c r="C10" s="2042">
        <v>3</v>
      </c>
      <c r="D10" s="2007">
        <v>-1.19</v>
      </c>
      <c r="E10" s="2007">
        <v>-0.47</v>
      </c>
      <c r="F10" s="2007">
        <v>-0.28999999999999998</v>
      </c>
      <c r="G10" s="2007">
        <v>-0.74</v>
      </c>
      <c r="H10" s="2007">
        <v>-0.21</v>
      </c>
      <c r="I10" s="2008">
        <f t="shared" ref="I10" si="76">F10</f>
        <v>-0.28999999999999998</v>
      </c>
      <c r="J10" s="2904"/>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4"/>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4"/>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100.45790117767399</v>
      </c>
      <c r="AN10" s="3151">
        <f t="shared" si="49"/>
        <v>101.05834769439826</v>
      </c>
      <c r="AO10" s="3151">
        <f t="shared" si="50"/>
        <v>101.670703840865</v>
      </c>
      <c r="AP10" s="3151">
        <f t="shared" si="51"/>
        <v>99.941793899233076</v>
      </c>
      <c r="AQ10" s="3151">
        <f t="shared" si="52"/>
        <v>99.502154898268216</v>
      </c>
      <c r="AR10" s="3151">
        <f t="shared" si="53"/>
        <v>101.670703840865</v>
      </c>
    </row>
    <row r="11" spans="1:44" s="2045" customFormat="1" ht="13.2">
      <c r="A11" s="2903" t="s">
        <v>3372</v>
      </c>
      <c r="B11" s="2031">
        <v>2024</v>
      </c>
      <c r="C11" s="2042">
        <v>2</v>
      </c>
      <c r="D11" s="2007">
        <v>-0.59</v>
      </c>
      <c r="E11" s="2007">
        <v>-0.21</v>
      </c>
      <c r="F11" s="2007">
        <v>-1.38</v>
      </c>
      <c r="G11" s="2007">
        <v>-1.24</v>
      </c>
      <c r="H11" s="2915">
        <v>0.34</v>
      </c>
      <c r="I11" s="2008">
        <f t="shared" ref="I11:I24" si="87">F11</f>
        <v>-1.38</v>
      </c>
      <c r="J11" s="2904"/>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4"/>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4"/>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101.66774737139357</v>
      </c>
      <c r="AN11" s="3151">
        <f t="shared" si="49"/>
        <v>101.53556484918946</v>
      </c>
      <c r="AO11" s="3151">
        <f t="shared" si="50"/>
        <v>101.9664064194815</v>
      </c>
      <c r="AP11" s="3151">
        <f t="shared" si="51"/>
        <v>100.68687678746028</v>
      </c>
      <c r="AQ11" s="3151">
        <f t="shared" si="52"/>
        <v>99.711549151486338</v>
      </c>
      <c r="AR11" s="3151">
        <f t="shared" si="53"/>
        <v>101.9664064194815</v>
      </c>
    </row>
    <row r="12" spans="1:44" s="2045" customFormat="1" ht="13.2">
      <c r="A12" s="2903" t="s">
        <v>3371</v>
      </c>
      <c r="B12" s="2031">
        <v>2024</v>
      </c>
      <c r="C12" s="2042">
        <v>1</v>
      </c>
      <c r="D12" s="2007">
        <v>0.08</v>
      </c>
      <c r="E12" s="2007">
        <v>0.46</v>
      </c>
      <c r="F12" s="2007">
        <v>-0.16</v>
      </c>
      <c r="G12" s="2007">
        <v>0.26</v>
      </c>
      <c r="H12" s="2915">
        <v>0.59</v>
      </c>
      <c r="I12" s="2008">
        <f t="shared" si="87"/>
        <v>-0.16</v>
      </c>
      <c r="J12" s="2904"/>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4"/>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4"/>
      <c r="Y12" s="2028"/>
      <c r="Z12" s="2028"/>
      <c r="AA12" s="2028"/>
      <c r="AB12" s="2028"/>
      <c r="AC12" s="2028"/>
      <c r="AD12" s="2028"/>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102.27114713951673</v>
      </c>
      <c r="AN12" s="3151">
        <f t="shared" si="49"/>
        <v>101.74923824951344</v>
      </c>
      <c r="AO12" s="3151">
        <f t="shared" si="50"/>
        <v>103.3932330353696</v>
      </c>
      <c r="AP12" s="3151">
        <f t="shared" si="51"/>
        <v>101.95107005615662</v>
      </c>
      <c r="AQ12" s="3151">
        <f t="shared" si="52"/>
        <v>99.373678644096401</v>
      </c>
      <c r="AR12" s="3151">
        <f t="shared" si="53"/>
        <v>103.3932330353696</v>
      </c>
    </row>
    <row r="13" spans="1:44" s="2045" customFormat="1" ht="13.2">
      <c r="A13" s="2903" t="s">
        <v>3367</v>
      </c>
      <c r="B13" s="2031">
        <v>2023</v>
      </c>
      <c r="C13" s="2042">
        <v>4</v>
      </c>
      <c r="D13" s="2007">
        <v>0.19</v>
      </c>
      <c r="E13" s="2007">
        <v>0.24</v>
      </c>
      <c r="F13" s="2007">
        <v>-0.16</v>
      </c>
      <c r="G13" s="2007">
        <v>0.17</v>
      </c>
      <c r="H13" s="2915">
        <v>0.61</v>
      </c>
      <c r="I13" s="2008">
        <f>F13</f>
        <v>-0.16</v>
      </c>
      <c r="J13" s="2904"/>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4"/>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4"/>
      <c r="Y13" s="2028"/>
      <c r="Z13" s="2028"/>
      <c r="AA13" s="2028"/>
      <c r="AB13" s="2028"/>
      <c r="AC13" s="2028"/>
      <c r="AD13" s="2028"/>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102.18939562301833</v>
      </c>
      <c r="AN13" s="3151">
        <f t="shared" si="49"/>
        <v>101.28333490893236</v>
      </c>
      <c r="AO13" s="3151">
        <f t="shared" si="50"/>
        <v>103.55892731908014</v>
      </c>
      <c r="AP13" s="3151">
        <f t="shared" si="51"/>
        <v>101.68668467599903</v>
      </c>
      <c r="AQ13" s="3151">
        <f t="shared" si="52"/>
        <v>98.79081284829148</v>
      </c>
      <c r="AR13" s="3151">
        <f t="shared" si="53"/>
        <v>103.55892731908014</v>
      </c>
    </row>
    <row r="14" spans="1:44" s="2045" customFormat="1" ht="13.2">
      <c r="A14" s="2903" t="s">
        <v>3366</v>
      </c>
      <c r="B14" s="2031">
        <v>2023</v>
      </c>
      <c r="C14" s="2042">
        <v>3</v>
      </c>
      <c r="D14" s="2007">
        <v>0.25</v>
      </c>
      <c r="E14" s="2007">
        <v>0.5</v>
      </c>
      <c r="F14" s="2007">
        <v>0.31</v>
      </c>
      <c r="G14" s="2007">
        <v>0.21</v>
      </c>
      <c r="H14" s="2915">
        <v>0.43</v>
      </c>
      <c r="I14" s="2008">
        <f t="shared" si="87"/>
        <v>0.31</v>
      </c>
      <c r="J14" s="2904"/>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4"/>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4"/>
      <c r="Y14" s="2028"/>
      <c r="Z14" s="2028"/>
      <c r="AA14" s="2028"/>
      <c r="AB14" s="2028"/>
      <c r="AC14" s="2028"/>
      <c r="AD14" s="2028"/>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101.99560397546495</v>
      </c>
      <c r="AN14" s="3151">
        <f t="shared" si="49"/>
        <v>101.04083690037147</v>
      </c>
      <c r="AO14" s="3151">
        <f t="shared" si="50"/>
        <v>103.72488713850174</v>
      </c>
      <c r="AP14" s="3151">
        <f t="shared" si="51"/>
        <v>101.51411068782971</v>
      </c>
      <c r="AQ14" s="3151">
        <f t="shared" si="52"/>
        <v>98.191842608380355</v>
      </c>
      <c r="AR14" s="3151">
        <f t="shared" si="53"/>
        <v>103.72488713850174</v>
      </c>
    </row>
    <row r="15" spans="1:44" s="2045" customFormat="1" ht="13.2">
      <c r="A15" s="2903" t="s">
        <v>3364</v>
      </c>
      <c r="B15" s="2031">
        <v>2023</v>
      </c>
      <c r="C15" s="2042">
        <v>2</v>
      </c>
      <c r="D15" s="2007">
        <v>0.91</v>
      </c>
      <c r="E15" s="2007">
        <v>0.66</v>
      </c>
      <c r="F15" s="2007">
        <v>0.47</v>
      </c>
      <c r="G15" s="2007">
        <v>0.96</v>
      </c>
      <c r="H15" s="2915">
        <v>0.71</v>
      </c>
      <c r="I15" s="2008">
        <f t="shared" si="87"/>
        <v>0.47</v>
      </c>
      <c r="J15" s="2904"/>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4"/>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4"/>
      <c r="Y15" s="2028"/>
      <c r="Z15" s="2028"/>
      <c r="AA15" s="2028"/>
      <c r="AB15" s="2028"/>
      <c r="AC15" s="2028"/>
      <c r="AD15" s="2028"/>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101.74125084834409</v>
      </c>
      <c r="AN15" s="3151">
        <f t="shared" si="49"/>
        <v>100.53814616952387</v>
      </c>
      <c r="AO15" s="3151">
        <f t="shared" si="50"/>
        <v>103.40433370401927</v>
      </c>
      <c r="AP15" s="3151">
        <f t="shared" si="51"/>
        <v>101.30137779446135</v>
      </c>
      <c r="AQ15" s="3151">
        <f t="shared" si="52"/>
        <v>97.771425478821428</v>
      </c>
      <c r="AR15" s="3151">
        <f t="shared" si="53"/>
        <v>103.40433370401927</v>
      </c>
    </row>
    <row r="16" spans="1:44" s="2045" customFormat="1" ht="13.2">
      <c r="A16" s="2903" t="s">
        <v>3363</v>
      </c>
      <c r="B16" s="2031">
        <v>2023</v>
      </c>
      <c r="C16" s="2042">
        <v>1</v>
      </c>
      <c r="D16" s="2007">
        <v>0.89</v>
      </c>
      <c r="E16" s="2007">
        <v>0.74</v>
      </c>
      <c r="F16" s="2007">
        <v>0.56999999999999995</v>
      </c>
      <c r="G16" s="2007">
        <v>0.92</v>
      </c>
      <c r="H16" s="2915">
        <v>0.5</v>
      </c>
      <c r="I16" s="2008">
        <f t="shared" si="87"/>
        <v>0.56999999999999995</v>
      </c>
      <c r="J16" s="2904"/>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4"/>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4"/>
      <c r="Y16" s="2028"/>
      <c r="Z16" s="2028"/>
      <c r="AA16" s="2028"/>
      <c r="AB16" s="2028"/>
      <c r="AC16" s="2028"/>
      <c r="AD16" s="2028"/>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100.82375468074926</v>
      </c>
      <c r="AN16" s="3151">
        <f t="shared" si="49"/>
        <v>99.878945131654959</v>
      </c>
      <c r="AO16" s="3151">
        <f t="shared" si="50"/>
        <v>102.92060685181573</v>
      </c>
      <c r="AP16" s="3151">
        <f t="shared" si="51"/>
        <v>100.33813172985474</v>
      </c>
      <c r="AQ16" s="3151">
        <f t="shared" si="52"/>
        <v>97.082142268713554</v>
      </c>
      <c r="AR16" s="3151">
        <f t="shared" si="53"/>
        <v>102.92060685181573</v>
      </c>
    </row>
    <row r="17" spans="1:44" s="2045" customFormat="1" ht="13.2">
      <c r="A17" s="2903" t="s">
        <v>3362</v>
      </c>
      <c r="B17" s="2031">
        <v>2022</v>
      </c>
      <c r="C17" s="2042">
        <v>4</v>
      </c>
      <c r="D17" s="2007">
        <v>0.62</v>
      </c>
      <c r="E17" s="2007">
        <v>0.2</v>
      </c>
      <c r="F17" s="2007">
        <v>0.11</v>
      </c>
      <c r="G17" s="2007">
        <v>0.69</v>
      </c>
      <c r="H17" s="2915">
        <v>0.53</v>
      </c>
      <c r="I17" s="2008">
        <f t="shared" si="87"/>
        <v>0.11</v>
      </c>
      <c r="J17" s="2904"/>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4"/>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4"/>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99.934339063087791</v>
      </c>
      <c r="AN17" s="3151">
        <f t="shared" si="49"/>
        <v>99.145270132673176</v>
      </c>
      <c r="AO17" s="3151">
        <f t="shared" si="50"/>
        <v>102.3372843311283</v>
      </c>
      <c r="AP17" s="3151">
        <f t="shared" si="51"/>
        <v>99.423436117573061</v>
      </c>
      <c r="AQ17" s="3151">
        <f t="shared" si="52"/>
        <v>96.599146536033402</v>
      </c>
      <c r="AR17" s="3151">
        <f t="shared" si="53"/>
        <v>102.3372843311283</v>
      </c>
    </row>
    <row r="18" spans="1:44" s="2045" customFormat="1" ht="13.2">
      <c r="A18" s="2903" t="s">
        <v>3360</v>
      </c>
      <c r="B18" s="2031">
        <v>2022</v>
      </c>
      <c r="C18" s="2042">
        <v>3</v>
      </c>
      <c r="D18" s="2007">
        <v>0.66</v>
      </c>
      <c r="E18" s="2007">
        <v>0.32</v>
      </c>
      <c r="F18" s="2007">
        <v>0.23</v>
      </c>
      <c r="G18" s="2007">
        <v>0.72</v>
      </c>
      <c r="H18" s="2915">
        <v>0.63</v>
      </c>
      <c r="I18" s="2008">
        <f t="shared" si="87"/>
        <v>0.23</v>
      </c>
      <c r="J18" s="2904"/>
      <c r="K18" s="2043">
        <f t="shared" si="88"/>
        <v>6.6E-3</v>
      </c>
      <c r="L18" s="2028">
        <f t="shared" si="88"/>
        <v>3.2000000000000002E-3</v>
      </c>
      <c r="M18" s="2028">
        <f t="shared" si="88"/>
        <v>2.3E-3</v>
      </c>
      <c r="N18" s="2028">
        <f t="shared" si="88"/>
        <v>7.1999999999999998E-3</v>
      </c>
      <c r="O18" s="2028">
        <f t="shared" si="88"/>
        <v>6.3E-3</v>
      </c>
      <c r="P18" s="2028">
        <f t="shared" si="108"/>
        <v>2.3E-3</v>
      </c>
      <c r="Q18" s="2904"/>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4"/>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99.318563966495518</v>
      </c>
      <c r="AN18" s="3151">
        <f t="shared" si="49"/>
        <v>98.947375381909353</v>
      </c>
      <c r="AO18" s="3151">
        <f t="shared" si="50"/>
        <v>102.22483701041683</v>
      </c>
      <c r="AP18" s="3151">
        <f t="shared" si="51"/>
        <v>98.742115520481747</v>
      </c>
      <c r="AQ18" s="3151">
        <f t="shared" si="52"/>
        <v>96.089870223847001</v>
      </c>
      <c r="AR18" s="3151">
        <f t="shared" si="53"/>
        <v>102.22483701041683</v>
      </c>
    </row>
    <row r="19" spans="1:44" s="2045" customFormat="1" ht="13.2">
      <c r="A19" s="2903" t="s">
        <v>3351</v>
      </c>
      <c r="B19" s="2031">
        <v>2022</v>
      </c>
      <c r="C19" s="2042">
        <v>2</v>
      </c>
      <c r="D19" s="2007">
        <v>0.93</v>
      </c>
      <c r="E19" s="2007">
        <v>0.15</v>
      </c>
      <c r="F19" s="2007">
        <v>0.01</v>
      </c>
      <c r="G19" s="2007">
        <v>1.05</v>
      </c>
      <c r="H19" s="2915">
        <v>1.08</v>
      </c>
      <c r="I19" s="2008">
        <f t="shared" si="87"/>
        <v>0.01</v>
      </c>
      <c r="J19" s="2904"/>
      <c r="K19" s="2043">
        <f t="shared" si="88"/>
        <v>9.300000000000001E-3</v>
      </c>
      <c r="L19" s="2028">
        <f t="shared" si="88"/>
        <v>1.5E-3</v>
      </c>
      <c r="M19" s="2028">
        <f t="shared" si="88"/>
        <v>1E-4</v>
      </c>
      <c r="N19" s="2028">
        <f t="shared" si="88"/>
        <v>1.0500000000000001E-2</v>
      </c>
      <c r="O19" s="2028">
        <f t="shared" si="88"/>
        <v>1.0800000000000001E-2</v>
      </c>
      <c r="P19" s="2028">
        <f t="shared" si="108"/>
        <v>1E-4</v>
      </c>
      <c r="Q19" s="2904"/>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4"/>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98.667359394491882</v>
      </c>
      <c r="AN19" s="3151">
        <f t="shared" si="49"/>
        <v>98.631753769845844</v>
      </c>
      <c r="AO19" s="3151">
        <f t="shared" si="50"/>
        <v>101.99025941376517</v>
      </c>
      <c r="AP19" s="3151">
        <f t="shared" si="51"/>
        <v>98.036254488166932</v>
      </c>
      <c r="AQ19" s="3151">
        <f t="shared" si="52"/>
        <v>95.488293971824504</v>
      </c>
      <c r="AR19" s="3151">
        <f t="shared" si="53"/>
        <v>101.99025941376517</v>
      </c>
    </row>
    <row r="20" spans="1:44" s="2045" customFormat="1" ht="13.2">
      <c r="A20" s="2903" t="s">
        <v>2816</v>
      </c>
      <c r="B20" s="2031">
        <v>2022</v>
      </c>
      <c r="C20" s="2042">
        <v>1</v>
      </c>
      <c r="D20" s="2007">
        <v>0.89</v>
      </c>
      <c r="E20" s="2007">
        <v>0.44</v>
      </c>
      <c r="F20" s="2007">
        <v>0.37</v>
      </c>
      <c r="G20" s="2007">
        <v>0.96</v>
      </c>
      <c r="H20" s="2915">
        <v>0.64</v>
      </c>
      <c r="I20" s="2008">
        <f t="shared" si="87"/>
        <v>0.37</v>
      </c>
      <c r="J20" s="2904"/>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4"/>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4"/>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97.758208059538163</v>
      </c>
      <c r="AN20" s="3151">
        <f t="shared" si="49"/>
        <v>98.484027728253452</v>
      </c>
      <c r="AO20" s="3151">
        <f t="shared" si="50"/>
        <v>101.98006140762442</v>
      </c>
      <c r="AP20" s="3151">
        <f t="shared" si="51"/>
        <v>97.017570003134026</v>
      </c>
      <c r="AQ20" s="3151">
        <f t="shared" si="52"/>
        <v>94.468039149015155</v>
      </c>
      <c r="AR20" s="3151">
        <f t="shared" si="53"/>
        <v>101.98006140762442</v>
      </c>
    </row>
    <row r="21" spans="1:44" s="2045" customFormat="1" ht="13.2">
      <c r="A21" s="2903" t="s">
        <v>2817</v>
      </c>
      <c r="B21" s="2031">
        <v>2021</v>
      </c>
      <c r="C21" s="2042">
        <v>4</v>
      </c>
      <c r="D21" s="2007">
        <v>1.03</v>
      </c>
      <c r="E21" s="2007">
        <v>0.24</v>
      </c>
      <c r="F21" s="2007">
        <v>7.0000000000000007E-2</v>
      </c>
      <c r="G21" s="2007">
        <v>1.17</v>
      </c>
      <c r="H21" s="2915">
        <v>0.55000000000000004</v>
      </c>
      <c r="I21" s="2008">
        <f t="shared" si="87"/>
        <v>7.0000000000000007E-2</v>
      </c>
      <c r="J21" s="2904"/>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4"/>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4"/>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96.895835126908679</v>
      </c>
      <c r="AN21" s="3151">
        <f t="shared" si="49"/>
        <v>98.0525963045136</v>
      </c>
      <c r="AO21" s="3151">
        <f t="shared" si="50"/>
        <v>101.60412614090308</v>
      </c>
      <c r="AP21" s="3151">
        <f t="shared" si="51"/>
        <v>96.095057451598677</v>
      </c>
      <c r="AQ21" s="3151">
        <f t="shared" si="52"/>
        <v>93.867288502598527</v>
      </c>
      <c r="AR21" s="3151">
        <f t="shared" si="53"/>
        <v>101.60412614090308</v>
      </c>
    </row>
    <row r="22" spans="1:44" s="2045" customFormat="1" ht="13.2">
      <c r="A22" s="2903" t="s">
        <v>2818</v>
      </c>
      <c r="B22" s="2031">
        <v>2021</v>
      </c>
      <c r="C22" s="2042">
        <v>3</v>
      </c>
      <c r="D22" s="2007">
        <v>0.47</v>
      </c>
      <c r="E22" s="2007">
        <v>0.41</v>
      </c>
      <c r="F22" s="2007">
        <v>0.24</v>
      </c>
      <c r="G22" s="2007">
        <v>0.48</v>
      </c>
      <c r="H22" s="2915">
        <v>0.48</v>
      </c>
      <c r="I22" s="2008">
        <f t="shared" si="87"/>
        <v>0.24</v>
      </c>
      <c r="J22" s="2904"/>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4"/>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4"/>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95.907982903007706</v>
      </c>
      <c r="AN22" s="3151">
        <f t="shared" si="49"/>
        <v>97.81783350410376</v>
      </c>
      <c r="AO22" s="3151">
        <f t="shared" si="50"/>
        <v>101.53305300380042</v>
      </c>
      <c r="AP22" s="3151">
        <f t="shared" si="51"/>
        <v>94.983747604624568</v>
      </c>
      <c r="AQ22" s="3151">
        <f t="shared" si="52"/>
        <v>93.353842369565911</v>
      </c>
      <c r="AR22" s="3151">
        <f t="shared" si="53"/>
        <v>101.53305300380042</v>
      </c>
    </row>
    <row r="23" spans="1:44" s="2045" customFormat="1" ht="13.2">
      <c r="A23" s="2903" t="s">
        <v>2819</v>
      </c>
      <c r="B23" s="2031">
        <v>2021</v>
      </c>
      <c r="C23" s="2042">
        <v>2</v>
      </c>
      <c r="D23" s="2007">
        <v>0.92</v>
      </c>
      <c r="E23" s="2007">
        <v>0.72</v>
      </c>
      <c r="F23" s="2007">
        <v>0.41</v>
      </c>
      <c r="G23" s="2007">
        <v>0.95</v>
      </c>
      <c r="H23" s="2915">
        <v>1.01</v>
      </c>
      <c r="I23" s="2008">
        <f t="shared" si="87"/>
        <v>0.41</v>
      </c>
      <c r="J23" s="2904"/>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4"/>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4"/>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95.459324079832498</v>
      </c>
      <c r="AN23" s="3151">
        <f t="shared" si="49"/>
        <v>97.418417990343357</v>
      </c>
      <c r="AO23" s="3151">
        <f t="shared" si="50"/>
        <v>101.28995710674424</v>
      </c>
      <c r="AP23" s="3151">
        <f t="shared" si="51"/>
        <v>94.530003587405034</v>
      </c>
      <c r="AQ23" s="3151">
        <f t="shared" si="52"/>
        <v>92.907884523851436</v>
      </c>
      <c r="AR23" s="3151">
        <f t="shared" si="53"/>
        <v>101.28995710674424</v>
      </c>
    </row>
    <row r="24" spans="1:44" s="2926" customFormat="1" ht="15" thickBot="1">
      <c r="A24" s="2916" t="s">
        <v>2820</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94.589104320087685</v>
      </c>
      <c r="AN24" s="3158">
        <f t="shared" si="49"/>
        <v>96.722019450301175</v>
      </c>
      <c r="AO24" s="3158">
        <f t="shared" si="50"/>
        <v>100.87636401428567</v>
      </c>
      <c r="AP24" s="3158">
        <f t="shared" si="51"/>
        <v>93.640419601193685</v>
      </c>
      <c r="AQ24" s="3158">
        <f t="shared" si="52"/>
        <v>91.978897657510586</v>
      </c>
      <c r="AR24" s="3158">
        <f t="shared" si="53"/>
        <v>100.87636401428567</v>
      </c>
    </row>
    <row r="25" spans="1:44" ht="15" thickTop="1"/>
    <row r="26" spans="1:44">
      <c r="A26" s="3141" t="s">
        <v>3377</v>
      </c>
    </row>
    <row r="27" spans="1:44">
      <c r="I27" s="1405" t="s">
        <v>2821</v>
      </c>
    </row>
    <row r="29" spans="1:44" s="2009" customFormat="1" ht="13.2">
      <c r="B29" s="2927" t="s">
        <v>3375</v>
      </c>
      <c r="C29" s="2928"/>
      <c r="D29" s="2928"/>
      <c r="E29" s="2928"/>
      <c r="F29" s="2928"/>
      <c r="G29" s="2928"/>
      <c r="H29" s="2928"/>
      <c r="I29" s="2928"/>
      <c r="J29" s="2894"/>
      <c r="K29" s="2928" t="s">
        <v>2822</v>
      </c>
      <c r="L29" s="2928"/>
      <c r="M29" s="2928"/>
      <c r="N29" s="2928"/>
      <c r="O29" s="2928"/>
      <c r="P29" s="2928"/>
      <c r="Q29" s="2894"/>
      <c r="R29" s="3493" t="s">
        <v>2823</v>
      </c>
      <c r="S29" s="3494"/>
      <c r="T29" s="3494"/>
      <c r="U29" s="3494"/>
      <c r="V29" s="3494"/>
      <c r="W29" s="3494"/>
      <c r="X29" s="2894"/>
      <c r="Y29" s="3493" t="s">
        <v>2824</v>
      </c>
      <c r="Z29" s="3494"/>
      <c r="AA29" s="3494"/>
      <c r="AB29" s="3494"/>
      <c r="AC29" s="3494"/>
      <c r="AD29" s="3494"/>
    </row>
    <row r="30" spans="1:44" s="2010" customFormat="1" ht="15" thickBot="1">
      <c r="B30" s="2879"/>
      <c r="C30" s="2880"/>
      <c r="D30" s="2011" t="s">
        <v>2825</v>
      </c>
      <c r="E30" s="2012" t="s">
        <v>2826</v>
      </c>
      <c r="F30" s="2012" t="s">
        <v>2827</v>
      </c>
      <c r="G30" s="2012" t="s">
        <v>2828</v>
      </c>
      <c r="H30" s="2012"/>
      <c r="I30" s="2012" t="s">
        <v>2829</v>
      </c>
      <c r="J30" s="2881"/>
      <c r="K30" s="2011" t="s">
        <v>2825</v>
      </c>
      <c r="L30" s="2012" t="s">
        <v>2826</v>
      </c>
      <c r="M30" s="2012" t="s">
        <v>2827</v>
      </c>
      <c r="N30" s="2012" t="s">
        <v>2828</v>
      </c>
      <c r="O30" s="2012"/>
      <c r="P30" s="2012" t="s">
        <v>2829</v>
      </c>
      <c r="Q30" s="2881"/>
      <c r="R30" s="2011" t="s">
        <v>2825</v>
      </c>
      <c r="S30" s="2012" t="s">
        <v>2826</v>
      </c>
      <c r="T30" s="2012" t="s">
        <v>2827</v>
      </c>
      <c r="U30" s="2012" t="s">
        <v>2828</v>
      </c>
      <c r="V30" s="2012"/>
      <c r="W30" s="2012" t="s">
        <v>2829</v>
      </c>
      <c r="X30" s="2881"/>
      <c r="Y30" s="2011" t="s">
        <v>2825</v>
      </c>
      <c r="Z30" s="2012" t="s">
        <v>2826</v>
      </c>
      <c r="AA30" s="2012" t="s">
        <v>2827</v>
      </c>
      <c r="AB30" s="2012" t="s">
        <v>2828</v>
      </c>
      <c r="AC30" s="2012"/>
      <c r="AD30" s="2012" t="s">
        <v>2829</v>
      </c>
      <c r="AG30" t="s">
        <v>673</v>
      </c>
      <c r="AH30" t="s">
        <v>21</v>
      </c>
      <c r="AI30" t="s">
        <v>3402</v>
      </c>
      <c r="AJ30"/>
      <c r="AK30" t="s">
        <v>3403</v>
      </c>
      <c r="AN30" t="s">
        <v>673</v>
      </c>
      <c r="AO30" t="s">
        <v>21</v>
      </c>
      <c r="AP30" t="s">
        <v>3402</v>
      </c>
      <c r="AQ30"/>
      <c r="AR30" t="s">
        <v>3403</v>
      </c>
    </row>
    <row r="31" spans="1:44" s="2884" customFormat="1" ht="13.2">
      <c r="A31" s="2882" t="s">
        <v>2830</v>
      </c>
      <c r="B31" s="2883"/>
      <c r="E31" s="2884">
        <f t="shared" ref="E31:G31" si="115">ROUND(AVERAGEIF(E32:E52,"&lt;&gt;0"),2)</f>
        <v>0.11</v>
      </c>
      <c r="F31" s="2884">
        <f t="shared" si="115"/>
        <v>7.0000000000000007E-2</v>
      </c>
      <c r="G31" s="2884">
        <f t="shared" si="115"/>
        <v>0.26</v>
      </c>
      <c r="I31" s="2884">
        <f>F31</f>
        <v>7.0000000000000007E-2</v>
      </c>
      <c r="J31" s="2885"/>
      <c r="K31" s="2886"/>
      <c r="L31" s="2887">
        <f t="shared" ref="L31:N31" si="116">ROUND(AVERAGEIF(L32:L52,"&lt;&gt;0"),4)</f>
        <v>1.1000000000000001E-3</v>
      </c>
      <c r="M31" s="2887">
        <f t="shared" si="116"/>
        <v>6.9999999999999999E-4</v>
      </c>
      <c r="N31" s="2887">
        <f t="shared" si="116"/>
        <v>2.5999999999999999E-3</v>
      </c>
      <c r="O31" s="2887"/>
      <c r="P31" s="2887">
        <f>M31</f>
        <v>6.9999999999999999E-4</v>
      </c>
      <c r="Q31" s="2885"/>
      <c r="R31" s="2888"/>
      <c r="S31" s="2889">
        <f>ROUND(SUMPRODUCT(PRODUCT(1+L32:L52)),4)</f>
        <v>1.0185</v>
      </c>
      <c r="T31" s="2889">
        <f t="shared" ref="T31:U31" si="117">ROUND(SUMPRODUCT(PRODUCT(1+M32:M52)),4)</f>
        <v>1.012</v>
      </c>
      <c r="U31" s="2889">
        <f t="shared" si="117"/>
        <v>1.0436000000000001</v>
      </c>
      <c r="V31" s="2889"/>
      <c r="W31" s="2888">
        <f>T31</f>
        <v>1.012</v>
      </c>
      <c r="X31" s="2885"/>
      <c r="Y31" s="2890"/>
      <c r="Z31" s="2891">
        <f t="shared" ref="Z31:AB31" si="118">ROUND(AVERAGEIF(Z32:Z52,"&lt;&gt;0"),4)</f>
        <v>3.5999999999999999E-3</v>
      </c>
      <c r="AA31" s="2892">
        <f t="shared" si="118"/>
        <v>3.0000000000000001E-3</v>
      </c>
      <c r="AB31" s="2890">
        <f t="shared" si="118"/>
        <v>7.0000000000000001E-3</v>
      </c>
      <c r="AC31" s="2893"/>
      <c r="AD31" s="2890">
        <f>AA31</f>
        <v>3.0000000000000001E-3</v>
      </c>
    </row>
    <row r="32" spans="1:44" s="2009" customFormat="1" ht="13.2">
      <c r="B32" s="2025"/>
      <c r="J32" s="2894"/>
      <c r="K32" s="2895"/>
      <c r="L32" s="2896"/>
      <c r="M32" s="2896"/>
      <c r="N32" s="2896"/>
      <c r="O32" s="2896"/>
      <c r="P32" s="2896"/>
      <c r="Q32" s="2894"/>
      <c r="R32" s="2027"/>
      <c r="S32" s="2897"/>
      <c r="T32" s="2898"/>
      <c r="U32" s="2027"/>
      <c r="V32" s="2899"/>
      <c r="W32" s="2027"/>
      <c r="X32" s="2894"/>
      <c r="Y32" s="2028"/>
      <c r="Z32" s="2900"/>
      <c r="AA32" s="2901"/>
      <c r="AB32" s="2028"/>
      <c r="AC32" s="2902"/>
      <c r="AD32" s="2028"/>
    </row>
    <row r="33" spans="1:44" s="2045" customFormat="1">
      <c r="A33" s="2040" t="s">
        <v>3400</v>
      </c>
      <c r="B33" s="2031">
        <v>2025</v>
      </c>
      <c r="C33" s="2042">
        <v>4</v>
      </c>
      <c r="D33" s="2007"/>
      <c r="E33" s="2007">
        <v>0</v>
      </c>
      <c r="F33" s="2007">
        <v>0</v>
      </c>
      <c r="G33" s="2007">
        <v>0</v>
      </c>
      <c r="H33" s="2007"/>
      <c r="I33" s="2008">
        <f t="shared" ref="I33" si="119">F33</f>
        <v>0</v>
      </c>
      <c r="J33" s="2904"/>
      <c r="K33" s="2043"/>
      <c r="L33" s="2028">
        <f t="shared" ref="L33" si="120">E33/100</f>
        <v>0</v>
      </c>
      <c r="M33" s="2028">
        <f t="shared" ref="M33" si="121">F33/100</f>
        <v>0</v>
      </c>
      <c r="N33" s="2028">
        <f t="shared" ref="N33" si="122">G33/100</f>
        <v>0</v>
      </c>
      <c r="O33" s="2028"/>
      <c r="P33" s="2028">
        <f t="shared" ref="P33:P39" si="123">M33</f>
        <v>0</v>
      </c>
      <c r="Q33" s="2904"/>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4"/>
      <c r="Y33" s="2028"/>
      <c r="Z33" s="2900">
        <f t="shared" ref="Z33" si="125">IF(E33=0,0,ROUND(AVERAGE(E33:E46)/100,4))</f>
        <v>0</v>
      </c>
      <c r="AA33" s="2900">
        <f t="shared" ref="AA33" si="126">IF(F33=0,0,ROUND(AVERAGE(F33:F46)/100,4))</f>
        <v>0</v>
      </c>
      <c r="AB33" s="2900">
        <f t="shared" ref="AB33" si="127">IF(G33=0,0,ROUND(AVERAGE(G33:G46)/100,4))</f>
        <v>0</v>
      </c>
      <c r="AC33" s="2902"/>
      <c r="AD33" s="2028">
        <f t="shared" ref="AD33:AD39" si="128">IF(I33=0,0,ROUND(AVERAGE(I33:I46)/100,4))</f>
        <v>0</v>
      </c>
      <c r="AG33" s="3151">
        <f t="shared" ref="AG33:AG50" si="129">$AG$52*S33</f>
        <v>101.49</v>
      </c>
      <c r="AH33" s="3151">
        <f t="shared" ref="AH33:AH50" si="130">$AG$52*T33</f>
        <v>100.72000000000001</v>
      </c>
      <c r="AI33" s="3151">
        <f t="shared" ref="AI33:AI50" si="131">$AG$52*U33</f>
        <v>103.35000000000001</v>
      </c>
      <c r="AJ33" s="3153"/>
      <c r="AK33" s="3151">
        <f t="shared" ref="AK33:AK50" si="132">$AG$52*W33</f>
        <v>100.72000000000001</v>
      </c>
      <c r="AN33" s="3156">
        <v>100</v>
      </c>
      <c r="AO33" s="3156">
        <v>100</v>
      </c>
      <c r="AP33" s="3156">
        <v>100</v>
      </c>
      <c r="AQ33" s="3156"/>
      <c r="AR33" s="3156">
        <v>100</v>
      </c>
    </row>
    <row r="34" spans="1:44" s="2045" customFormat="1" ht="13.2">
      <c r="A34" s="2040" t="s">
        <v>3399</v>
      </c>
      <c r="B34" s="2031">
        <v>2025</v>
      </c>
      <c r="C34" s="2042">
        <v>3</v>
      </c>
      <c r="D34" s="2007"/>
      <c r="E34" s="2007">
        <v>0</v>
      </c>
      <c r="F34" s="2007">
        <v>0</v>
      </c>
      <c r="G34" s="2007">
        <v>0</v>
      </c>
      <c r="H34" s="2007"/>
      <c r="I34" s="2008">
        <f t="shared" ref="I34" si="133">F34</f>
        <v>0</v>
      </c>
      <c r="J34" s="2904"/>
      <c r="K34" s="2043"/>
      <c r="L34" s="2028">
        <f t="shared" ref="L34" si="134">E34/100</f>
        <v>0</v>
      </c>
      <c r="M34" s="2028">
        <f t="shared" ref="M34" si="135">F34/100</f>
        <v>0</v>
      </c>
      <c r="N34" s="2028">
        <f t="shared" ref="N34" si="136">G34/100</f>
        <v>0</v>
      </c>
      <c r="O34" s="2028"/>
      <c r="P34" s="2028">
        <f t="shared" si="123"/>
        <v>0</v>
      </c>
      <c r="Q34" s="2904"/>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4"/>
      <c r="Y34" s="2028"/>
      <c r="Z34" s="2900">
        <f t="shared" ref="Z34" si="137">IF(E34=0,0,ROUND(AVERAGE(E34:E47)/100,4))</f>
        <v>0</v>
      </c>
      <c r="AA34" s="2900">
        <f t="shared" ref="AA34" si="138">IF(F34=0,0,ROUND(AVERAGE(F34:F47)/100,4))</f>
        <v>0</v>
      </c>
      <c r="AB34" s="2900">
        <f t="shared" ref="AB34" si="139">IF(G34=0,0,ROUND(AVERAGE(G34:G47)/100,4))</f>
        <v>0</v>
      </c>
      <c r="AC34" s="2902"/>
      <c r="AD34" s="2028">
        <f t="shared" si="128"/>
        <v>0</v>
      </c>
      <c r="AG34" s="3151">
        <f t="shared" si="129"/>
        <v>101.49</v>
      </c>
      <c r="AH34" s="3151">
        <f t="shared" si="130"/>
        <v>100.72000000000001</v>
      </c>
      <c r="AI34" s="3151">
        <f t="shared" si="131"/>
        <v>103.35000000000001</v>
      </c>
      <c r="AJ34" s="3153"/>
      <c r="AK34" s="3151">
        <f t="shared" si="132"/>
        <v>100.72000000000001</v>
      </c>
      <c r="AN34" s="3151">
        <f>AN33/(1+E33/100)</f>
        <v>100</v>
      </c>
      <c r="AO34" s="3151">
        <f t="shared" ref="AO34:AR34" si="140">AO33/(1+F33/100)</f>
        <v>100</v>
      </c>
      <c r="AP34" s="3151">
        <f t="shared" si="140"/>
        <v>100</v>
      </c>
      <c r="AQ34" s="3151"/>
      <c r="AR34" s="3151">
        <f t="shared" si="140"/>
        <v>100</v>
      </c>
    </row>
    <row r="35" spans="1:44" s="2914" customFormat="1" ht="13.2">
      <c r="A35" s="2905" t="s">
        <v>3407</v>
      </c>
      <c r="B35" s="2906">
        <v>2025</v>
      </c>
      <c r="C35" s="2907">
        <v>2</v>
      </c>
      <c r="D35" s="2908"/>
      <c r="E35" s="2908">
        <v>0</v>
      </c>
      <c r="F35" s="2908">
        <v>0</v>
      </c>
      <c r="G35" s="2908">
        <v>0</v>
      </c>
      <c r="H35" s="2909"/>
      <c r="I35" s="2910">
        <f t="shared" ref="I35" si="141">F35</f>
        <v>0</v>
      </c>
      <c r="J35" s="2911"/>
      <c r="K35" s="2912"/>
      <c r="L35" s="2913">
        <f t="shared" ref="L35" si="142">E35/100</f>
        <v>0</v>
      </c>
      <c r="M35" s="2913">
        <f t="shared" ref="M35" si="143">F35/100</f>
        <v>0</v>
      </c>
      <c r="N35" s="2913">
        <f t="shared" ref="N35" si="144">G35/100</f>
        <v>0</v>
      </c>
      <c r="O35" s="2913"/>
      <c r="P35" s="2913">
        <f t="shared" si="123"/>
        <v>0</v>
      </c>
      <c r="Q35" s="2911"/>
      <c r="R35" s="2911"/>
      <c r="S35" s="2911">
        <f>ROUND(IF(项目基本情况!$B$8="出让",SUMPRODUCT(PRODUCT(1+L35:L$52)),SUMPRODUCT(PRODUCT(1+L35:L$51))),4)</f>
        <v>1.0148999999999999</v>
      </c>
      <c r="T35" s="2911">
        <f>ROUND(IF(项目基本情况!$B$8="出让",SUMPRODUCT(PRODUCT(1+M35:M$52)),SUMPRODUCT(PRODUCT(1+M35:M$51))),4)</f>
        <v>1.0072000000000001</v>
      </c>
      <c r="U35" s="2911">
        <f>ROUND(IF(项目基本情况!$B$8="出让",SUMPRODUCT(PRODUCT(1+N35:N$52)),SUMPRODUCT(PRODUCT(1+N35:N$51))),4)</f>
        <v>1.0335000000000001</v>
      </c>
      <c r="V35" s="2911"/>
      <c r="W35" s="2911">
        <f t="shared" si="124"/>
        <v>1.0072000000000001</v>
      </c>
      <c r="X35" s="2911"/>
      <c r="Y35" s="2913"/>
      <c r="Z35" s="2929">
        <f t="shared" ref="Z35" si="145">IF(E35=0,0,ROUND(AVERAGE(E35:E48)/100,4))</f>
        <v>0</v>
      </c>
      <c r="AA35" s="2930">
        <f t="shared" ref="AA35" si="146">IF(F35=0,0,ROUND(AVERAGE(F35:F48)/100,4))</f>
        <v>0</v>
      </c>
      <c r="AB35" s="2913">
        <f t="shared" ref="AB35" si="147">IF(G35=0,0,ROUND(AVERAGE(G35:G48)/100,4))</f>
        <v>0</v>
      </c>
      <c r="AC35" s="2931"/>
      <c r="AD35" s="2913">
        <f t="shared" si="128"/>
        <v>0</v>
      </c>
      <c r="AG35" s="3152">
        <f t="shared" si="129"/>
        <v>101.49</v>
      </c>
      <c r="AH35" s="3152">
        <f t="shared" si="130"/>
        <v>100.72000000000001</v>
      </c>
      <c r="AI35" s="3152">
        <f t="shared" si="131"/>
        <v>103.35000000000001</v>
      </c>
      <c r="AJ35" s="3154"/>
      <c r="AK35" s="3152">
        <f t="shared" si="132"/>
        <v>100.72000000000001</v>
      </c>
      <c r="AN35" s="3152">
        <f t="shared" ref="AN35:AN52" si="148">AN34/(1+E34/100)</f>
        <v>100</v>
      </c>
      <c r="AO35" s="3152">
        <f t="shared" ref="AO35" si="149">AO34/(1+F34/100)</f>
        <v>100</v>
      </c>
      <c r="AP35" s="3152">
        <f t="shared" ref="AP35" si="150">AP34/(1+G34/100)</f>
        <v>100</v>
      </c>
      <c r="AQ35" s="3152"/>
      <c r="AR35" s="3152">
        <f t="shared" ref="AR35" si="151">AR34/(1+I34/100)</f>
        <v>100</v>
      </c>
    </row>
    <row r="36" spans="1:44" s="2045" customFormat="1" ht="13.2">
      <c r="A36" s="2040" t="s">
        <v>3404</v>
      </c>
      <c r="B36" s="2031">
        <v>2025</v>
      </c>
      <c r="C36" s="2042">
        <v>1</v>
      </c>
      <c r="D36" s="2007"/>
      <c r="E36" s="2007">
        <v>-1.47</v>
      </c>
      <c r="F36" s="2007">
        <v>-0.98</v>
      </c>
      <c r="G36" s="2007">
        <v>-0.51</v>
      </c>
      <c r="H36" s="2007"/>
      <c r="I36" s="2008">
        <f t="shared" ref="I36" si="152">F36</f>
        <v>-0.98</v>
      </c>
      <c r="J36" s="2904"/>
      <c r="K36" s="2043"/>
      <c r="L36" s="2028">
        <f t="shared" ref="L36" si="153">E36/100</f>
        <v>-1.47E-2</v>
      </c>
      <c r="M36" s="2028">
        <f t="shared" ref="M36" si="154">F36/100</f>
        <v>-9.7999999999999997E-3</v>
      </c>
      <c r="N36" s="2028">
        <f t="shared" ref="N36" si="155">G36/100</f>
        <v>-5.1000000000000004E-3</v>
      </c>
      <c r="O36" s="2028"/>
      <c r="P36" s="2028">
        <f t="shared" si="123"/>
        <v>-9.7999999999999997E-3</v>
      </c>
      <c r="Q36" s="2904"/>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4"/>
      <c r="Y36" s="2028"/>
      <c r="Z36" s="2900">
        <f t="shared" ref="Z36" si="156">IF(E36=0,0,ROUND(AVERAGE(E36:E49)/100,4))</f>
        <v>4.0000000000000002E-4</v>
      </c>
      <c r="AA36" s="2900">
        <f t="shared" ref="AA36" si="157">IF(F36=0,0,ROUND(AVERAGE(F36:F49)/100,4))</f>
        <v>0</v>
      </c>
      <c r="AB36" s="2900">
        <f t="shared" ref="AB36" si="158">IF(G36=0,0,ROUND(AVERAGE(G36:G49)/100,4))</f>
        <v>1E-3</v>
      </c>
      <c r="AC36" s="2902"/>
      <c r="AD36" s="2028">
        <f t="shared" si="128"/>
        <v>0</v>
      </c>
      <c r="AG36" s="3151">
        <f t="shared" si="129"/>
        <v>101.49</v>
      </c>
      <c r="AH36" s="3151">
        <f t="shared" si="130"/>
        <v>100.72000000000001</v>
      </c>
      <c r="AI36" s="3151">
        <f t="shared" si="131"/>
        <v>103.35000000000001</v>
      </c>
      <c r="AJ36" s="3153"/>
      <c r="AK36" s="3151">
        <f t="shared" si="132"/>
        <v>100.72000000000001</v>
      </c>
      <c r="AN36" s="3151">
        <f t="shared" si="148"/>
        <v>100</v>
      </c>
      <c r="AO36" s="3151">
        <f t="shared" ref="AO36:AO52" si="159">AO35/(1+F35/100)</f>
        <v>100</v>
      </c>
      <c r="AP36" s="3151">
        <f t="shared" ref="AP36:AP52" si="160">AP35/(1+G35/100)</f>
        <v>100</v>
      </c>
      <c r="AQ36" s="3151"/>
      <c r="AR36" s="3151">
        <f t="shared" ref="AR36:AR52" si="161">AR35/(1+I35/100)</f>
        <v>100</v>
      </c>
    </row>
    <row r="37" spans="1:44" s="2045" customFormat="1" ht="13.2">
      <c r="A37" s="2040" t="s">
        <v>3405</v>
      </c>
      <c r="B37" s="2031">
        <v>2024</v>
      </c>
      <c r="C37" s="2042">
        <v>4</v>
      </c>
      <c r="D37" s="2007"/>
      <c r="E37" s="2007">
        <v>-0.61</v>
      </c>
      <c r="F37" s="2007">
        <v>-0.71</v>
      </c>
      <c r="G37" s="2007">
        <v>-0.88</v>
      </c>
      <c r="H37" s="2007"/>
      <c r="I37" s="2008">
        <f t="shared" ref="I37" si="162">F37</f>
        <v>-0.71</v>
      </c>
      <c r="J37" s="2904"/>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4"/>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4"/>
      <c r="Y37" s="2028"/>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8">
        <f t="shared" si="128"/>
        <v>8.9999999999999998E-4</v>
      </c>
      <c r="AG37" s="3151">
        <f t="shared" si="129"/>
        <v>103.01</v>
      </c>
      <c r="AH37" s="3151">
        <f t="shared" si="130"/>
        <v>101.71</v>
      </c>
      <c r="AI37" s="3151">
        <f t="shared" si="131"/>
        <v>103.88</v>
      </c>
      <c r="AJ37" s="3153"/>
      <c r="AK37" s="3151">
        <f t="shared" si="132"/>
        <v>101.71</v>
      </c>
      <c r="AN37" s="3151">
        <f t="shared" si="148"/>
        <v>101.49193139145439</v>
      </c>
      <c r="AO37" s="3151">
        <f t="shared" si="159"/>
        <v>100.98969905069683</v>
      </c>
      <c r="AP37" s="3151">
        <f t="shared" si="160"/>
        <v>100.51261433309881</v>
      </c>
      <c r="AQ37" s="3151"/>
      <c r="AR37" s="3151">
        <f t="shared" si="161"/>
        <v>100.98969905069683</v>
      </c>
    </row>
    <row r="38" spans="1:44" s="2045" customFormat="1" ht="13.2">
      <c r="A38" s="2040" t="s">
        <v>3369</v>
      </c>
      <c r="B38" s="2031">
        <v>2024</v>
      </c>
      <c r="C38" s="2042">
        <v>3</v>
      </c>
      <c r="D38" s="2007"/>
      <c r="E38" s="2007">
        <v>-0.66</v>
      </c>
      <c r="F38" s="2007">
        <v>-0.52</v>
      </c>
      <c r="G38" s="2007">
        <v>-2.87</v>
      </c>
      <c r="H38" s="2007"/>
      <c r="I38" s="2008">
        <f t="shared" ref="I38" si="169">F38</f>
        <v>-0.52</v>
      </c>
      <c r="J38" s="2904"/>
      <c r="K38" s="2043"/>
      <c r="L38" s="2028">
        <f t="shared" ref="L38" si="170">E38/100</f>
        <v>-6.6E-3</v>
      </c>
      <c r="M38" s="2028">
        <f t="shared" ref="M38" si="171">F38/100</f>
        <v>-5.1999999999999998E-3</v>
      </c>
      <c r="N38" s="2028">
        <f t="shared" ref="N38" si="172">G38/100</f>
        <v>-2.87E-2</v>
      </c>
      <c r="O38" s="2028"/>
      <c r="P38" s="2028">
        <f t="shared" si="123"/>
        <v>-5.1999999999999998E-3</v>
      </c>
      <c r="Q38" s="2904"/>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4"/>
      <c r="Y38" s="2028"/>
      <c r="Z38" s="2900">
        <f t="shared" ref="Z38:AB39" si="173">IF(E38=0,0,ROUND(AVERAGE(E38:E51)/100,4))</f>
        <v>2.5999999999999999E-3</v>
      </c>
      <c r="AA38" s="2900">
        <f t="shared" si="173"/>
        <v>1.6999999999999999E-3</v>
      </c>
      <c r="AB38" s="2900">
        <f t="shared" si="173"/>
        <v>3.3999999999999998E-3</v>
      </c>
      <c r="AC38" s="2902"/>
      <c r="AD38" s="2028">
        <f t="shared" si="128"/>
        <v>1.6999999999999999E-3</v>
      </c>
      <c r="AG38" s="3151">
        <f t="shared" si="129"/>
        <v>103.64</v>
      </c>
      <c r="AH38" s="3151">
        <f t="shared" si="130"/>
        <v>102.44</v>
      </c>
      <c r="AI38" s="3151">
        <f t="shared" si="131"/>
        <v>104.80000000000001</v>
      </c>
      <c r="AJ38" s="3153"/>
      <c r="AK38" s="3151">
        <f t="shared" si="132"/>
        <v>102.44</v>
      </c>
      <c r="AN38" s="3151">
        <f t="shared" si="148"/>
        <v>102.11483186583598</v>
      </c>
      <c r="AO38" s="3151">
        <f t="shared" si="159"/>
        <v>101.71185320847701</v>
      </c>
      <c r="AP38" s="3151">
        <f t="shared" si="160"/>
        <v>101.4049781407373</v>
      </c>
      <c r="AQ38" s="3151"/>
      <c r="AR38" s="3151">
        <f t="shared" si="161"/>
        <v>101.71185320847701</v>
      </c>
    </row>
    <row r="39" spans="1:44" s="2045" customFormat="1" ht="13.2">
      <c r="A39" s="2903" t="s">
        <v>3373</v>
      </c>
      <c r="B39" s="2031">
        <v>2024</v>
      </c>
      <c r="C39" s="2042">
        <v>2</v>
      </c>
      <c r="D39" s="2007"/>
      <c r="E39" s="2007">
        <v>-0.31</v>
      </c>
      <c r="F39" s="2007">
        <v>-0.39</v>
      </c>
      <c r="G39" s="2007">
        <v>1.23</v>
      </c>
      <c r="H39" s="2915"/>
      <c r="I39" s="2008">
        <f t="shared" ref="I39:I52" si="174">F39</f>
        <v>-0.39</v>
      </c>
      <c r="J39" s="2904"/>
      <c r="K39" s="2043"/>
      <c r="L39" s="2028">
        <f t="shared" ref="L39:N52" si="175">E39/100</f>
        <v>-3.0999999999999999E-3</v>
      </c>
      <c r="M39" s="2028">
        <f t="shared" si="175"/>
        <v>-3.9000000000000003E-3</v>
      </c>
      <c r="N39" s="2028">
        <f t="shared" si="175"/>
        <v>1.23E-2</v>
      </c>
      <c r="O39" s="2028"/>
      <c r="P39" s="2028">
        <f t="shared" si="123"/>
        <v>-3.9000000000000003E-3</v>
      </c>
      <c r="Q39" s="2904"/>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4"/>
      <c r="Y39" s="2028"/>
      <c r="Z39" s="2900">
        <f t="shared" si="173"/>
        <v>3.3E-3</v>
      </c>
      <c r="AA39" s="2901">
        <f t="shared" si="173"/>
        <v>2.3999999999999998E-3</v>
      </c>
      <c r="AB39" s="2028">
        <f t="shared" si="173"/>
        <v>6.1999999999999998E-3</v>
      </c>
      <c r="AC39" s="2902"/>
      <c r="AD39" s="2028">
        <f t="shared" si="128"/>
        <v>2.3999999999999998E-3</v>
      </c>
      <c r="AG39" s="3151">
        <f t="shared" si="129"/>
        <v>104.32999999999998</v>
      </c>
      <c r="AH39" s="3151">
        <f t="shared" si="130"/>
        <v>102.98</v>
      </c>
      <c r="AI39" s="3151">
        <f t="shared" si="131"/>
        <v>107.89999999999999</v>
      </c>
      <c r="AJ39" s="3153"/>
      <c r="AK39" s="3151">
        <f t="shared" si="132"/>
        <v>102.98</v>
      </c>
      <c r="AN39" s="3151">
        <f t="shared" si="148"/>
        <v>102.79326743087979</v>
      </c>
      <c r="AO39" s="3151">
        <f t="shared" si="159"/>
        <v>102.24351950992863</v>
      </c>
      <c r="AP39" s="3151">
        <f t="shared" si="160"/>
        <v>104.40129531631555</v>
      </c>
      <c r="AQ39" s="3151"/>
      <c r="AR39" s="3151">
        <f t="shared" si="161"/>
        <v>102.24351950992863</v>
      </c>
    </row>
    <row r="40" spans="1:44" s="2045" customFormat="1" ht="13.2">
      <c r="A40" s="2903" t="s">
        <v>3370</v>
      </c>
      <c r="B40" s="2031">
        <v>2024</v>
      </c>
      <c r="C40" s="2042">
        <v>1</v>
      </c>
      <c r="D40" s="2007"/>
      <c r="E40" s="2007">
        <v>0.25</v>
      </c>
      <c r="F40" s="2007">
        <v>0.4</v>
      </c>
      <c r="G40" s="2007">
        <v>-0.63</v>
      </c>
      <c r="H40" s="2915"/>
      <c r="I40" s="2008">
        <f t="shared" ref="I40:I41" si="176">F40</f>
        <v>0.4</v>
      </c>
      <c r="J40" s="2904"/>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4"/>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4"/>
      <c r="Y40" s="2028"/>
      <c r="Z40" s="2900"/>
      <c r="AA40" s="2901"/>
      <c r="AB40" s="2028"/>
      <c r="AC40" s="2902"/>
      <c r="AD40" s="2028"/>
      <c r="AG40" s="3151">
        <f t="shared" si="129"/>
        <v>104.65</v>
      </c>
      <c r="AH40" s="3151">
        <f t="shared" si="130"/>
        <v>103.38000000000001</v>
      </c>
      <c r="AI40" s="3151">
        <f t="shared" si="131"/>
        <v>106.59</v>
      </c>
      <c r="AJ40" s="3153"/>
      <c r="AK40" s="3151">
        <f t="shared" si="132"/>
        <v>103.38000000000001</v>
      </c>
      <c r="AN40" s="3151">
        <f t="shared" si="148"/>
        <v>103.11291747505246</v>
      </c>
      <c r="AO40" s="3151">
        <f t="shared" si="159"/>
        <v>102.64383044867849</v>
      </c>
      <c r="AP40" s="3151">
        <f t="shared" si="160"/>
        <v>103.13276233953923</v>
      </c>
      <c r="AQ40" s="3151"/>
      <c r="AR40" s="3151">
        <f t="shared" si="161"/>
        <v>102.64383044867849</v>
      </c>
    </row>
    <row r="41" spans="1:44" s="2045" customFormat="1" ht="13.2">
      <c r="A41" s="2903" t="s">
        <v>3368</v>
      </c>
      <c r="B41" s="2031">
        <v>2023</v>
      </c>
      <c r="C41" s="2042">
        <v>4</v>
      </c>
      <c r="D41" s="2007"/>
      <c r="E41" s="2007">
        <v>7.0000000000000007E-2</v>
      </c>
      <c r="F41" s="2007">
        <v>0.09</v>
      </c>
      <c r="G41" s="2007">
        <v>0.03</v>
      </c>
      <c r="H41" s="2915"/>
      <c r="I41" s="2008">
        <f t="shared" si="176"/>
        <v>0.09</v>
      </c>
      <c r="J41" s="2904"/>
      <c r="K41" s="2043"/>
      <c r="L41" s="2028">
        <f t="shared" si="175"/>
        <v>7.000000000000001E-4</v>
      </c>
      <c r="M41" s="2028">
        <f t="shared" si="175"/>
        <v>8.9999999999999998E-4</v>
      </c>
      <c r="N41" s="2028">
        <f t="shared" si="175"/>
        <v>2.9999999999999997E-4</v>
      </c>
      <c r="O41" s="2028"/>
      <c r="P41" s="2028">
        <f t="shared" ref="P41" si="182">M41</f>
        <v>8.9999999999999998E-4</v>
      </c>
      <c r="Q41" s="2904"/>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4"/>
      <c r="Y41" s="2028"/>
      <c r="Z41" s="2900"/>
      <c r="AA41" s="2901"/>
      <c r="AB41" s="2028"/>
      <c r="AC41" s="2902"/>
      <c r="AD41" s="2028"/>
      <c r="AG41" s="3151">
        <f t="shared" si="129"/>
        <v>104.39</v>
      </c>
      <c r="AH41" s="3151">
        <f t="shared" si="130"/>
        <v>102.97</v>
      </c>
      <c r="AI41" s="3151">
        <f t="shared" si="131"/>
        <v>107.27</v>
      </c>
      <c r="AJ41" s="3153"/>
      <c r="AK41" s="3151">
        <f t="shared" si="132"/>
        <v>102.97</v>
      </c>
      <c r="AN41" s="3151">
        <f t="shared" si="148"/>
        <v>102.85577802997751</v>
      </c>
      <c r="AO41" s="3151">
        <f t="shared" si="159"/>
        <v>102.23489088513793</v>
      </c>
      <c r="AP41" s="3151">
        <f t="shared" si="160"/>
        <v>103.78661803314806</v>
      </c>
      <c r="AQ41" s="3151"/>
      <c r="AR41" s="3151">
        <f t="shared" si="161"/>
        <v>102.23489088513793</v>
      </c>
    </row>
    <row r="42" spans="1:44" s="2045" customFormat="1" ht="13.2">
      <c r="A42" s="2903" t="s">
        <v>3366</v>
      </c>
      <c r="B42" s="2031">
        <v>2023</v>
      </c>
      <c r="C42" s="2042">
        <v>3</v>
      </c>
      <c r="D42" s="2007"/>
      <c r="E42" s="2007">
        <v>0.35</v>
      </c>
      <c r="F42" s="2007">
        <v>0.17</v>
      </c>
      <c r="G42" s="2007">
        <v>0.52</v>
      </c>
      <c r="H42" s="2915"/>
      <c r="I42" s="2008">
        <f t="shared" si="174"/>
        <v>0.17</v>
      </c>
      <c r="J42" s="2904"/>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4"/>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4"/>
      <c r="Y42" s="2028"/>
      <c r="Z42" s="2900"/>
      <c r="AA42" s="2901"/>
      <c r="AB42" s="2028"/>
      <c r="AC42" s="2902"/>
      <c r="AD42" s="2028"/>
      <c r="AG42" s="3151">
        <f t="shared" si="129"/>
        <v>104.32</v>
      </c>
      <c r="AH42" s="3151">
        <f t="shared" si="130"/>
        <v>102.86999999999999</v>
      </c>
      <c r="AI42" s="3151">
        <f t="shared" si="131"/>
        <v>107.23</v>
      </c>
      <c r="AJ42" s="3153"/>
      <c r="AK42" s="3151">
        <f t="shared" si="132"/>
        <v>102.86999999999999</v>
      </c>
      <c r="AN42" s="3151">
        <f t="shared" si="148"/>
        <v>102.78382934943292</v>
      </c>
      <c r="AO42" s="3151">
        <f t="shared" si="159"/>
        <v>102.14296221914071</v>
      </c>
      <c r="AP42" s="3151">
        <f t="shared" si="160"/>
        <v>103.75549138573234</v>
      </c>
      <c r="AQ42" s="3151"/>
      <c r="AR42" s="3151">
        <f t="shared" si="161"/>
        <v>102.14296221914071</v>
      </c>
    </row>
    <row r="43" spans="1:44" s="2045" customFormat="1" ht="13.2">
      <c r="A43" s="2903" t="s">
        <v>3365</v>
      </c>
      <c r="B43" s="2031">
        <v>2023</v>
      </c>
      <c r="C43" s="2042">
        <v>2</v>
      </c>
      <c r="D43" s="2007"/>
      <c r="E43" s="2007">
        <v>0.5</v>
      </c>
      <c r="F43" s="2007">
        <v>0.45</v>
      </c>
      <c r="G43" s="2007">
        <v>0.89</v>
      </c>
      <c r="H43" s="2915"/>
      <c r="I43" s="2008">
        <f t="shared" si="174"/>
        <v>0.45</v>
      </c>
      <c r="J43" s="2904"/>
      <c r="K43" s="2043"/>
      <c r="L43" s="2028">
        <f t="shared" si="184"/>
        <v>5.0000000000000001E-3</v>
      </c>
      <c r="M43" s="2028">
        <f t="shared" si="185"/>
        <v>4.5000000000000005E-3</v>
      </c>
      <c r="N43" s="2028">
        <f t="shared" si="186"/>
        <v>8.8999999999999999E-3</v>
      </c>
      <c r="O43" s="2028"/>
      <c r="P43" s="2028">
        <f t="shared" si="187"/>
        <v>4.5000000000000005E-3</v>
      </c>
      <c r="Q43" s="2904"/>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4"/>
      <c r="Y43" s="2028"/>
      <c r="Z43" s="2900"/>
      <c r="AA43" s="2901"/>
      <c r="AB43" s="2028"/>
      <c r="AC43" s="2902"/>
      <c r="AD43" s="2028"/>
      <c r="AG43" s="3151">
        <f t="shared" si="129"/>
        <v>103.96000000000001</v>
      </c>
      <c r="AH43" s="3151">
        <f t="shared" si="130"/>
        <v>102.69999999999999</v>
      </c>
      <c r="AI43" s="3151">
        <f t="shared" si="131"/>
        <v>106.67999999999999</v>
      </c>
      <c r="AJ43" s="3153"/>
      <c r="AK43" s="3151">
        <f t="shared" si="132"/>
        <v>102.69999999999999</v>
      </c>
      <c r="AN43" s="3151">
        <f t="shared" si="148"/>
        <v>102.42534065713295</v>
      </c>
      <c r="AO43" s="3151">
        <f t="shared" si="159"/>
        <v>101.96961387555227</v>
      </c>
      <c r="AP43" s="3151">
        <f t="shared" si="160"/>
        <v>103.21875386563104</v>
      </c>
      <c r="AQ43" s="3151"/>
      <c r="AR43" s="3151">
        <f t="shared" si="161"/>
        <v>101.96961387555227</v>
      </c>
    </row>
    <row r="44" spans="1:44" s="2045" customFormat="1" ht="13.2">
      <c r="A44" s="2903" t="s">
        <v>3363</v>
      </c>
      <c r="B44" s="2031">
        <v>2023</v>
      </c>
      <c r="C44" s="2042">
        <v>1</v>
      </c>
      <c r="D44" s="2007"/>
      <c r="E44" s="2007">
        <v>0.55000000000000004</v>
      </c>
      <c r="F44" s="2007">
        <v>0.59</v>
      </c>
      <c r="G44" s="2007">
        <v>0.64</v>
      </c>
      <c r="H44" s="2915"/>
      <c r="I44" s="2008">
        <f t="shared" si="174"/>
        <v>0.59</v>
      </c>
      <c r="J44" s="2904"/>
      <c r="K44" s="2043"/>
      <c r="L44" s="2028">
        <f t="shared" si="184"/>
        <v>5.5000000000000005E-3</v>
      </c>
      <c r="M44" s="2028">
        <f t="shared" si="185"/>
        <v>5.8999999999999999E-3</v>
      </c>
      <c r="N44" s="2028">
        <f t="shared" si="186"/>
        <v>6.4000000000000003E-3</v>
      </c>
      <c r="O44" s="2028"/>
      <c r="P44" s="2028">
        <f t="shared" si="187"/>
        <v>5.8999999999999999E-3</v>
      </c>
      <c r="Q44" s="2904"/>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4"/>
      <c r="Y44" s="2028"/>
      <c r="Z44" s="2900"/>
      <c r="AA44" s="2901"/>
      <c r="AB44" s="2028"/>
      <c r="AC44" s="2902"/>
      <c r="AD44" s="2028"/>
      <c r="AG44" s="3151">
        <f t="shared" si="129"/>
        <v>103.44</v>
      </c>
      <c r="AH44" s="3151">
        <f t="shared" si="130"/>
        <v>102.24</v>
      </c>
      <c r="AI44" s="3151">
        <f t="shared" si="131"/>
        <v>105.74</v>
      </c>
      <c r="AJ44" s="3153"/>
      <c r="AK44" s="3151">
        <f t="shared" si="132"/>
        <v>102.24</v>
      </c>
      <c r="AN44" s="3151">
        <f t="shared" si="148"/>
        <v>101.91576184789349</v>
      </c>
      <c r="AO44" s="3151">
        <f t="shared" si="159"/>
        <v>101.5128062474388</v>
      </c>
      <c r="AP44" s="3151">
        <f t="shared" si="160"/>
        <v>102.30821078960358</v>
      </c>
      <c r="AQ44" s="3151"/>
      <c r="AR44" s="3151">
        <f t="shared" si="161"/>
        <v>101.5128062474388</v>
      </c>
    </row>
    <row r="45" spans="1:44" s="2045" customFormat="1" ht="13.2">
      <c r="A45" s="2903" t="s">
        <v>3362</v>
      </c>
      <c r="B45" s="2031">
        <v>2022</v>
      </c>
      <c r="C45" s="2042">
        <v>4</v>
      </c>
      <c r="D45" s="2007"/>
      <c r="E45" s="2007">
        <v>0.45</v>
      </c>
      <c r="F45" s="2007">
        <v>0.2</v>
      </c>
      <c r="G45" s="2007">
        <v>0.38</v>
      </c>
      <c r="H45" s="2915"/>
      <c r="I45" s="2008">
        <f t="shared" si="174"/>
        <v>0.2</v>
      </c>
      <c r="J45" s="2904"/>
      <c r="K45" s="2043"/>
      <c r="L45" s="2028">
        <f t="shared" si="175"/>
        <v>4.5000000000000005E-3</v>
      </c>
      <c r="M45" s="2028">
        <f t="shared" si="175"/>
        <v>2E-3</v>
      </c>
      <c r="N45" s="2028">
        <f t="shared" si="175"/>
        <v>3.8E-3</v>
      </c>
      <c r="O45" s="2028"/>
      <c r="P45" s="2028">
        <f t="shared" ref="P45:P52" si="189">M45</f>
        <v>2E-3</v>
      </c>
      <c r="Q45" s="2904"/>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4"/>
      <c r="Y45" s="2028"/>
      <c r="Z45" s="2900">
        <f t="shared" ref="Z45:AD52" si="191">IF(E45=0,0,ROUND(AVERAGE(E45:E53)/100,4))</f>
        <v>4.0000000000000001E-3</v>
      </c>
      <c r="AA45" s="2901">
        <f t="shared" si="191"/>
        <v>2.5999999999999999E-3</v>
      </c>
      <c r="AB45" s="2028">
        <f t="shared" si="191"/>
        <v>7.4000000000000003E-3</v>
      </c>
      <c r="AC45" s="2902"/>
      <c r="AD45" s="2028">
        <f t="shared" si="191"/>
        <v>2.5999999999999999E-3</v>
      </c>
      <c r="AG45" s="3151">
        <f t="shared" si="129"/>
        <v>102.86999999999999</v>
      </c>
      <c r="AH45" s="3151">
        <f t="shared" si="130"/>
        <v>101.64</v>
      </c>
      <c r="AI45" s="3151">
        <f t="shared" si="131"/>
        <v>105.06</v>
      </c>
      <c r="AJ45" s="3153"/>
      <c r="AK45" s="3151">
        <f t="shared" si="132"/>
        <v>101.64</v>
      </c>
      <c r="AN45" s="3151">
        <f t="shared" si="148"/>
        <v>101.35829124604027</v>
      </c>
      <c r="AO45" s="3151">
        <f t="shared" si="159"/>
        <v>100.91739362505101</v>
      </c>
      <c r="AP45" s="3151">
        <f t="shared" si="160"/>
        <v>101.6576021359336</v>
      </c>
      <c r="AQ45" s="3151"/>
      <c r="AR45" s="3151">
        <f t="shared" si="161"/>
        <v>100.91739362505101</v>
      </c>
    </row>
    <row r="46" spans="1:44" s="2045" customFormat="1" ht="13.2">
      <c r="A46" s="2903" t="s">
        <v>3361</v>
      </c>
      <c r="B46" s="2031">
        <v>2022</v>
      </c>
      <c r="C46" s="2042">
        <v>3</v>
      </c>
      <c r="D46" s="2007"/>
      <c r="E46" s="2007">
        <v>0.3</v>
      </c>
      <c r="F46" s="2007">
        <v>0.28999999999999998</v>
      </c>
      <c r="G46" s="2007">
        <v>0.83</v>
      </c>
      <c r="H46" s="2915"/>
      <c r="I46" s="2008">
        <f t="shared" si="174"/>
        <v>0.28999999999999998</v>
      </c>
      <c r="J46" s="2904"/>
      <c r="K46" s="2043"/>
      <c r="L46" s="2028">
        <f t="shared" si="175"/>
        <v>3.0000000000000001E-3</v>
      </c>
      <c r="M46" s="2028">
        <f t="shared" si="175"/>
        <v>2.8999999999999998E-3</v>
      </c>
      <c r="N46" s="2028">
        <f t="shared" si="175"/>
        <v>8.3000000000000001E-3</v>
      </c>
      <c r="O46" s="2028"/>
      <c r="P46" s="2028">
        <f t="shared" si="189"/>
        <v>2.8999999999999998E-3</v>
      </c>
      <c r="Q46" s="2904"/>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4"/>
      <c r="Y46" s="2028"/>
      <c r="Z46" s="2900">
        <f t="shared" si="191"/>
        <v>3.8999999999999998E-3</v>
      </c>
      <c r="AA46" s="2901">
        <f t="shared" si="191"/>
        <v>2.7000000000000001E-3</v>
      </c>
      <c r="AB46" s="2028">
        <f t="shared" si="191"/>
        <v>7.9000000000000008E-3</v>
      </c>
      <c r="AC46" s="2902"/>
      <c r="AD46" s="2028">
        <f t="shared" si="191"/>
        <v>2.7000000000000001E-3</v>
      </c>
      <c r="AG46" s="3151">
        <f t="shared" si="129"/>
        <v>102.41</v>
      </c>
      <c r="AH46" s="3151">
        <f t="shared" si="130"/>
        <v>101.44</v>
      </c>
      <c r="AI46" s="3151">
        <f t="shared" si="131"/>
        <v>104.67</v>
      </c>
      <c r="AJ46" s="3153"/>
      <c r="AK46" s="3151">
        <f t="shared" si="132"/>
        <v>101.44</v>
      </c>
      <c r="AN46" s="3151">
        <f t="shared" si="148"/>
        <v>100.90422224593357</v>
      </c>
      <c r="AO46" s="3151">
        <f t="shared" si="159"/>
        <v>100.71596170164771</v>
      </c>
      <c r="AP46" s="3151">
        <f t="shared" si="160"/>
        <v>101.2727656265527</v>
      </c>
      <c r="AQ46" s="3151"/>
      <c r="AR46" s="3151">
        <f t="shared" si="161"/>
        <v>100.71596170164771</v>
      </c>
    </row>
    <row r="47" spans="1:44" s="2045" customFormat="1" ht="13.2">
      <c r="A47" s="2903" t="s">
        <v>3351</v>
      </c>
      <c r="B47" s="2031">
        <v>2022</v>
      </c>
      <c r="C47" s="2042">
        <v>2</v>
      </c>
      <c r="D47" s="2007"/>
      <c r="E47" s="2007">
        <v>-0.11</v>
      </c>
      <c r="F47" s="2007">
        <v>-0.13</v>
      </c>
      <c r="G47" s="2007">
        <v>0.53</v>
      </c>
      <c r="H47" s="2915"/>
      <c r="I47" s="2008">
        <f t="shared" si="174"/>
        <v>-0.13</v>
      </c>
      <c r="J47" s="2904"/>
      <c r="K47" s="2043"/>
      <c r="L47" s="2028">
        <f t="shared" si="175"/>
        <v>-1.1000000000000001E-3</v>
      </c>
      <c r="M47" s="2028">
        <f t="shared" si="175"/>
        <v>-1.2999999999999999E-3</v>
      </c>
      <c r="N47" s="2028">
        <f t="shared" si="175"/>
        <v>5.3E-3</v>
      </c>
      <c r="O47" s="2028"/>
      <c r="P47" s="2028">
        <f t="shared" si="189"/>
        <v>-1.2999999999999999E-3</v>
      </c>
      <c r="Q47" s="2904"/>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4"/>
      <c r="Y47" s="2028"/>
      <c r="Z47" s="2900">
        <f t="shared" si="191"/>
        <v>4.1000000000000003E-3</v>
      </c>
      <c r="AA47" s="2901">
        <f t="shared" si="191"/>
        <v>2.7000000000000001E-3</v>
      </c>
      <c r="AB47" s="2028">
        <f t="shared" si="191"/>
        <v>7.9000000000000008E-3</v>
      </c>
      <c r="AC47" s="2902"/>
      <c r="AD47" s="2028">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100.60241500093079</v>
      </c>
      <c r="AO47" s="3151">
        <f t="shared" si="159"/>
        <v>100.42472998469212</v>
      </c>
      <c r="AP47" s="3151">
        <f t="shared" si="160"/>
        <v>100.43912092289268</v>
      </c>
      <c r="AQ47" s="3151"/>
      <c r="AR47" s="3151">
        <f t="shared" si="161"/>
        <v>100.42472998469212</v>
      </c>
    </row>
    <row r="48" spans="1:44" s="2045" customFormat="1" ht="13.2">
      <c r="A48" s="2903" t="s">
        <v>2831</v>
      </c>
      <c r="B48" s="2031">
        <v>2022</v>
      </c>
      <c r="C48" s="2042">
        <v>1</v>
      </c>
      <c r="D48" s="2007"/>
      <c r="E48" s="2007">
        <v>0.6</v>
      </c>
      <c r="F48" s="2007">
        <v>0.45</v>
      </c>
      <c r="G48" s="2007">
        <v>0.53</v>
      </c>
      <c r="H48" s="2915"/>
      <c r="I48" s="2008">
        <f t="shared" si="174"/>
        <v>0.45</v>
      </c>
      <c r="J48" s="2904"/>
      <c r="K48" s="2043"/>
      <c r="L48" s="2028">
        <f t="shared" si="175"/>
        <v>6.0000000000000001E-3</v>
      </c>
      <c r="M48" s="2028">
        <f t="shared" si="175"/>
        <v>4.5000000000000005E-3</v>
      </c>
      <c r="N48" s="2028">
        <f t="shared" si="175"/>
        <v>5.3E-3</v>
      </c>
      <c r="O48" s="2028"/>
      <c r="P48" s="2028">
        <f t="shared" si="189"/>
        <v>4.5000000000000005E-3</v>
      </c>
      <c r="Q48" s="2904"/>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4"/>
      <c r="Y48" s="2028"/>
      <c r="Z48" s="2900">
        <f t="shared" si="191"/>
        <v>5.1000000000000004E-3</v>
      </c>
      <c r="AA48" s="2901">
        <f t="shared" si="191"/>
        <v>3.5000000000000001E-3</v>
      </c>
      <c r="AB48" s="2028">
        <f t="shared" si="191"/>
        <v>8.3999999999999995E-3</v>
      </c>
      <c r="AC48" s="2902"/>
      <c r="AD48" s="2028">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100.71319952040324</v>
      </c>
      <c r="AO48" s="3151">
        <f t="shared" si="159"/>
        <v>100.55545207238622</v>
      </c>
      <c r="AP48" s="3151">
        <f t="shared" si="160"/>
        <v>99.90960004266654</v>
      </c>
      <c r="AQ48" s="3151"/>
      <c r="AR48" s="3151">
        <f t="shared" si="161"/>
        <v>100.55545207238622</v>
      </c>
    </row>
    <row r="49" spans="1:44" s="2045" customFormat="1" ht="13.2">
      <c r="A49" s="2903" t="s">
        <v>2832</v>
      </c>
      <c r="B49" s="2031">
        <v>2021</v>
      </c>
      <c r="C49" s="2042">
        <v>4</v>
      </c>
      <c r="D49" s="2007"/>
      <c r="E49" s="2007">
        <v>0.57999999999999996</v>
      </c>
      <c r="F49" s="2007">
        <v>0.08</v>
      </c>
      <c r="G49" s="2007">
        <v>0.68</v>
      </c>
      <c r="H49" s="2915"/>
      <c r="I49" s="2008">
        <f t="shared" si="174"/>
        <v>0.08</v>
      </c>
      <c r="J49" s="2904"/>
      <c r="K49" s="2043"/>
      <c r="L49" s="2028">
        <f t="shared" si="175"/>
        <v>5.7999999999999996E-3</v>
      </c>
      <c r="M49" s="2028">
        <f t="shared" si="175"/>
        <v>8.0000000000000004E-4</v>
      </c>
      <c r="N49" s="2028">
        <f t="shared" si="175"/>
        <v>6.8000000000000005E-3</v>
      </c>
      <c r="O49" s="2028"/>
      <c r="P49" s="2028">
        <f t="shared" si="189"/>
        <v>8.0000000000000004E-4</v>
      </c>
      <c r="Q49" s="2904"/>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4"/>
      <c r="Y49" s="2028"/>
      <c r="Z49" s="2900">
        <f t="shared" si="191"/>
        <v>4.8999999999999998E-3</v>
      </c>
      <c r="AA49" s="2901">
        <f t="shared" si="191"/>
        <v>3.3E-3</v>
      </c>
      <c r="AB49" s="2028">
        <f t="shared" si="191"/>
        <v>9.1999999999999998E-3</v>
      </c>
      <c r="AC49" s="2902"/>
      <c r="AD49" s="2028">
        <f t="shared" si="191"/>
        <v>3.3E-3</v>
      </c>
      <c r="AG49" s="3151">
        <f t="shared" si="129"/>
        <v>101.61</v>
      </c>
      <c r="AH49" s="3151">
        <f t="shared" si="130"/>
        <v>100.82</v>
      </c>
      <c r="AI49" s="3151">
        <f t="shared" si="131"/>
        <v>102.71</v>
      </c>
      <c r="AJ49" s="3153"/>
      <c r="AK49" s="3151">
        <f t="shared" si="132"/>
        <v>100.82</v>
      </c>
      <c r="AN49" s="3151">
        <f t="shared" si="148"/>
        <v>100.11252437415828</v>
      </c>
      <c r="AO49" s="3151">
        <f t="shared" si="159"/>
        <v>100.10497966389867</v>
      </c>
      <c r="AP49" s="3151">
        <f t="shared" si="160"/>
        <v>99.382870827281934</v>
      </c>
      <c r="AQ49" s="3151"/>
      <c r="AR49" s="3151">
        <f t="shared" si="161"/>
        <v>100.10497966389867</v>
      </c>
    </row>
    <row r="50" spans="1:44" s="2045" customFormat="1" ht="13.2">
      <c r="A50" s="2903" t="s">
        <v>2833</v>
      </c>
      <c r="B50" s="2031">
        <v>2021</v>
      </c>
      <c r="C50" s="2042">
        <v>3</v>
      </c>
      <c r="D50" s="2007"/>
      <c r="E50" s="2007">
        <v>0.47</v>
      </c>
      <c r="F50" s="2007">
        <v>0.28000000000000003</v>
      </c>
      <c r="G50" s="2007">
        <v>0.91</v>
      </c>
      <c r="H50" s="2915"/>
      <c r="I50" s="2008">
        <f t="shared" si="174"/>
        <v>0.28000000000000003</v>
      </c>
      <c r="J50" s="2904"/>
      <c r="K50" s="2043"/>
      <c r="L50" s="2028">
        <f t="shared" si="175"/>
        <v>4.6999999999999993E-3</v>
      </c>
      <c r="M50" s="2028">
        <f t="shared" si="175"/>
        <v>2.8000000000000004E-3</v>
      </c>
      <c r="N50" s="2028">
        <f t="shared" si="175"/>
        <v>9.1000000000000004E-3</v>
      </c>
      <c r="O50" s="2028"/>
      <c r="P50" s="2028">
        <f t="shared" si="189"/>
        <v>2.8000000000000004E-3</v>
      </c>
      <c r="Q50" s="2904"/>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4"/>
      <c r="Y50" s="2028"/>
      <c r="Z50" s="2900">
        <f t="shared" si="191"/>
        <v>4.5999999999999999E-3</v>
      </c>
      <c r="AA50" s="2901">
        <f t="shared" si="191"/>
        <v>4.1000000000000003E-3</v>
      </c>
      <c r="AB50" s="2028">
        <f t="shared" si="191"/>
        <v>0.01</v>
      </c>
      <c r="AC50" s="2902"/>
      <c r="AD50" s="2028">
        <f t="shared" si="191"/>
        <v>4.1000000000000003E-3</v>
      </c>
      <c r="AG50" s="3151">
        <f t="shared" si="129"/>
        <v>101.02</v>
      </c>
      <c r="AH50" s="3151">
        <f t="shared" si="130"/>
        <v>100.74000000000001</v>
      </c>
      <c r="AI50" s="3151">
        <f t="shared" si="131"/>
        <v>102.02</v>
      </c>
      <c r="AJ50" s="3153"/>
      <c r="AK50" s="3151">
        <f t="shared" si="132"/>
        <v>100.74000000000001</v>
      </c>
      <c r="AN50" s="3151">
        <f t="shared" si="148"/>
        <v>99.535220097592244</v>
      </c>
      <c r="AO50" s="3151">
        <f t="shared" si="159"/>
        <v>100.02495969614176</v>
      </c>
      <c r="AP50" s="3151">
        <f t="shared" si="160"/>
        <v>98.711631731507694</v>
      </c>
      <c r="AQ50" s="3151"/>
      <c r="AR50" s="3151">
        <f t="shared" si="161"/>
        <v>100.02495969614176</v>
      </c>
    </row>
    <row r="51" spans="1:44" s="2045" customFormat="1" ht="13.2">
      <c r="A51" s="2903" t="s">
        <v>2834</v>
      </c>
      <c r="B51" s="2031">
        <v>2021</v>
      </c>
      <c r="C51" s="2042">
        <v>2</v>
      </c>
      <c r="D51" s="2007"/>
      <c r="E51" s="2007">
        <v>0.55000000000000004</v>
      </c>
      <c r="F51" s="2007">
        <v>0.46</v>
      </c>
      <c r="G51" s="2007">
        <v>1.1000000000000001</v>
      </c>
      <c r="H51" s="2915"/>
      <c r="I51" s="2008">
        <f t="shared" si="174"/>
        <v>0.46</v>
      </c>
      <c r="J51" s="2904"/>
      <c r="K51" s="2043"/>
      <c r="L51" s="2028">
        <f t="shared" si="175"/>
        <v>5.5000000000000005E-3</v>
      </c>
      <c r="M51" s="2028">
        <f t="shared" si="175"/>
        <v>4.5999999999999999E-3</v>
      </c>
      <c r="N51" s="2028">
        <f t="shared" si="175"/>
        <v>1.1000000000000001E-2</v>
      </c>
      <c r="O51" s="2028"/>
      <c r="P51" s="2028">
        <f t="shared" si="189"/>
        <v>4.5999999999999999E-3</v>
      </c>
      <c r="Q51" s="2904"/>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4"/>
      <c r="Y51" s="2028"/>
      <c r="Z51" s="2900">
        <f t="shared" si="191"/>
        <v>4.4999999999999997E-3</v>
      </c>
      <c r="AA51" s="2901">
        <f t="shared" si="191"/>
        <v>4.7000000000000002E-3</v>
      </c>
      <c r="AB51" s="2028">
        <f t="shared" si="191"/>
        <v>1.04E-2</v>
      </c>
      <c r="AC51" s="2902"/>
      <c r="AD51" s="2028">
        <f t="shared" si="191"/>
        <v>4.7000000000000002E-3</v>
      </c>
      <c r="AG51" s="3151">
        <f>$AG$52*S51</f>
        <v>100.55000000000001</v>
      </c>
      <c r="AH51" s="3151">
        <f t="shared" ref="AH51:AK51" si="192">$AG$52*T51</f>
        <v>100.46</v>
      </c>
      <c r="AI51" s="3151">
        <f t="shared" si="192"/>
        <v>101.1</v>
      </c>
      <c r="AJ51" s="3153"/>
      <c r="AK51" s="3151">
        <f t="shared" si="192"/>
        <v>100.46</v>
      </c>
      <c r="AN51" s="3151">
        <f t="shared" si="148"/>
        <v>99.069593010443171</v>
      </c>
      <c r="AO51" s="3151">
        <f t="shared" si="159"/>
        <v>99.745671815059609</v>
      </c>
      <c r="AP51" s="3151">
        <f t="shared" si="160"/>
        <v>97.821456477561867</v>
      </c>
      <c r="AQ51" s="3151"/>
      <c r="AR51" s="3151">
        <f t="shared" si="161"/>
        <v>99.745671815059609</v>
      </c>
    </row>
    <row r="52" spans="1:44" s="2926" customFormat="1" ht="15" thickBot="1">
      <c r="A52" s="2916" t="s">
        <v>2820</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5">
        <v>100</v>
      </c>
      <c r="AH52" s="3155">
        <v>100</v>
      </c>
      <c r="AI52" s="3155">
        <v>100</v>
      </c>
      <c r="AJ52" s="3155"/>
      <c r="AK52" s="3155">
        <v>100</v>
      </c>
      <c r="AN52" s="3158">
        <f t="shared" si="148"/>
        <v>98.527690711529758</v>
      </c>
      <c r="AO52" s="3158">
        <f t="shared" si="159"/>
        <v>99.288942678737428</v>
      </c>
      <c r="AP52" s="3158">
        <f t="shared" si="160"/>
        <v>96.757128068805017</v>
      </c>
      <c r="AQ52" s="3158"/>
      <c r="AR52" s="3158">
        <f t="shared" si="161"/>
        <v>99.288942678737428</v>
      </c>
    </row>
    <row r="53" spans="1:44" ht="15" thickTop="1"/>
    <row r="54" spans="1:44">
      <c r="A54" s="3141" t="s">
        <v>3376</v>
      </c>
    </row>
  </sheetData>
  <sheetProtection password="CEE9" sheet="1" objects="1" scenarios="1"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A36" sqref="A36:XFD36"/>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98" t="s">
        <v>452</v>
      </c>
      <c r="C1" s="3498"/>
      <c r="D1" s="3498"/>
      <c r="E1" s="3498"/>
      <c r="F1" s="3498"/>
      <c r="G1" s="3494" t="s">
        <v>453</v>
      </c>
      <c r="H1" s="3494"/>
      <c r="I1" s="3494"/>
      <c r="J1" s="3494"/>
      <c r="K1" s="3494"/>
      <c r="L1" s="3494"/>
      <c r="N1" s="3494" t="s">
        <v>454</v>
      </c>
      <c r="O1" s="3494"/>
      <c r="P1" s="3494"/>
      <c r="Q1" s="3494"/>
      <c r="S1" s="3494" t="s">
        <v>455</v>
      </c>
      <c r="T1" s="3494"/>
      <c r="U1" s="3494"/>
      <c r="V1" s="3494"/>
      <c r="X1" s="3493" t="s">
        <v>456</v>
      </c>
      <c r="Y1" s="3494"/>
      <c r="Z1" s="3494"/>
      <c r="AA1" s="3494"/>
      <c r="AB1" s="3494"/>
      <c r="AD1" s="3493" t="s">
        <v>457</v>
      </c>
      <c r="AE1" s="3494"/>
      <c r="AF1" s="3494"/>
      <c r="AG1" s="3494"/>
      <c r="AH1" s="3494"/>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3359</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3356</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3357</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3358</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2432</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2309</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2308</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2307</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2304</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2303</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6">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6"/>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6"/>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3"/>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9">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6"/>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6"/>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3"/>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9">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6"/>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6"/>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7"/>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95">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6"/>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6"/>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7"/>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95">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6"/>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6"/>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7"/>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00">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1"/>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1"/>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2"/>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95">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6"/>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6"/>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97"/>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95">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6">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6">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7">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95">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6">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6">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7">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95">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6">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6">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7">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95">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6">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6">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7">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95">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6">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6">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7">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95">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6">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6">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7">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95">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6">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6">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7">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95">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6">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6">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7">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95">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6">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6">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97">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95">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6">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6">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97">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A36" sqref="A36:XFD36"/>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506" t="s">
        <v>2835</v>
      </c>
      <c r="B1" s="3506"/>
      <c r="C1" s="3506"/>
      <c r="D1" s="3506"/>
      <c r="E1" s="3506"/>
      <c r="F1" s="3506"/>
      <c r="G1" s="3507"/>
      <c r="I1" s="2936" t="s">
        <v>2836</v>
      </c>
      <c r="J1" s="2937" t="s">
        <v>2837</v>
      </c>
      <c r="K1" s="2937" t="s">
        <v>2838</v>
      </c>
      <c r="L1" s="2937" t="s">
        <v>2839</v>
      </c>
      <c r="M1" s="2937" t="s">
        <v>2840</v>
      </c>
      <c r="N1" s="2937" t="s">
        <v>2841</v>
      </c>
      <c r="O1" s="2937" t="s">
        <v>2842</v>
      </c>
      <c r="P1" s="2937" t="s">
        <v>2843</v>
      </c>
      <c r="Q1" s="2937" t="s">
        <v>2844</v>
      </c>
      <c r="R1" s="2937" t="s">
        <v>2845</v>
      </c>
      <c r="S1" s="2937" t="s">
        <v>2846</v>
      </c>
      <c r="T1" s="2938" t="s">
        <v>2847</v>
      </c>
    </row>
    <row r="2" spans="1:20" ht="11.4" thickBot="1">
      <c r="A2" s="2939" t="s">
        <v>2848</v>
      </c>
      <c r="B2" s="2939"/>
      <c r="C2" s="2939"/>
      <c r="D2" s="2939"/>
      <c r="E2" s="2939"/>
      <c r="F2" s="2939"/>
      <c r="G2" s="2940" t="s">
        <v>2849</v>
      </c>
      <c r="I2" s="2941" t="s">
        <v>2850</v>
      </c>
      <c r="J2" s="2941" t="s">
        <v>2851</v>
      </c>
      <c r="K2" s="2941" t="s">
        <v>2852</v>
      </c>
      <c r="L2" s="2941" t="s">
        <v>2853</v>
      </c>
      <c r="M2" s="2941" t="s">
        <v>2854</v>
      </c>
      <c r="N2" s="2941" t="s">
        <v>2855</v>
      </c>
      <c r="O2" s="2941" t="s">
        <v>2856</v>
      </c>
      <c r="P2" s="2941" t="s">
        <v>2857</v>
      </c>
      <c r="Q2" s="2941" t="s">
        <v>2858</v>
      </c>
      <c r="R2" s="2941" t="s">
        <v>2859</v>
      </c>
      <c r="S2" s="2941" t="s">
        <v>2860</v>
      </c>
      <c r="T2" s="2941" t="s">
        <v>2861</v>
      </c>
    </row>
    <row r="3" spans="1:20" s="2947" customFormat="1">
      <c r="A3" s="3504" t="s">
        <v>2862</v>
      </c>
      <c r="B3" s="2942"/>
      <c r="C3" s="2943" t="s">
        <v>2807</v>
      </c>
      <c r="D3" s="2943" t="s">
        <v>2863</v>
      </c>
      <c r="E3" s="2943" t="s">
        <v>2809</v>
      </c>
      <c r="F3" s="2943" t="s">
        <v>2864</v>
      </c>
      <c r="G3" s="2943" t="s">
        <v>2627</v>
      </c>
      <c r="H3" s="2944"/>
      <c r="I3" s="2945" t="s">
        <v>2865</v>
      </c>
      <c r="J3" s="2946" t="s">
        <v>128</v>
      </c>
      <c r="K3" s="2946" t="s">
        <v>129</v>
      </c>
      <c r="L3" s="2945" t="s">
        <v>130</v>
      </c>
      <c r="M3" s="2945" t="s">
        <v>131</v>
      </c>
      <c r="N3" s="2945" t="s">
        <v>132</v>
      </c>
      <c r="O3" s="2945" t="s">
        <v>133</v>
      </c>
      <c r="P3" s="2945" t="s">
        <v>134</v>
      </c>
      <c r="Q3" s="2945" t="s">
        <v>135</v>
      </c>
      <c r="R3" s="2945" t="s">
        <v>136</v>
      </c>
      <c r="S3" s="2945" t="s">
        <v>2866</v>
      </c>
      <c r="T3" s="2945" t="s">
        <v>2867</v>
      </c>
    </row>
    <row r="4" spans="1:20" s="2947" customFormat="1" ht="11.4" thickBot="1">
      <c r="A4" s="3505"/>
      <c r="B4" s="2948" t="s">
        <v>2868</v>
      </c>
      <c r="C4" s="2948" t="s">
        <v>2869</v>
      </c>
      <c r="D4" s="2948" t="s">
        <v>2869</v>
      </c>
      <c r="E4" s="2948" t="s">
        <v>2869</v>
      </c>
      <c r="F4" s="2949" t="s">
        <v>2869</v>
      </c>
      <c r="G4" s="2949" t="s">
        <v>2869</v>
      </c>
      <c r="H4" s="2944"/>
      <c r="I4" s="2946" t="s">
        <v>137</v>
      </c>
      <c r="J4" s="2946" t="s">
        <v>111</v>
      </c>
      <c r="K4" s="2946" t="s">
        <v>138</v>
      </c>
      <c r="L4" s="2945" t="s">
        <v>139</v>
      </c>
      <c r="M4" s="2945" t="s">
        <v>140</v>
      </c>
      <c r="N4" s="2945" t="s">
        <v>141</v>
      </c>
      <c r="O4" s="2945" t="s">
        <v>142</v>
      </c>
      <c r="P4" s="2945" t="s">
        <v>143</v>
      </c>
      <c r="Q4" s="2945" t="s">
        <v>2870</v>
      </c>
      <c r="R4" s="2945" t="s">
        <v>2871</v>
      </c>
      <c r="S4" s="2945" t="s">
        <v>2872</v>
      </c>
      <c r="T4" s="2945" t="s">
        <v>2873</v>
      </c>
    </row>
    <row r="5" spans="1:20">
      <c r="A5" s="2950" t="s">
        <v>2836</v>
      </c>
      <c r="B5" s="2941" t="s">
        <v>2850</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2874</v>
      </c>
      <c r="R5" s="2945" t="s">
        <v>2875</v>
      </c>
      <c r="S5" s="2945" t="s">
        <v>153</v>
      </c>
      <c r="T5" s="2945" t="s">
        <v>2876</v>
      </c>
    </row>
    <row r="6" spans="1:20" ht="11.4" thickBot="1">
      <c r="A6" s="2945" t="s">
        <v>144</v>
      </c>
      <c r="B6" s="2945" t="s">
        <v>2865</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2877</v>
      </c>
      <c r="Q6" s="2945" t="s">
        <v>2878</v>
      </c>
      <c r="R6" s="2945" t="s">
        <v>161</v>
      </c>
      <c r="S6" s="2945" t="s">
        <v>2879</v>
      </c>
      <c r="T6" s="2945" t="s">
        <v>2880</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2881</v>
      </c>
      <c r="Q7" s="2945" t="s">
        <v>2882</v>
      </c>
      <c r="R7" s="2945" t="s">
        <v>2883</v>
      </c>
      <c r="S7" s="2945" t="s">
        <v>2884</v>
      </c>
      <c r="T7" s="2945" t="s">
        <v>2885</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2886</v>
      </c>
      <c r="Q8" s="2945" t="s">
        <v>174</v>
      </c>
      <c r="R8" s="2945" t="s">
        <v>2887</v>
      </c>
      <c r="S8" s="2945" t="s">
        <v>2888</v>
      </c>
      <c r="T8" s="2952" t="s">
        <v>2889</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2890</v>
      </c>
      <c r="Q9" s="2945" t="s">
        <v>182</v>
      </c>
      <c r="R9" s="2945" t="s">
        <v>183</v>
      </c>
      <c r="S9" s="2945" t="s">
        <v>200</v>
      </c>
    </row>
    <row r="10" spans="1:20">
      <c r="A10" s="2950" t="s">
        <v>184</v>
      </c>
      <c r="B10" s="2941" t="s">
        <v>2851</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2891</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2892</v>
      </c>
      <c r="P11" s="2945" t="s">
        <v>191</v>
      </c>
      <c r="Q11" s="2945" t="s">
        <v>199</v>
      </c>
      <c r="R11" s="2945" t="s">
        <v>2893</v>
      </c>
      <c r="S11" s="2945" t="s">
        <v>2894</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2895</v>
      </c>
      <c r="P12" s="2945" t="s">
        <v>2896</v>
      </c>
      <c r="Q12" s="2945" t="s">
        <v>2897</v>
      </c>
      <c r="R12" s="2945" t="s">
        <v>2898</v>
      </c>
      <c r="S12" s="2945" t="s">
        <v>2899</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2900</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2901</v>
      </c>
      <c r="K14" s="2946" t="s">
        <v>215</v>
      </c>
      <c r="L14" s="2945" t="s">
        <v>216</v>
      </c>
      <c r="M14" s="2945" t="s">
        <v>217</v>
      </c>
      <c r="N14" s="2945" t="s">
        <v>218</v>
      </c>
      <c r="O14" s="2945" t="s">
        <v>240</v>
      </c>
      <c r="P14" s="2945" t="s">
        <v>213</v>
      </c>
      <c r="Q14" s="2945" t="s">
        <v>2902</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2903</v>
      </c>
      <c r="P15" s="2945" t="s">
        <v>2904</v>
      </c>
      <c r="Q15" s="2945" t="s">
        <v>242</v>
      </c>
      <c r="R15" s="2945" t="s">
        <v>2905</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2906</v>
      </c>
      <c r="P16" s="2945" t="s">
        <v>227</v>
      </c>
      <c r="Q16" s="2945" t="s">
        <v>250</v>
      </c>
      <c r="R16" s="2945" t="s">
        <v>207</v>
      </c>
      <c r="S16" s="2945" t="s">
        <v>2907</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2908</v>
      </c>
      <c r="P17" s="2945" t="s">
        <v>2909</v>
      </c>
      <c r="Q17" s="2945" t="s">
        <v>256</v>
      </c>
      <c r="R17" s="2945" t="s">
        <v>2910</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2911</v>
      </c>
      <c r="P18" s="2945" t="s">
        <v>241</v>
      </c>
      <c r="Q18" s="2945" t="s">
        <v>2912</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2913</v>
      </c>
      <c r="P19" s="2945" t="s">
        <v>249</v>
      </c>
      <c r="Q19" s="2945" t="s">
        <v>2914</v>
      </c>
      <c r="R19" s="2945" t="s">
        <v>265</v>
      </c>
      <c r="S19" s="2945" t="s">
        <v>2915</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2916</v>
      </c>
      <c r="P20" s="2945" t="s">
        <v>2917</v>
      </c>
      <c r="Q20" s="2945" t="s">
        <v>290</v>
      </c>
      <c r="R20" s="2945" t="s">
        <v>2918</v>
      </c>
      <c r="S20" s="2945" t="s">
        <v>277</v>
      </c>
    </row>
    <row r="21" spans="1:19" ht="14.25" customHeight="1" thickBot="1">
      <c r="A21" s="2945" t="s">
        <v>184</v>
      </c>
      <c r="B21" s="2946" t="s">
        <v>208</v>
      </c>
      <c r="C21" s="2945">
        <v>32370</v>
      </c>
      <c r="D21" s="2945">
        <v>26730</v>
      </c>
      <c r="E21" s="2945">
        <v>26640</v>
      </c>
      <c r="F21" s="2945"/>
      <c r="G21" s="2945">
        <v>19440</v>
      </c>
      <c r="J21" s="2952" t="s">
        <v>2919</v>
      </c>
      <c r="K21" s="2946" t="s">
        <v>267</v>
      </c>
      <c r="L21" s="2945" t="s">
        <v>268</v>
      </c>
      <c r="M21" s="2945" t="s">
        <v>269</v>
      </c>
      <c r="N21" s="2945" t="s">
        <v>270</v>
      </c>
      <c r="O21" s="2945" t="s">
        <v>264</v>
      </c>
      <c r="P21" s="2945" t="s">
        <v>283</v>
      </c>
      <c r="Q21" s="2945" t="s">
        <v>293</v>
      </c>
      <c r="R21" s="2945" t="s">
        <v>2920</v>
      </c>
      <c r="S21" s="2952" t="s">
        <v>2921</v>
      </c>
    </row>
    <row r="22" spans="1:19" ht="14.25" customHeight="1">
      <c r="A22" s="2945" t="s">
        <v>184</v>
      </c>
      <c r="B22" s="2946" t="s">
        <v>2901</v>
      </c>
      <c r="C22" s="2945">
        <v>29830</v>
      </c>
      <c r="D22" s="2945">
        <v>27600</v>
      </c>
      <c r="E22" s="2945">
        <v>28150</v>
      </c>
      <c r="F22" s="2945"/>
      <c r="G22" s="2945">
        <v>20080</v>
      </c>
      <c r="K22" s="2946" t="s">
        <v>2922</v>
      </c>
      <c r="L22" s="2945" t="s">
        <v>272</v>
      </c>
      <c r="M22" s="2945" t="s">
        <v>273</v>
      </c>
      <c r="N22" s="2945" t="s">
        <v>274</v>
      </c>
      <c r="O22" s="2945" t="s">
        <v>2923</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2924</v>
      </c>
      <c r="L23" s="2945" t="s">
        <v>278</v>
      </c>
      <c r="M23" s="2945" t="s">
        <v>279</v>
      </c>
      <c r="N23" s="2945" t="s">
        <v>2925</v>
      </c>
      <c r="O23" s="2945" t="s">
        <v>2926</v>
      </c>
      <c r="P23" s="2945" t="s">
        <v>289</v>
      </c>
      <c r="Q23" s="2945" t="s">
        <v>298</v>
      </c>
      <c r="R23" s="2945" t="s">
        <v>2927</v>
      </c>
    </row>
    <row r="24" spans="1:19" ht="14.25" customHeight="1">
      <c r="A24" s="2945" t="s">
        <v>184</v>
      </c>
      <c r="B24" s="2946" t="s">
        <v>230</v>
      </c>
      <c r="C24" s="2945">
        <v>27930</v>
      </c>
      <c r="D24" s="2945">
        <v>32260</v>
      </c>
      <c r="E24" s="2945">
        <v>32120</v>
      </c>
      <c r="F24" s="2945"/>
      <c r="G24" s="2945">
        <v>23470</v>
      </c>
      <c r="K24" s="2946" t="s">
        <v>2928</v>
      </c>
      <c r="L24" s="2945" t="s">
        <v>281</v>
      </c>
      <c r="M24" s="2945" t="s">
        <v>282</v>
      </c>
      <c r="N24" s="2945" t="s">
        <v>2929</v>
      </c>
      <c r="O24" s="2945" t="s">
        <v>285</v>
      </c>
      <c r="P24" s="2945" t="s">
        <v>2930</v>
      </c>
      <c r="Q24" s="2954" t="s">
        <v>2931</v>
      </c>
      <c r="R24" s="2945" t="s">
        <v>2932</v>
      </c>
    </row>
    <row r="25" spans="1:19" ht="14.25" customHeight="1">
      <c r="A25" s="2945" t="s">
        <v>184</v>
      </c>
      <c r="B25" s="2946" t="s">
        <v>235</v>
      </c>
      <c r="C25" s="2945">
        <v>32230</v>
      </c>
      <c r="D25" s="2945">
        <v>29640</v>
      </c>
      <c r="E25" s="2945">
        <v>29510</v>
      </c>
      <c r="F25" s="2945"/>
      <c r="G25" s="2945">
        <v>21560</v>
      </c>
      <c r="K25" s="2946" t="s">
        <v>2933</v>
      </c>
      <c r="L25" s="2945" t="s">
        <v>2934</v>
      </c>
      <c r="M25" s="2945" t="s">
        <v>284</v>
      </c>
      <c r="N25" s="2945" t="s">
        <v>292</v>
      </c>
      <c r="O25" s="2945" t="s">
        <v>288</v>
      </c>
      <c r="P25" s="2945" t="s">
        <v>275</v>
      </c>
      <c r="Q25" s="2954" t="s">
        <v>271</v>
      </c>
      <c r="R25" s="2945" t="s">
        <v>2935</v>
      </c>
    </row>
    <row r="26" spans="1:19" ht="14.25" customHeight="1" thickBot="1">
      <c r="A26" s="2945" t="s">
        <v>184</v>
      </c>
      <c r="B26" s="2946" t="s">
        <v>244</v>
      </c>
      <c r="C26" s="2945">
        <v>31690</v>
      </c>
      <c r="D26" s="2945">
        <v>27650</v>
      </c>
      <c r="E26" s="2945">
        <v>28200</v>
      </c>
      <c r="F26" s="2945"/>
      <c r="G26" s="2945">
        <v>20110</v>
      </c>
      <c r="K26" s="2951" t="s">
        <v>2936</v>
      </c>
      <c r="L26" s="2945" t="s">
        <v>2937</v>
      </c>
      <c r="M26" s="2945" t="s">
        <v>287</v>
      </c>
      <c r="N26" s="2945" t="s">
        <v>294</v>
      </c>
      <c r="O26" s="2945" t="s">
        <v>2938</v>
      </c>
      <c r="P26" s="2945" t="s">
        <v>2939</v>
      </c>
      <c r="Q26" s="2954" t="s">
        <v>276</v>
      </c>
      <c r="R26" s="2945" t="s">
        <v>2940</v>
      </c>
    </row>
    <row r="27" spans="1:19" ht="14.25" customHeight="1">
      <c r="A27" s="2945" t="s">
        <v>184</v>
      </c>
      <c r="B27" s="2946" t="s">
        <v>251</v>
      </c>
      <c r="C27" s="2945">
        <v>29610</v>
      </c>
      <c r="D27" s="2945">
        <v>27770</v>
      </c>
      <c r="E27" s="2945">
        <v>28300</v>
      </c>
      <c r="F27" s="2945"/>
      <c r="G27" s="2945">
        <v>20210</v>
      </c>
      <c r="L27" s="2945" t="s">
        <v>2941</v>
      </c>
      <c r="M27" s="2945" t="s">
        <v>291</v>
      </c>
      <c r="N27" s="2945" t="s">
        <v>297</v>
      </c>
      <c r="O27" s="2945" t="s">
        <v>2942</v>
      </c>
      <c r="P27" s="2945" t="s">
        <v>2943</v>
      </c>
      <c r="Q27" s="2945" t="s">
        <v>2944</v>
      </c>
      <c r="R27" s="2945" t="s">
        <v>2945</v>
      </c>
    </row>
    <row r="28" spans="1:19" ht="14.25" customHeight="1">
      <c r="A28" s="2945" t="s">
        <v>184</v>
      </c>
      <c r="B28" s="2946" t="s">
        <v>259</v>
      </c>
      <c r="C28" s="2945"/>
      <c r="D28" s="2945">
        <v>31520</v>
      </c>
      <c r="E28" s="2945">
        <v>31410</v>
      </c>
      <c r="F28" s="2945"/>
      <c r="G28" s="2945">
        <v>22940</v>
      </c>
      <c r="L28" s="2945" t="s">
        <v>2946</v>
      </c>
      <c r="M28" s="2945" t="s">
        <v>2947</v>
      </c>
      <c r="N28" s="2945" t="s">
        <v>2948</v>
      </c>
      <c r="O28" s="2945" t="s">
        <v>2949</v>
      </c>
      <c r="P28" s="2945" t="s">
        <v>2950</v>
      </c>
      <c r="Q28" s="2945" t="s">
        <v>2951</v>
      </c>
      <c r="R28" s="2945" t="s">
        <v>2952</v>
      </c>
    </row>
    <row r="29" spans="1:19" ht="14.25" customHeight="1" thickBot="1">
      <c r="A29" s="2953" t="s">
        <v>184</v>
      </c>
      <c r="B29" s="2955" t="s">
        <v>2919</v>
      </c>
      <c r="C29" s="2956"/>
      <c r="D29" s="2956">
        <v>29460</v>
      </c>
      <c r="E29" s="2956">
        <v>28640</v>
      </c>
      <c r="F29" s="2956"/>
      <c r="G29" s="2956">
        <v>21430</v>
      </c>
      <c r="L29" s="2945" t="s">
        <v>2953</v>
      </c>
      <c r="M29" s="2945" t="s">
        <v>2954</v>
      </c>
      <c r="N29" s="2945" t="s">
        <v>2955</v>
      </c>
      <c r="O29" s="2945" t="s">
        <v>2956</v>
      </c>
      <c r="P29" s="2945" t="s">
        <v>2957</v>
      </c>
      <c r="Q29" s="2945" t="s">
        <v>2958</v>
      </c>
      <c r="R29" s="2945" t="s">
        <v>280</v>
      </c>
    </row>
    <row r="30" spans="1:19" ht="14.25" customHeight="1">
      <c r="A30" s="2950" t="s">
        <v>296</v>
      </c>
      <c r="B30" s="2941" t="s">
        <v>2852</v>
      </c>
      <c r="C30" s="2941">
        <v>26890</v>
      </c>
      <c r="D30" s="2941">
        <v>26770</v>
      </c>
      <c r="E30" s="2941">
        <v>25700</v>
      </c>
      <c r="F30" s="2941">
        <v>8180</v>
      </c>
      <c r="G30" s="2957">
        <v>18740</v>
      </c>
      <c r="L30" s="2945" t="s">
        <v>2959</v>
      </c>
      <c r="M30" s="2945" t="s">
        <v>2960</v>
      </c>
      <c r="N30" s="2945" t="s">
        <v>2961</v>
      </c>
      <c r="O30" s="2945" t="s">
        <v>2962</v>
      </c>
      <c r="P30" s="2945" t="s">
        <v>2963</v>
      </c>
      <c r="Q30" s="2945" t="s">
        <v>2964</v>
      </c>
      <c r="R30" s="2945" t="s">
        <v>2965</v>
      </c>
    </row>
    <row r="31" spans="1:19" ht="14.25" customHeight="1">
      <c r="A31" s="2945" t="s">
        <v>296</v>
      </c>
      <c r="B31" s="2946" t="s">
        <v>129</v>
      </c>
      <c r="C31" s="2945">
        <v>24550</v>
      </c>
      <c r="D31" s="2945">
        <v>23990</v>
      </c>
      <c r="E31" s="2945">
        <v>22930</v>
      </c>
      <c r="F31" s="2945">
        <v>7470</v>
      </c>
      <c r="G31" s="2958">
        <v>16790</v>
      </c>
      <c r="L31" s="2945" t="s">
        <v>2966</v>
      </c>
      <c r="M31" s="2945" t="s">
        <v>2967</v>
      </c>
      <c r="N31" s="2945" t="s">
        <v>2968</v>
      </c>
      <c r="O31" s="2945" t="s">
        <v>2969</v>
      </c>
      <c r="P31" s="2945" t="s">
        <v>2970</v>
      </c>
      <c r="Q31" s="2945" t="s">
        <v>2971</v>
      </c>
      <c r="R31" s="2945" t="s">
        <v>2972</v>
      </c>
    </row>
    <row r="32" spans="1:19" ht="14.25" customHeight="1" thickBot="1">
      <c r="A32" s="2945" t="s">
        <v>296</v>
      </c>
      <c r="B32" s="2946" t="s">
        <v>138</v>
      </c>
      <c r="C32" s="2945">
        <v>27210</v>
      </c>
      <c r="D32" s="2945">
        <v>23240</v>
      </c>
      <c r="E32" s="2945">
        <v>23260</v>
      </c>
      <c r="F32" s="2945">
        <v>7130</v>
      </c>
      <c r="G32" s="2958">
        <v>16270</v>
      </c>
      <c r="L32" s="2945" t="s">
        <v>2973</v>
      </c>
      <c r="M32" s="2945" t="s">
        <v>2974</v>
      </c>
      <c r="N32" s="2945" t="s">
        <v>300</v>
      </c>
      <c r="O32" s="2945" t="s">
        <v>2975</v>
      </c>
      <c r="P32" s="2945" t="s">
        <v>299</v>
      </c>
      <c r="Q32" s="2945" t="s">
        <v>2976</v>
      </c>
      <c r="R32" s="2952" t="s">
        <v>2977</v>
      </c>
    </row>
    <row r="33" spans="1:17" ht="14.25" customHeight="1" thickBot="1">
      <c r="A33" s="2945" t="s">
        <v>296</v>
      </c>
      <c r="B33" s="2946" t="s">
        <v>147</v>
      </c>
      <c r="C33" s="2945">
        <v>27300</v>
      </c>
      <c r="D33" s="2945">
        <v>22980</v>
      </c>
      <c r="E33" s="2945">
        <v>24260</v>
      </c>
      <c r="F33" s="2945">
        <v>5860</v>
      </c>
      <c r="G33" s="2958">
        <v>16090</v>
      </c>
      <c r="L33" s="2952" t="s">
        <v>2978</v>
      </c>
      <c r="M33" s="2945" t="s">
        <v>2979</v>
      </c>
      <c r="N33" s="2945" t="s">
        <v>301</v>
      </c>
      <c r="O33" s="2945" t="s">
        <v>2980</v>
      </c>
      <c r="P33" s="2945" t="s">
        <v>2981</v>
      </c>
      <c r="Q33" s="2945" t="s">
        <v>2982</v>
      </c>
    </row>
    <row r="34" spans="1:17" ht="14.25" customHeight="1">
      <c r="A34" s="2945" t="s">
        <v>296</v>
      </c>
      <c r="B34" s="2946" t="s">
        <v>156</v>
      </c>
      <c r="C34" s="2945">
        <v>23090</v>
      </c>
      <c r="D34" s="2945">
        <v>23390</v>
      </c>
      <c r="E34" s="2945">
        <v>23510</v>
      </c>
      <c r="F34" s="2945">
        <v>6700</v>
      </c>
      <c r="G34" s="2958">
        <v>16370</v>
      </c>
      <c r="M34" s="2945" t="s">
        <v>2983</v>
      </c>
      <c r="N34" s="2945" t="s">
        <v>302</v>
      </c>
      <c r="O34" s="2945" t="s">
        <v>2984</v>
      </c>
      <c r="P34" s="2945" t="s">
        <v>2985</v>
      </c>
      <c r="Q34" s="2945" t="s">
        <v>2986</v>
      </c>
    </row>
    <row r="35" spans="1:17" ht="14.25" customHeight="1">
      <c r="A35" s="2945" t="s">
        <v>296</v>
      </c>
      <c r="B35" s="2946" t="s">
        <v>163</v>
      </c>
      <c r="C35" s="2945">
        <v>27270</v>
      </c>
      <c r="D35" s="2945">
        <v>24270</v>
      </c>
      <c r="E35" s="2945">
        <v>24950</v>
      </c>
      <c r="F35" s="2945">
        <v>6600</v>
      </c>
      <c r="G35" s="2958">
        <v>16990</v>
      </c>
      <c r="M35" s="2945" t="s">
        <v>2987</v>
      </c>
      <c r="N35" s="2945" t="s">
        <v>2988</v>
      </c>
      <c r="O35" s="2945" t="s">
        <v>2989</v>
      </c>
      <c r="P35" s="2945" t="s">
        <v>2990</v>
      </c>
      <c r="Q35" s="2945" t="s">
        <v>2991</v>
      </c>
    </row>
    <row r="36" spans="1:17" ht="14.25" customHeight="1">
      <c r="A36" s="2945" t="s">
        <v>296</v>
      </c>
      <c r="B36" s="2946" t="s">
        <v>169</v>
      </c>
      <c r="C36" s="2945">
        <v>23490</v>
      </c>
      <c r="D36" s="2945">
        <v>23020</v>
      </c>
      <c r="E36" s="2945">
        <v>25230</v>
      </c>
      <c r="F36" s="2945">
        <v>6780</v>
      </c>
      <c r="G36" s="2958">
        <v>16120</v>
      </c>
      <c r="M36" s="2945" t="s">
        <v>2992</v>
      </c>
      <c r="N36" s="2945" t="s">
        <v>2993</v>
      </c>
      <c r="O36" s="2945" t="s">
        <v>2994</v>
      </c>
      <c r="P36" s="2945" t="s">
        <v>2995</v>
      </c>
      <c r="Q36" s="2945" t="s">
        <v>2996</v>
      </c>
    </row>
    <row r="37" spans="1:17" ht="14.25" customHeight="1">
      <c r="A37" s="2945" t="s">
        <v>296</v>
      </c>
      <c r="B37" s="2946" t="s">
        <v>176</v>
      </c>
      <c r="C37" s="2945">
        <v>24380</v>
      </c>
      <c r="D37" s="2945">
        <v>22240</v>
      </c>
      <c r="E37" s="2945">
        <v>25980</v>
      </c>
      <c r="F37" s="2945">
        <v>8160</v>
      </c>
      <c r="G37" s="2958">
        <v>15570</v>
      </c>
      <c r="M37" s="2945" t="s">
        <v>2997</v>
      </c>
      <c r="N37" s="2945" t="s">
        <v>2998</v>
      </c>
      <c r="O37" s="2945" t="s">
        <v>2999</v>
      </c>
      <c r="P37" s="2945" t="s">
        <v>3000</v>
      </c>
      <c r="Q37" s="2945" t="s">
        <v>3001</v>
      </c>
    </row>
    <row r="38" spans="1:17" ht="14.25" customHeight="1">
      <c r="A38" s="2945" t="s">
        <v>296</v>
      </c>
      <c r="B38" s="2946" t="s">
        <v>186</v>
      </c>
      <c r="C38" s="2945">
        <v>23120</v>
      </c>
      <c r="D38" s="2945">
        <v>24630</v>
      </c>
      <c r="E38" s="2945">
        <v>25030</v>
      </c>
      <c r="F38" s="2945">
        <v>7710</v>
      </c>
      <c r="G38" s="2958">
        <v>17240</v>
      </c>
      <c r="M38" s="2945" t="s">
        <v>3002</v>
      </c>
      <c r="N38" s="2945" t="s">
        <v>3003</v>
      </c>
      <c r="O38" s="2945" t="s">
        <v>3004</v>
      </c>
      <c r="P38" s="2945" t="s">
        <v>3005</v>
      </c>
      <c r="Q38" s="2945" t="s">
        <v>3006</v>
      </c>
    </row>
    <row r="39" spans="1:17" ht="14.25" customHeight="1">
      <c r="A39" s="2945" t="s">
        <v>296</v>
      </c>
      <c r="B39" s="2946" t="s">
        <v>195</v>
      </c>
      <c r="C39" s="2945">
        <v>22330</v>
      </c>
      <c r="D39" s="2945">
        <v>21140</v>
      </c>
      <c r="E39" s="2945">
        <v>23970</v>
      </c>
      <c r="F39" s="2945">
        <v>7940</v>
      </c>
      <c r="G39" s="2958">
        <v>14790</v>
      </c>
      <c r="M39" s="2945" t="s">
        <v>3007</v>
      </c>
      <c r="N39" s="2945" t="s">
        <v>3008</v>
      </c>
      <c r="O39" s="2945" t="s">
        <v>3009</v>
      </c>
      <c r="P39" s="2945" t="s">
        <v>3010</v>
      </c>
      <c r="Q39" s="2945" t="s">
        <v>3011</v>
      </c>
    </row>
    <row r="40" spans="1:17" ht="14.25" customHeight="1">
      <c r="A40" s="2945" t="s">
        <v>296</v>
      </c>
      <c r="B40" s="2946" t="s">
        <v>202</v>
      </c>
      <c r="C40" s="2945">
        <v>24740</v>
      </c>
      <c r="D40" s="2945">
        <v>24690</v>
      </c>
      <c r="E40" s="2945">
        <v>22610</v>
      </c>
      <c r="F40" s="2945"/>
      <c r="G40" s="2958">
        <v>17280</v>
      </c>
      <c r="M40" s="2945" t="s">
        <v>3012</v>
      </c>
      <c r="N40" s="2945" t="s">
        <v>3013</v>
      </c>
      <c r="O40" s="2945" t="s">
        <v>3014</v>
      </c>
      <c r="P40" s="2945" t="s">
        <v>3015</v>
      </c>
      <c r="Q40" s="2945" t="s">
        <v>3016</v>
      </c>
    </row>
    <row r="41" spans="1:17" ht="14.25" customHeight="1" thickBot="1">
      <c r="A41" s="2945" t="s">
        <v>296</v>
      </c>
      <c r="B41" s="2946" t="s">
        <v>209</v>
      </c>
      <c r="C41" s="2945">
        <v>21220</v>
      </c>
      <c r="D41" s="2945">
        <v>21120</v>
      </c>
      <c r="E41" s="2945">
        <v>22590</v>
      </c>
      <c r="F41" s="2945"/>
      <c r="G41" s="2958">
        <v>14780</v>
      </c>
      <c r="M41" s="2952" t="s">
        <v>3017</v>
      </c>
      <c r="N41" s="2945" t="s">
        <v>3018</v>
      </c>
      <c r="O41" s="2945" t="s">
        <v>3019</v>
      </c>
      <c r="P41" s="2945" t="s">
        <v>3020</v>
      </c>
      <c r="Q41" s="2945" t="s">
        <v>3021</v>
      </c>
    </row>
    <row r="42" spans="1:17" ht="14.25" customHeight="1">
      <c r="A42" s="2945" t="s">
        <v>296</v>
      </c>
      <c r="B42" s="2946" t="s">
        <v>215</v>
      </c>
      <c r="C42" s="2945">
        <v>24800</v>
      </c>
      <c r="D42" s="2945">
        <v>22280</v>
      </c>
      <c r="E42" s="2945">
        <v>24350</v>
      </c>
      <c r="F42" s="2945"/>
      <c r="G42" s="2958">
        <v>15590</v>
      </c>
      <c r="N42" s="2945" t="s">
        <v>3022</v>
      </c>
      <c r="O42" s="2945" t="s">
        <v>3023</v>
      </c>
      <c r="P42" s="2945" t="s">
        <v>3024</v>
      </c>
      <c r="Q42" s="2945" t="s">
        <v>3025</v>
      </c>
    </row>
    <row r="43" spans="1:17" ht="14.25" customHeight="1">
      <c r="A43" s="2945" t="s">
        <v>3026</v>
      </c>
      <c r="B43" s="2946" t="s">
        <v>223</v>
      </c>
      <c r="C43" s="2945">
        <v>21210</v>
      </c>
      <c r="D43" s="2945">
        <v>21160</v>
      </c>
      <c r="E43" s="2945">
        <v>22650</v>
      </c>
      <c r="F43" s="2945"/>
      <c r="G43" s="2958">
        <v>14800</v>
      </c>
      <c r="N43" s="2945" t="s">
        <v>3027</v>
      </c>
      <c r="O43" s="2945" t="s">
        <v>3028</v>
      </c>
      <c r="P43" s="2945" t="s">
        <v>3029</v>
      </c>
      <c r="Q43" s="2945" t="s">
        <v>3030</v>
      </c>
    </row>
    <row r="44" spans="1:17" ht="14.25" customHeight="1" thickBot="1">
      <c r="A44" s="2945" t="s">
        <v>296</v>
      </c>
      <c r="B44" s="2946" t="s">
        <v>231</v>
      </c>
      <c r="C44" s="2945">
        <v>22370</v>
      </c>
      <c r="D44" s="2945">
        <v>23140</v>
      </c>
      <c r="E44" s="2945">
        <v>25090</v>
      </c>
      <c r="F44" s="2945"/>
      <c r="G44" s="2958">
        <v>16190</v>
      </c>
      <c r="N44" s="2945" t="s">
        <v>3031</v>
      </c>
      <c r="O44" s="2945" t="s">
        <v>3032</v>
      </c>
      <c r="P44" s="2952" t="s">
        <v>3033</v>
      </c>
      <c r="Q44" s="2945" t="s">
        <v>3034</v>
      </c>
    </row>
    <row r="45" spans="1:17" ht="14.25" customHeight="1" thickBot="1">
      <c r="A45" s="2945" t="s">
        <v>296</v>
      </c>
      <c r="B45" s="2946" t="s">
        <v>236</v>
      </c>
      <c r="C45" s="2945">
        <v>21240</v>
      </c>
      <c r="D45" s="2945">
        <v>27050</v>
      </c>
      <c r="E45" s="2945">
        <v>28000</v>
      </c>
      <c r="F45" s="2945"/>
      <c r="G45" s="2958">
        <v>18940</v>
      </c>
      <c r="N45" s="2945" t="s">
        <v>3035</v>
      </c>
      <c r="O45" s="2952" t="s">
        <v>3036</v>
      </c>
      <c r="Q45" s="2945" t="s">
        <v>3037</v>
      </c>
    </row>
    <row r="46" spans="1:17" ht="14.25" customHeight="1">
      <c r="A46" s="2945" t="s">
        <v>296</v>
      </c>
      <c r="B46" s="2946" t="s">
        <v>245</v>
      </c>
      <c r="C46" s="2945">
        <v>23240</v>
      </c>
      <c r="D46" s="2945">
        <v>23000</v>
      </c>
      <c r="E46" s="2945">
        <v>24980</v>
      </c>
      <c r="F46" s="2945"/>
      <c r="G46" s="2958">
        <v>16100</v>
      </c>
      <c r="N46" s="2945" t="s">
        <v>3038</v>
      </c>
      <c r="Q46" s="2945" t="s">
        <v>3039</v>
      </c>
    </row>
    <row r="47" spans="1:17" ht="14.25" customHeight="1">
      <c r="A47" s="2945" t="s">
        <v>296</v>
      </c>
      <c r="B47" s="2946" t="s">
        <v>252</v>
      </c>
      <c r="C47" s="2945">
        <v>27150</v>
      </c>
      <c r="D47" s="2945">
        <v>23310</v>
      </c>
      <c r="E47" s="2945">
        <v>25150</v>
      </c>
      <c r="F47" s="2945"/>
      <c r="G47" s="2958">
        <v>16310</v>
      </c>
      <c r="N47" s="2945" t="s">
        <v>3040</v>
      </c>
      <c r="Q47" s="2945" t="s">
        <v>3041</v>
      </c>
    </row>
    <row r="48" spans="1:17" ht="14.25" customHeight="1">
      <c r="A48" s="2945" t="s">
        <v>296</v>
      </c>
      <c r="B48" s="2946" t="s">
        <v>260</v>
      </c>
      <c r="C48" s="2945">
        <v>23100</v>
      </c>
      <c r="D48" s="2945">
        <v>21110</v>
      </c>
      <c r="E48" s="2945">
        <v>23080</v>
      </c>
      <c r="F48" s="2945"/>
      <c r="G48" s="2958">
        <v>14780</v>
      </c>
      <c r="N48" s="2945" t="s">
        <v>3042</v>
      </c>
      <c r="Q48" s="2945" t="s">
        <v>3043</v>
      </c>
    </row>
    <row r="49" spans="1:17" ht="14.25" customHeight="1">
      <c r="A49" s="2945" t="s">
        <v>296</v>
      </c>
      <c r="B49" s="2946" t="s">
        <v>267</v>
      </c>
      <c r="C49" s="2945">
        <v>23400</v>
      </c>
      <c r="D49" s="2945">
        <v>22920</v>
      </c>
      <c r="E49" s="2945">
        <v>24900</v>
      </c>
      <c r="F49" s="2945"/>
      <c r="G49" s="2958">
        <v>16040</v>
      </c>
      <c r="N49" s="2945" t="s">
        <v>3044</v>
      </c>
      <c r="Q49" s="2945" t="s">
        <v>3045</v>
      </c>
    </row>
    <row r="50" spans="1:17" ht="14.25" customHeight="1">
      <c r="A50" s="2945" t="s">
        <v>296</v>
      </c>
      <c r="B50" s="2946" t="s">
        <v>2922</v>
      </c>
      <c r="C50" s="2945">
        <v>21200</v>
      </c>
      <c r="D50" s="2945">
        <v>26540</v>
      </c>
      <c r="E50" s="2945">
        <v>23200</v>
      </c>
      <c r="F50" s="2945"/>
      <c r="G50" s="2958">
        <v>18580</v>
      </c>
      <c r="N50" s="2945" t="s">
        <v>3046</v>
      </c>
      <c r="Q50" s="2946" t="s">
        <v>3047</v>
      </c>
    </row>
    <row r="51" spans="1:17" ht="14.25" customHeight="1" thickBot="1">
      <c r="A51" s="2945" t="s">
        <v>296</v>
      </c>
      <c r="B51" s="2946" t="s">
        <v>2924</v>
      </c>
      <c r="C51" s="2945">
        <v>23000</v>
      </c>
      <c r="D51" s="2945">
        <v>23460</v>
      </c>
      <c r="E51" s="2945">
        <v>25290</v>
      </c>
      <c r="F51" s="2945"/>
      <c r="G51" s="2958">
        <v>16420</v>
      </c>
      <c r="N51" s="2945" t="s">
        <v>3048</v>
      </c>
      <c r="Q51" s="2952" t="s">
        <v>3049</v>
      </c>
    </row>
    <row r="52" spans="1:17" ht="14.25" customHeight="1">
      <c r="A52" s="2945" t="s">
        <v>296</v>
      </c>
      <c r="B52" s="2946" t="s">
        <v>2928</v>
      </c>
      <c r="C52" s="2945">
        <v>26660</v>
      </c>
      <c r="D52" s="2945">
        <v>22350</v>
      </c>
      <c r="E52" s="2945">
        <v>22920</v>
      </c>
      <c r="F52" s="2945"/>
      <c r="G52" s="2958">
        <v>15640</v>
      </c>
      <c r="N52" s="2945" t="s">
        <v>3050</v>
      </c>
    </row>
    <row r="53" spans="1:17" ht="14.25" customHeight="1">
      <c r="A53" s="2945" t="s">
        <v>296</v>
      </c>
      <c r="B53" s="2946" t="s">
        <v>2933</v>
      </c>
      <c r="C53" s="2945">
        <v>23580</v>
      </c>
      <c r="D53" s="2945"/>
      <c r="E53" s="2945">
        <v>24280</v>
      </c>
      <c r="F53" s="2945"/>
      <c r="G53" s="2958"/>
      <c r="N53" s="2945" t="s">
        <v>3051</v>
      </c>
    </row>
    <row r="54" spans="1:17" ht="14.25" customHeight="1" thickBot="1">
      <c r="A54" s="2959" t="s">
        <v>296</v>
      </c>
      <c r="B54" s="2951" t="s">
        <v>2936</v>
      </c>
      <c r="C54" s="2952">
        <v>22460</v>
      </c>
      <c r="D54" s="2952"/>
      <c r="E54" s="2952"/>
      <c r="F54" s="2952"/>
      <c r="G54" s="2960"/>
      <c r="N54" s="2945" t="s">
        <v>3052</v>
      </c>
    </row>
    <row r="55" spans="1:17" ht="14.25" customHeight="1">
      <c r="A55" s="2950" t="s">
        <v>110</v>
      </c>
      <c r="B55" s="2941" t="s">
        <v>3053</v>
      </c>
      <c r="C55" s="2945">
        <v>21970</v>
      </c>
      <c r="D55" s="2945">
        <v>20370</v>
      </c>
      <c r="E55" s="2945">
        <v>20180</v>
      </c>
      <c r="F55" s="2945">
        <v>5730</v>
      </c>
      <c r="G55" s="2945">
        <v>13820</v>
      </c>
      <c r="N55" s="2945" t="s">
        <v>3054</v>
      </c>
    </row>
    <row r="56" spans="1:17" ht="14.25" customHeight="1">
      <c r="A56" s="2945" t="s">
        <v>110</v>
      </c>
      <c r="B56" s="2945" t="s">
        <v>130</v>
      </c>
      <c r="C56" s="2945">
        <v>20470</v>
      </c>
      <c r="D56" s="2945">
        <v>20700</v>
      </c>
      <c r="E56" s="2945">
        <v>20380</v>
      </c>
      <c r="F56" s="2945">
        <v>4760</v>
      </c>
      <c r="G56" s="2945">
        <v>14050</v>
      </c>
      <c r="N56" s="2945" t="s">
        <v>3055</v>
      </c>
    </row>
    <row r="57" spans="1:17" ht="14.25" customHeight="1">
      <c r="A57" s="2945" t="s">
        <v>110</v>
      </c>
      <c r="B57" s="2945" t="s">
        <v>139</v>
      </c>
      <c r="C57" s="2945">
        <v>20790</v>
      </c>
      <c r="D57" s="2945">
        <v>21370</v>
      </c>
      <c r="E57" s="2945">
        <v>20890</v>
      </c>
      <c r="F57" s="2945">
        <v>4910</v>
      </c>
      <c r="G57" s="2945">
        <v>14510</v>
      </c>
      <c r="N57" s="2945" t="s">
        <v>3056</v>
      </c>
    </row>
    <row r="58" spans="1:17" ht="14.25" customHeight="1">
      <c r="A58" s="2945" t="s">
        <v>110</v>
      </c>
      <c r="B58" s="2945" t="s">
        <v>148</v>
      </c>
      <c r="C58" s="2945">
        <v>21460</v>
      </c>
      <c r="D58" s="2945">
        <v>20920</v>
      </c>
      <c r="E58" s="2945">
        <v>23410</v>
      </c>
      <c r="F58" s="2945">
        <v>5100</v>
      </c>
      <c r="G58" s="2945">
        <v>14200</v>
      </c>
      <c r="N58" s="2945" t="s">
        <v>3057</v>
      </c>
    </row>
    <row r="59" spans="1:17" ht="14.25" customHeight="1">
      <c r="A59" s="2945" t="s">
        <v>110</v>
      </c>
      <c r="B59" s="2945" t="s">
        <v>157</v>
      </c>
      <c r="C59" s="2945">
        <v>21000</v>
      </c>
      <c r="D59" s="2945">
        <v>21550</v>
      </c>
      <c r="E59" s="2945">
        <v>21150</v>
      </c>
      <c r="F59" s="2945">
        <v>5250</v>
      </c>
      <c r="G59" s="2945">
        <v>14630</v>
      </c>
      <c r="N59" s="2945" t="s">
        <v>3058</v>
      </c>
    </row>
    <row r="60" spans="1:17" ht="14.25" customHeight="1">
      <c r="A60" s="2945" t="s">
        <v>110</v>
      </c>
      <c r="B60" s="2945" t="s">
        <v>164</v>
      </c>
      <c r="C60" s="2945">
        <v>21640</v>
      </c>
      <c r="D60" s="2945">
        <v>21260</v>
      </c>
      <c r="E60" s="2945">
        <v>24040</v>
      </c>
      <c r="F60" s="2945">
        <v>4470</v>
      </c>
      <c r="G60" s="2945">
        <v>14430</v>
      </c>
      <c r="N60" s="2945" t="s">
        <v>3059</v>
      </c>
    </row>
    <row r="61" spans="1:17" ht="14.25" customHeight="1">
      <c r="A61" s="2945" t="s">
        <v>110</v>
      </c>
      <c r="B61" s="2945" t="s">
        <v>170</v>
      </c>
      <c r="C61" s="2945">
        <v>21330</v>
      </c>
      <c r="D61" s="2945">
        <v>18640</v>
      </c>
      <c r="E61" s="2945">
        <v>21190</v>
      </c>
      <c r="F61" s="2945">
        <v>4180</v>
      </c>
      <c r="G61" s="2945">
        <v>12650</v>
      </c>
      <c r="N61" s="2945" t="s">
        <v>3060</v>
      </c>
    </row>
    <row r="62" spans="1:17" ht="14.25" customHeight="1">
      <c r="A62" s="2945" t="s">
        <v>110</v>
      </c>
      <c r="B62" s="2945" t="s">
        <v>177</v>
      </c>
      <c r="C62" s="2945">
        <v>18710</v>
      </c>
      <c r="D62" s="2945">
        <v>19400</v>
      </c>
      <c r="E62" s="2945">
        <v>23750</v>
      </c>
      <c r="F62" s="2945">
        <v>4860</v>
      </c>
      <c r="G62" s="2945">
        <v>13170</v>
      </c>
      <c r="N62" s="2945" t="s">
        <v>3061</v>
      </c>
    </row>
    <row r="63" spans="1:17" ht="14.25" customHeight="1">
      <c r="A63" s="2945" t="s">
        <v>110</v>
      </c>
      <c r="B63" s="2945" t="s">
        <v>187</v>
      </c>
      <c r="C63" s="2945">
        <v>19480</v>
      </c>
      <c r="D63" s="2945">
        <v>16830</v>
      </c>
      <c r="E63" s="2945">
        <v>21590</v>
      </c>
      <c r="F63" s="2945">
        <v>4560</v>
      </c>
      <c r="G63" s="2945">
        <v>11420</v>
      </c>
      <c r="N63" s="2945" t="s">
        <v>3062</v>
      </c>
    </row>
    <row r="64" spans="1:17" ht="14.25" customHeight="1" thickBot="1">
      <c r="A64" s="2945" t="s">
        <v>110</v>
      </c>
      <c r="B64" s="2945" t="s">
        <v>196</v>
      </c>
      <c r="C64" s="2945">
        <v>16920</v>
      </c>
      <c r="D64" s="2945">
        <v>19190</v>
      </c>
      <c r="E64" s="2945">
        <v>22200</v>
      </c>
      <c r="F64" s="2945">
        <v>4390</v>
      </c>
      <c r="G64" s="2945">
        <v>13030</v>
      </c>
      <c r="N64" s="2952" t="s">
        <v>3063</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2934</v>
      </c>
      <c r="C78" s="2945">
        <v>19820</v>
      </c>
      <c r="D78" s="2945">
        <v>19780</v>
      </c>
      <c r="E78" s="2945">
        <v>18560</v>
      </c>
      <c r="F78" s="2945"/>
      <c r="G78" s="2945">
        <v>13430</v>
      </c>
    </row>
    <row r="79" spans="1:7" s="2779" customFormat="1" ht="14.25" customHeight="1">
      <c r="A79" s="2945" t="s">
        <v>110</v>
      </c>
      <c r="B79" s="2945" t="s">
        <v>2937</v>
      </c>
      <c r="C79" s="2945">
        <v>21660</v>
      </c>
      <c r="D79" s="2945">
        <v>18000</v>
      </c>
      <c r="E79" s="2945">
        <v>22570</v>
      </c>
      <c r="F79" s="2945"/>
      <c r="G79" s="2945">
        <v>12220</v>
      </c>
    </row>
    <row r="80" spans="1:7" s="2779" customFormat="1" ht="14.25" customHeight="1">
      <c r="A80" s="2945" t="s">
        <v>110</v>
      </c>
      <c r="B80" s="2945" t="s">
        <v>2941</v>
      </c>
      <c r="C80" s="2945">
        <v>19850</v>
      </c>
      <c r="D80" s="2945"/>
      <c r="E80" s="2945">
        <v>21700</v>
      </c>
      <c r="F80" s="2945"/>
      <c r="G80" s="2945"/>
    </row>
    <row r="81" spans="1:7" s="2779" customFormat="1" ht="14.25" customHeight="1">
      <c r="A81" s="2945" t="s">
        <v>110</v>
      </c>
      <c r="B81" s="2945" t="s">
        <v>2946</v>
      </c>
      <c r="C81" s="2945">
        <v>18080</v>
      </c>
      <c r="D81" s="2945"/>
      <c r="E81" s="2945">
        <v>20900</v>
      </c>
      <c r="F81" s="2945"/>
      <c r="G81" s="2945"/>
    </row>
    <row r="82" spans="1:7" s="2779" customFormat="1" ht="14.25" customHeight="1">
      <c r="A82" s="2945" t="s">
        <v>110</v>
      </c>
      <c r="B82" s="2945" t="s">
        <v>2953</v>
      </c>
      <c r="C82" s="2945"/>
      <c r="D82" s="2945"/>
      <c r="E82" s="2945">
        <v>20840</v>
      </c>
      <c r="F82" s="2945"/>
      <c r="G82" s="2945"/>
    </row>
    <row r="83" spans="1:7" s="2779" customFormat="1" ht="14.25" customHeight="1">
      <c r="A83" s="2945" t="s">
        <v>110</v>
      </c>
      <c r="B83" s="2945" t="s">
        <v>3064</v>
      </c>
      <c r="C83" s="2945"/>
      <c r="D83" s="2945"/>
      <c r="E83" s="2945"/>
      <c r="F83" s="2945">
        <v>4770</v>
      </c>
      <c r="G83" s="2945"/>
    </row>
    <row r="84" spans="1:7" s="2779" customFormat="1" ht="14.25" customHeight="1">
      <c r="A84" s="2945" t="s">
        <v>110</v>
      </c>
      <c r="B84" s="2945" t="s">
        <v>3065</v>
      </c>
      <c r="C84" s="2945"/>
      <c r="D84" s="2945"/>
      <c r="E84" s="2945"/>
      <c r="F84" s="2945">
        <v>4600</v>
      </c>
      <c r="G84" s="2945"/>
    </row>
    <row r="85" spans="1:7" s="2779" customFormat="1" ht="14.25" customHeight="1">
      <c r="A85" s="2945" t="s">
        <v>110</v>
      </c>
      <c r="B85" s="2945" t="s">
        <v>3066</v>
      </c>
      <c r="C85" s="2945"/>
      <c r="D85" s="2945"/>
      <c r="E85" s="2945"/>
      <c r="F85" s="2945">
        <v>4680</v>
      </c>
      <c r="G85" s="2945"/>
    </row>
    <row r="86" spans="1:7" s="2779" customFormat="1" ht="14.25" customHeight="1" thickBot="1">
      <c r="A86" s="2953" t="s">
        <v>110</v>
      </c>
      <c r="B86" s="2955" t="s">
        <v>3067</v>
      </c>
      <c r="C86" s="2956">
        <v>16610</v>
      </c>
      <c r="D86" s="2956">
        <v>16540</v>
      </c>
      <c r="E86" s="2956">
        <v>18850</v>
      </c>
      <c r="F86" s="2956"/>
      <c r="G86" s="2956">
        <v>11220</v>
      </c>
    </row>
    <row r="87" spans="1:7" s="2779" customFormat="1" ht="14.25" customHeight="1">
      <c r="A87" s="2950" t="s">
        <v>303</v>
      </c>
      <c r="B87" s="2941" t="s">
        <v>3068</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2947</v>
      </c>
      <c r="C113" s="2945">
        <v>15520</v>
      </c>
      <c r="D113" s="2945">
        <v>15450</v>
      </c>
      <c r="E113" s="2945"/>
      <c r="F113" s="2945"/>
      <c r="G113" s="2958">
        <v>10210</v>
      </c>
    </row>
    <row r="114" spans="1:7" s="2779" customFormat="1" ht="14.25" customHeight="1">
      <c r="A114" s="2945" t="s">
        <v>303</v>
      </c>
      <c r="B114" s="2945" t="s">
        <v>2954</v>
      </c>
      <c r="C114" s="2945">
        <v>13110</v>
      </c>
      <c r="D114" s="2945">
        <v>13050</v>
      </c>
      <c r="E114" s="2945"/>
      <c r="F114" s="2945"/>
      <c r="G114" s="2958">
        <v>8620</v>
      </c>
    </row>
    <row r="115" spans="1:7" s="2779" customFormat="1" ht="14.25" customHeight="1">
      <c r="A115" s="2945" t="s">
        <v>303</v>
      </c>
      <c r="B115" s="2945" t="s">
        <v>2960</v>
      </c>
      <c r="C115" s="2945">
        <v>12460</v>
      </c>
      <c r="D115" s="2945">
        <v>12390</v>
      </c>
      <c r="E115" s="2945"/>
      <c r="F115" s="2945"/>
      <c r="G115" s="2958">
        <v>8190</v>
      </c>
    </row>
    <row r="116" spans="1:7" s="2779" customFormat="1" ht="14.25" customHeight="1">
      <c r="A116" s="2945" t="s">
        <v>303</v>
      </c>
      <c r="B116" s="2945" t="s">
        <v>2967</v>
      </c>
      <c r="C116" s="2945">
        <v>13580</v>
      </c>
      <c r="D116" s="2945">
        <v>13520</v>
      </c>
      <c r="E116" s="2945"/>
      <c r="F116" s="2945"/>
      <c r="G116" s="2958">
        <v>8930</v>
      </c>
    </row>
    <row r="117" spans="1:7" s="2779" customFormat="1" ht="14.25" customHeight="1">
      <c r="A117" s="2945" t="s">
        <v>303</v>
      </c>
      <c r="B117" s="2945" t="s">
        <v>2974</v>
      </c>
      <c r="C117" s="2945">
        <v>17120</v>
      </c>
      <c r="D117" s="2945">
        <v>17040</v>
      </c>
      <c r="E117" s="2945"/>
      <c r="F117" s="2945"/>
      <c r="G117" s="2958">
        <v>11260</v>
      </c>
    </row>
    <row r="118" spans="1:7" s="2779" customFormat="1" ht="14.25" customHeight="1">
      <c r="A118" s="2945" t="s">
        <v>303</v>
      </c>
      <c r="B118" s="2945" t="s">
        <v>2979</v>
      </c>
      <c r="C118" s="2945">
        <v>14860</v>
      </c>
      <c r="D118" s="2945">
        <v>14790</v>
      </c>
      <c r="E118" s="2945"/>
      <c r="F118" s="2945"/>
      <c r="G118" s="2958">
        <v>9780</v>
      </c>
    </row>
    <row r="119" spans="1:7" s="2779" customFormat="1" ht="14.25" customHeight="1">
      <c r="A119" s="2945" t="s">
        <v>303</v>
      </c>
      <c r="B119" s="2945" t="s">
        <v>2983</v>
      </c>
      <c r="C119" s="2945">
        <v>16470</v>
      </c>
      <c r="D119" s="2945">
        <v>16400</v>
      </c>
      <c r="E119" s="2945"/>
      <c r="F119" s="2945"/>
      <c r="G119" s="2958">
        <v>10840</v>
      </c>
    </row>
    <row r="120" spans="1:7" s="2779" customFormat="1" ht="14.25" customHeight="1">
      <c r="A120" s="2945" t="s">
        <v>303</v>
      </c>
      <c r="B120" s="2945" t="s">
        <v>3069</v>
      </c>
      <c r="C120" s="2945"/>
      <c r="D120" s="2945"/>
      <c r="E120" s="2945"/>
      <c r="F120" s="2945">
        <v>4160</v>
      </c>
      <c r="G120" s="2958"/>
    </row>
    <row r="121" spans="1:7" s="2779" customFormat="1" ht="14.25" customHeight="1">
      <c r="A121" s="2945" t="s">
        <v>303</v>
      </c>
      <c r="B121" s="2945" t="s">
        <v>3070</v>
      </c>
      <c r="C121" s="2945"/>
      <c r="D121" s="2945"/>
      <c r="E121" s="2945"/>
      <c r="F121" s="2945">
        <v>3880</v>
      </c>
      <c r="G121" s="2958"/>
    </row>
    <row r="122" spans="1:7" s="2779" customFormat="1" ht="14.25" customHeight="1">
      <c r="A122" s="2945" t="s">
        <v>303</v>
      </c>
      <c r="B122" s="2945" t="s">
        <v>3071</v>
      </c>
      <c r="C122" s="2945">
        <v>13750</v>
      </c>
      <c r="D122" s="2945">
        <v>13680</v>
      </c>
      <c r="E122" s="2945">
        <v>16460</v>
      </c>
      <c r="F122" s="2945">
        <v>2880</v>
      </c>
      <c r="G122" s="2958">
        <v>9040</v>
      </c>
    </row>
    <row r="123" spans="1:7" s="2779" customFormat="1" ht="14.25" customHeight="1">
      <c r="A123" s="2945" t="s">
        <v>303</v>
      </c>
      <c r="B123" s="2945" t="s">
        <v>3002</v>
      </c>
      <c r="C123" s="2945">
        <v>13590</v>
      </c>
      <c r="D123" s="2945">
        <v>13520</v>
      </c>
      <c r="E123" s="2945">
        <v>16290</v>
      </c>
      <c r="F123" s="2945">
        <v>2790</v>
      </c>
      <c r="G123" s="2958">
        <v>8930</v>
      </c>
    </row>
    <row r="124" spans="1:7" s="2779" customFormat="1" ht="14.25" customHeight="1">
      <c r="A124" s="2945" t="s">
        <v>303</v>
      </c>
      <c r="B124" s="2945" t="s">
        <v>3007</v>
      </c>
      <c r="C124" s="2945">
        <v>13400</v>
      </c>
      <c r="D124" s="2945">
        <v>13320</v>
      </c>
      <c r="E124" s="2945">
        <v>16100</v>
      </c>
      <c r="F124" s="2945">
        <v>2320</v>
      </c>
      <c r="G124" s="2958">
        <v>8800</v>
      </c>
    </row>
    <row r="125" spans="1:7" s="2779" customFormat="1" ht="14.25" customHeight="1">
      <c r="A125" s="2945" t="s">
        <v>303</v>
      </c>
      <c r="B125" s="2945" t="s">
        <v>3012</v>
      </c>
      <c r="C125" s="2945">
        <v>12860</v>
      </c>
      <c r="D125" s="2945">
        <v>12790</v>
      </c>
      <c r="E125" s="2945">
        <v>15370</v>
      </c>
      <c r="F125" s="2945">
        <v>2280</v>
      </c>
      <c r="G125" s="2958">
        <v>8450</v>
      </c>
    </row>
    <row r="126" spans="1:7" s="2779" customFormat="1" ht="14.25" customHeight="1" thickBot="1">
      <c r="A126" s="2959" t="s">
        <v>303</v>
      </c>
      <c r="B126" s="2952" t="s">
        <v>3017</v>
      </c>
      <c r="C126" s="2952">
        <v>12960</v>
      </c>
      <c r="D126" s="2952">
        <v>12890</v>
      </c>
      <c r="E126" s="2952">
        <v>15530</v>
      </c>
      <c r="F126" s="2952">
        <v>2910</v>
      </c>
      <c r="G126" s="2960">
        <v>8520</v>
      </c>
    </row>
    <row r="127" spans="1:7" s="2779" customFormat="1" ht="14.25" customHeight="1">
      <c r="A127" s="2950" t="s">
        <v>29</v>
      </c>
      <c r="B127" s="2941" t="s">
        <v>3072</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3073</v>
      </c>
      <c r="C148" s="2945">
        <v>10370</v>
      </c>
      <c r="D148" s="2945">
        <v>10310</v>
      </c>
      <c r="E148" s="2945">
        <v>12970</v>
      </c>
      <c r="F148" s="2945"/>
      <c r="G148" s="2945">
        <v>6630</v>
      </c>
    </row>
    <row r="149" spans="1:7" s="2779" customFormat="1" ht="14.25" customHeight="1">
      <c r="A149" s="2945" t="s">
        <v>29</v>
      </c>
      <c r="B149" s="2945" t="s">
        <v>3074</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2948</v>
      </c>
      <c r="C153" s="2945">
        <v>10880</v>
      </c>
      <c r="D153" s="2945">
        <v>10820</v>
      </c>
      <c r="E153" s="2945">
        <v>13660</v>
      </c>
      <c r="F153" s="2945">
        <v>2260</v>
      </c>
      <c r="G153" s="2945">
        <v>6970</v>
      </c>
    </row>
    <row r="154" spans="1:7" s="2779" customFormat="1" ht="14.25" customHeight="1">
      <c r="A154" s="2945" t="s">
        <v>29</v>
      </c>
      <c r="B154" s="2945" t="s">
        <v>3075</v>
      </c>
      <c r="C154" s="2945">
        <v>11220</v>
      </c>
      <c r="D154" s="2945">
        <v>11160</v>
      </c>
      <c r="E154" s="2945">
        <v>14130</v>
      </c>
      <c r="F154" s="2945">
        <v>2230</v>
      </c>
      <c r="G154" s="2945">
        <v>7180</v>
      </c>
    </row>
    <row r="155" spans="1:7" s="2779" customFormat="1" ht="14.25" customHeight="1">
      <c r="A155" s="2945" t="s">
        <v>29</v>
      </c>
      <c r="B155" s="2945" t="s">
        <v>2961</v>
      </c>
      <c r="C155" s="2945">
        <v>10430</v>
      </c>
      <c r="D155" s="2945">
        <v>10380</v>
      </c>
      <c r="E155" s="2945">
        <v>13140</v>
      </c>
      <c r="F155" s="2945">
        <v>2080</v>
      </c>
      <c r="G155" s="2945">
        <v>6650</v>
      </c>
    </row>
    <row r="156" spans="1:7" s="2779" customFormat="1" ht="14.25" customHeight="1">
      <c r="A156" s="2945" t="s">
        <v>29</v>
      </c>
      <c r="B156" s="2945" t="s">
        <v>3076</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3077</v>
      </c>
      <c r="C160" s="2945">
        <v>11180</v>
      </c>
      <c r="D160" s="2945">
        <v>11140</v>
      </c>
      <c r="E160" s="2945">
        <v>14050</v>
      </c>
      <c r="F160" s="2945">
        <v>2270</v>
      </c>
      <c r="G160" s="2945">
        <v>7170</v>
      </c>
    </row>
    <row r="161" spans="1:7" s="2779" customFormat="1" ht="14.25" customHeight="1">
      <c r="A161" s="2945" t="s">
        <v>29</v>
      </c>
      <c r="B161" s="2945" t="s">
        <v>2993</v>
      </c>
      <c r="C161" s="2945">
        <v>11160</v>
      </c>
      <c r="D161" s="2945">
        <v>11120</v>
      </c>
      <c r="E161" s="2945">
        <v>14020</v>
      </c>
      <c r="F161" s="2945">
        <v>2150</v>
      </c>
      <c r="G161" s="2945">
        <v>7160</v>
      </c>
    </row>
    <row r="162" spans="1:7" s="2779" customFormat="1" ht="14.25" customHeight="1">
      <c r="A162" s="2945" t="s">
        <v>29</v>
      </c>
      <c r="B162" s="2945" t="s">
        <v>2998</v>
      </c>
      <c r="C162" s="2945">
        <v>9620</v>
      </c>
      <c r="D162" s="2945">
        <v>9570</v>
      </c>
      <c r="E162" s="2945">
        <v>12320</v>
      </c>
      <c r="F162" s="2945">
        <v>2010</v>
      </c>
      <c r="G162" s="2945">
        <v>6160</v>
      </c>
    </row>
    <row r="163" spans="1:7" s="2779" customFormat="1" ht="14.25" customHeight="1">
      <c r="A163" s="2945" t="s">
        <v>29</v>
      </c>
      <c r="B163" s="2945" t="s">
        <v>3003</v>
      </c>
      <c r="C163" s="2945">
        <v>9320</v>
      </c>
      <c r="D163" s="2945">
        <v>9270</v>
      </c>
      <c r="E163" s="2945">
        <v>11790</v>
      </c>
      <c r="F163" s="2945">
        <v>1920</v>
      </c>
      <c r="G163" s="2945">
        <v>5960</v>
      </c>
    </row>
    <row r="164" spans="1:7" s="2779" customFormat="1" ht="14.25" customHeight="1">
      <c r="A164" s="2945" t="s">
        <v>29</v>
      </c>
      <c r="B164" s="2945" t="s">
        <v>3008</v>
      </c>
      <c r="C164" s="2945"/>
      <c r="D164" s="2945"/>
      <c r="E164" s="2945"/>
      <c r="F164" s="2945">
        <v>1980</v>
      </c>
      <c r="G164" s="2945"/>
    </row>
    <row r="165" spans="1:7" s="2779" customFormat="1" ht="14.25" customHeight="1">
      <c r="A165" s="2945" t="s">
        <v>29</v>
      </c>
      <c r="B165" s="2945" t="s">
        <v>3078</v>
      </c>
      <c r="C165" s="2945">
        <v>11060</v>
      </c>
      <c r="D165" s="2945">
        <v>11030</v>
      </c>
      <c r="E165" s="2945">
        <v>13850</v>
      </c>
      <c r="F165" s="2945">
        <v>2170</v>
      </c>
      <c r="G165" s="2945">
        <v>7090</v>
      </c>
    </row>
    <row r="166" spans="1:7" s="2779" customFormat="1" ht="14.25" customHeight="1">
      <c r="A166" s="2945" t="s">
        <v>29</v>
      </c>
      <c r="B166" s="2945" t="s">
        <v>3018</v>
      </c>
      <c r="C166" s="2945">
        <v>11050</v>
      </c>
      <c r="D166" s="2945">
        <v>11010</v>
      </c>
      <c r="E166" s="2945">
        <v>13920</v>
      </c>
      <c r="F166" s="2945">
        <v>2140</v>
      </c>
      <c r="G166" s="2945">
        <v>7080</v>
      </c>
    </row>
    <row r="167" spans="1:7" s="2779" customFormat="1" ht="14.25" customHeight="1">
      <c r="A167" s="2945" t="s">
        <v>29</v>
      </c>
      <c r="B167" s="2945" t="s">
        <v>3022</v>
      </c>
      <c r="C167" s="2945">
        <v>10930</v>
      </c>
      <c r="D167" s="2945">
        <v>10890</v>
      </c>
      <c r="E167" s="2945">
        <v>13790</v>
      </c>
      <c r="F167" s="2945">
        <v>2010</v>
      </c>
      <c r="G167" s="2945">
        <v>7000</v>
      </c>
    </row>
    <row r="168" spans="1:7" s="2779" customFormat="1" ht="14.25" customHeight="1">
      <c r="A168" s="2945" t="s">
        <v>29</v>
      </c>
      <c r="B168" s="2945" t="s">
        <v>3027</v>
      </c>
      <c r="C168" s="2945">
        <v>9420</v>
      </c>
      <c r="D168" s="2945">
        <v>9380</v>
      </c>
      <c r="E168" s="2945">
        <v>11970</v>
      </c>
      <c r="F168" s="2945"/>
      <c r="G168" s="2945">
        <v>6040</v>
      </c>
    </row>
    <row r="169" spans="1:7" s="2779" customFormat="1" ht="14.25" customHeight="1">
      <c r="A169" s="2945" t="s">
        <v>29</v>
      </c>
      <c r="B169" s="2945" t="s">
        <v>3079</v>
      </c>
      <c r="C169" s="2945"/>
      <c r="D169" s="2945"/>
      <c r="E169" s="2945"/>
      <c r="F169" s="2945">
        <v>2880</v>
      </c>
      <c r="G169" s="2945"/>
    </row>
    <row r="170" spans="1:7" s="2779" customFormat="1" ht="14.25" customHeight="1">
      <c r="A170" s="2945" t="s">
        <v>29</v>
      </c>
      <c r="B170" s="2945" t="s">
        <v>3035</v>
      </c>
      <c r="C170" s="2945"/>
      <c r="D170" s="2945"/>
      <c r="E170" s="2945"/>
      <c r="F170" s="2945">
        <v>2880</v>
      </c>
      <c r="G170" s="2945"/>
    </row>
    <row r="171" spans="1:7" s="2779" customFormat="1" ht="14.25" customHeight="1">
      <c r="A171" s="2945" t="s">
        <v>29</v>
      </c>
      <c r="B171" s="2945" t="s">
        <v>3038</v>
      </c>
      <c r="C171" s="2945"/>
      <c r="D171" s="2945"/>
      <c r="E171" s="2945"/>
      <c r="F171" s="2945">
        <v>2880</v>
      </c>
      <c r="G171" s="2945"/>
    </row>
    <row r="172" spans="1:7" s="2779" customFormat="1" ht="14.25" customHeight="1">
      <c r="A172" s="2945" t="s">
        <v>29</v>
      </c>
      <c r="B172" s="2945" t="s">
        <v>3040</v>
      </c>
      <c r="C172" s="2945"/>
      <c r="D172" s="2945"/>
      <c r="E172" s="2945"/>
      <c r="F172" s="2945">
        <v>2880</v>
      </c>
      <c r="G172" s="2945"/>
    </row>
    <row r="173" spans="1:7" s="2779" customFormat="1" ht="14.25" customHeight="1">
      <c r="A173" s="2945" t="s">
        <v>29</v>
      </c>
      <c r="B173" s="2945" t="s">
        <v>3042</v>
      </c>
      <c r="C173" s="2945"/>
      <c r="D173" s="2945"/>
      <c r="E173" s="2945"/>
      <c r="F173" s="2945">
        <v>2150</v>
      </c>
      <c r="G173" s="2945"/>
    </row>
    <row r="174" spans="1:7" s="2779" customFormat="1" ht="14.25" customHeight="1">
      <c r="A174" s="2945" t="s">
        <v>29</v>
      </c>
      <c r="B174" s="2945" t="s">
        <v>3044</v>
      </c>
      <c r="C174" s="2945"/>
      <c r="D174" s="2945"/>
      <c r="E174" s="2945"/>
      <c r="F174" s="2945">
        <v>2030</v>
      </c>
      <c r="G174" s="2945"/>
    </row>
    <row r="175" spans="1:7" s="2779" customFormat="1" ht="14.25" customHeight="1">
      <c r="A175" s="2945" t="s">
        <v>29</v>
      </c>
      <c r="B175" s="2945" t="s">
        <v>3046</v>
      </c>
      <c r="C175" s="2945"/>
      <c r="D175" s="2945"/>
      <c r="E175" s="2945"/>
      <c r="F175" s="2945">
        <v>2780</v>
      </c>
      <c r="G175" s="2945"/>
    </row>
    <row r="176" spans="1:7" s="2779" customFormat="1" ht="14.25" customHeight="1">
      <c r="A176" s="2945" t="s">
        <v>29</v>
      </c>
      <c r="B176" s="2945" t="s">
        <v>3048</v>
      </c>
      <c r="C176" s="2945"/>
      <c r="D176" s="2945"/>
      <c r="E176" s="2945"/>
      <c r="F176" s="2945">
        <v>2780</v>
      </c>
      <c r="G176" s="2945"/>
    </row>
    <row r="177" spans="1:7" s="2779" customFormat="1" ht="14.25" customHeight="1">
      <c r="A177" s="2945" t="s">
        <v>29</v>
      </c>
      <c r="B177" s="2945" t="s">
        <v>3080</v>
      </c>
      <c r="C177" s="2945"/>
      <c r="D177" s="2945"/>
      <c r="E177" s="2945"/>
      <c r="F177" s="2945">
        <v>2780</v>
      </c>
      <c r="G177" s="2945"/>
    </row>
    <row r="178" spans="1:7" s="2779" customFormat="1" ht="14.25" customHeight="1">
      <c r="A178" s="2945" t="s">
        <v>29</v>
      </c>
      <c r="B178" s="2945" t="s">
        <v>3081</v>
      </c>
      <c r="C178" s="2945"/>
      <c r="D178" s="2945"/>
      <c r="E178" s="2945"/>
      <c r="F178" s="2945">
        <v>2060</v>
      </c>
      <c r="G178" s="2945"/>
    </row>
    <row r="179" spans="1:7" s="2779" customFormat="1" ht="14.25" customHeight="1">
      <c r="A179" s="2945" t="s">
        <v>29</v>
      </c>
      <c r="B179" s="2945" t="s">
        <v>3082</v>
      </c>
      <c r="C179" s="2945"/>
      <c r="D179" s="2945"/>
      <c r="E179" s="2945"/>
      <c r="F179" s="2945">
        <v>2120</v>
      </c>
      <c r="G179" s="2945"/>
    </row>
    <row r="180" spans="1:7" s="2779" customFormat="1" ht="14.25" customHeight="1">
      <c r="A180" s="2945" t="s">
        <v>29</v>
      </c>
      <c r="B180" s="2945" t="s">
        <v>3054</v>
      </c>
      <c r="C180" s="2945"/>
      <c r="D180" s="2945"/>
      <c r="E180" s="2945"/>
      <c r="F180" s="2945">
        <v>2340</v>
      </c>
      <c r="G180" s="2945"/>
    </row>
    <row r="181" spans="1:7" s="2779" customFormat="1" ht="14.25" customHeight="1">
      <c r="A181" s="2945" t="s">
        <v>29</v>
      </c>
      <c r="B181" s="2945" t="s">
        <v>3055</v>
      </c>
      <c r="C181" s="2945"/>
      <c r="D181" s="2945"/>
      <c r="E181" s="2945"/>
      <c r="F181" s="2945">
        <v>2340</v>
      </c>
      <c r="G181" s="2945"/>
    </row>
    <row r="182" spans="1:7" s="2779" customFormat="1" ht="14.25" customHeight="1">
      <c r="A182" s="2945" t="s">
        <v>29</v>
      </c>
      <c r="B182" s="2945" t="s">
        <v>3056</v>
      </c>
      <c r="C182" s="2945"/>
      <c r="D182" s="2945"/>
      <c r="E182" s="2945"/>
      <c r="F182" s="2945">
        <v>2340</v>
      </c>
      <c r="G182" s="2945"/>
    </row>
    <row r="183" spans="1:7" s="2779" customFormat="1" ht="14.25" customHeight="1">
      <c r="A183" s="2945" t="s">
        <v>29</v>
      </c>
      <c r="B183" s="2945" t="s">
        <v>3057</v>
      </c>
      <c r="C183" s="2945"/>
      <c r="D183" s="2945"/>
      <c r="E183" s="2945"/>
      <c r="F183" s="2945">
        <v>2340</v>
      </c>
      <c r="G183" s="2945"/>
    </row>
    <row r="184" spans="1:7" s="2779" customFormat="1" ht="14.25" customHeight="1">
      <c r="A184" s="2945" t="s">
        <v>29</v>
      </c>
      <c r="B184" s="2945" t="s">
        <v>3058</v>
      </c>
      <c r="C184" s="2945"/>
      <c r="D184" s="2945"/>
      <c r="E184" s="2945"/>
      <c r="F184" s="2945">
        <v>2340</v>
      </c>
      <c r="G184" s="2945"/>
    </row>
    <row r="185" spans="1:7" s="2779" customFormat="1" ht="14.25" customHeight="1">
      <c r="A185" s="2945" t="s">
        <v>29</v>
      </c>
      <c r="B185" s="2945" t="s">
        <v>3059</v>
      </c>
      <c r="C185" s="2945"/>
      <c r="D185" s="2945"/>
      <c r="E185" s="2945"/>
      <c r="F185" s="2945">
        <v>2530</v>
      </c>
      <c r="G185" s="2945"/>
    </row>
    <row r="186" spans="1:7" s="2779" customFormat="1" ht="14.25" customHeight="1">
      <c r="A186" s="2945" t="s">
        <v>29</v>
      </c>
      <c r="B186" s="2945" t="s">
        <v>3060</v>
      </c>
      <c r="C186" s="2945"/>
      <c r="D186" s="2945"/>
      <c r="E186" s="2945"/>
      <c r="F186" s="2945">
        <v>2550</v>
      </c>
      <c r="G186" s="2945"/>
    </row>
    <row r="187" spans="1:7" s="2779" customFormat="1" ht="14.25" customHeight="1">
      <c r="A187" s="2945" t="s">
        <v>29</v>
      </c>
      <c r="B187" s="2945" t="s">
        <v>3061</v>
      </c>
      <c r="C187" s="2945"/>
      <c r="D187" s="2945"/>
      <c r="E187" s="2945"/>
      <c r="F187" s="2945">
        <v>2070</v>
      </c>
      <c r="G187" s="2945"/>
    </row>
    <row r="188" spans="1:7" s="2779" customFormat="1" ht="14.25" customHeight="1">
      <c r="A188" s="2945" t="s">
        <v>29</v>
      </c>
      <c r="B188" s="2945" t="s">
        <v>3062</v>
      </c>
      <c r="C188" s="2945"/>
      <c r="D188" s="2945"/>
      <c r="E188" s="2945"/>
      <c r="F188" s="2945">
        <v>2340</v>
      </c>
      <c r="G188" s="2945"/>
    </row>
    <row r="189" spans="1:7" s="2779" customFormat="1" ht="14.25" customHeight="1" thickBot="1">
      <c r="A189" s="2953" t="s">
        <v>29</v>
      </c>
      <c r="B189" s="2956" t="s">
        <v>3063</v>
      </c>
      <c r="C189" s="2956"/>
      <c r="D189" s="2956"/>
      <c r="E189" s="2956"/>
      <c r="F189" s="2956">
        <v>2050</v>
      </c>
      <c r="G189" s="2956"/>
    </row>
    <row r="190" spans="1:7" s="2779" customFormat="1" ht="14.25" customHeight="1">
      <c r="A190" s="2950" t="s">
        <v>304</v>
      </c>
      <c r="B190" s="2941" t="s">
        <v>3083</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3084</v>
      </c>
      <c r="C199" s="2945">
        <v>8690</v>
      </c>
      <c r="D199" s="2945">
        <v>8630</v>
      </c>
      <c r="E199" s="2945">
        <v>11350</v>
      </c>
      <c r="F199" s="2945">
        <v>1600</v>
      </c>
      <c r="G199" s="2958">
        <v>5450</v>
      </c>
    </row>
    <row r="200" spans="1:7" s="2779" customFormat="1" ht="14.25" customHeight="1">
      <c r="A200" s="2945" t="s">
        <v>304</v>
      </c>
      <c r="B200" s="2945" t="s">
        <v>2895</v>
      </c>
      <c r="C200" s="2945"/>
      <c r="D200" s="2945"/>
      <c r="E200" s="2945"/>
      <c r="F200" s="2945">
        <v>1510</v>
      </c>
      <c r="G200" s="2958"/>
    </row>
    <row r="201" spans="1:7" s="2779" customFormat="1" ht="14.25" customHeight="1">
      <c r="A201" s="2945" t="s">
        <v>304</v>
      </c>
      <c r="B201" s="2945" t="s">
        <v>3085</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3086</v>
      </c>
      <c r="C203" s="2945">
        <v>8130</v>
      </c>
      <c r="D203" s="2945">
        <v>8070</v>
      </c>
      <c r="E203" s="2945">
        <v>10820</v>
      </c>
      <c r="F203" s="2945">
        <v>1690</v>
      </c>
      <c r="G203" s="2958">
        <v>5100</v>
      </c>
    </row>
    <row r="204" spans="1:7" s="2779" customFormat="1" ht="14.25" customHeight="1">
      <c r="A204" s="2945" t="s">
        <v>304</v>
      </c>
      <c r="B204" s="2945" t="s">
        <v>2906</v>
      </c>
      <c r="C204" s="2945">
        <v>8350</v>
      </c>
      <c r="D204" s="2945">
        <v>8290</v>
      </c>
      <c r="E204" s="2945">
        <v>11080</v>
      </c>
      <c r="F204" s="2945">
        <v>1450</v>
      </c>
      <c r="G204" s="2958">
        <v>5240</v>
      </c>
    </row>
    <row r="205" spans="1:7" s="2779" customFormat="1" ht="14.25" customHeight="1">
      <c r="A205" s="2945" t="s">
        <v>304</v>
      </c>
      <c r="B205" s="2945" t="s">
        <v>2908</v>
      </c>
      <c r="C205" s="2945">
        <v>7190</v>
      </c>
      <c r="D205" s="2945">
        <v>7130</v>
      </c>
      <c r="E205" s="2945">
        <v>9490</v>
      </c>
      <c r="F205" s="2945">
        <v>1470</v>
      </c>
      <c r="G205" s="2958">
        <v>4510</v>
      </c>
    </row>
    <row r="206" spans="1:7" s="2779" customFormat="1" ht="14.25" customHeight="1">
      <c r="A206" s="2945" t="s">
        <v>304</v>
      </c>
      <c r="B206" s="2945" t="s">
        <v>2911</v>
      </c>
      <c r="C206" s="2945">
        <v>7000</v>
      </c>
      <c r="D206" s="2945">
        <v>6950</v>
      </c>
      <c r="E206" s="2945">
        <v>9170</v>
      </c>
      <c r="F206" s="2945">
        <v>1400</v>
      </c>
      <c r="G206" s="2958">
        <v>4380</v>
      </c>
    </row>
    <row r="207" spans="1:7" s="2779" customFormat="1" ht="14.25" customHeight="1">
      <c r="A207" s="2945" t="s">
        <v>304</v>
      </c>
      <c r="B207" s="2945" t="s">
        <v>2913</v>
      </c>
      <c r="C207" s="2945">
        <v>6950</v>
      </c>
      <c r="D207" s="2945">
        <v>6900</v>
      </c>
      <c r="E207" s="2945">
        <v>9110</v>
      </c>
      <c r="F207" s="2945">
        <v>1790</v>
      </c>
      <c r="G207" s="2958">
        <v>4360</v>
      </c>
    </row>
    <row r="208" spans="1:7" s="2779" customFormat="1" ht="14.25" customHeight="1">
      <c r="A208" s="2945" t="s">
        <v>304</v>
      </c>
      <c r="B208" s="2945" t="s">
        <v>3087</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2923</v>
      </c>
      <c r="C210" s="2945">
        <v>8710</v>
      </c>
      <c r="D210" s="2945">
        <v>8660</v>
      </c>
      <c r="E210" s="2945">
        <v>11440</v>
      </c>
      <c r="F210" s="2945">
        <v>1740</v>
      </c>
      <c r="G210" s="2958">
        <v>5470</v>
      </c>
    </row>
    <row r="211" spans="1:7" s="2779" customFormat="1" ht="14.25" customHeight="1">
      <c r="A211" s="2945" t="s">
        <v>304</v>
      </c>
      <c r="B211" s="2945" t="s">
        <v>3088</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3089</v>
      </c>
      <c r="C214" s="2945">
        <v>8090</v>
      </c>
      <c r="D214" s="2945">
        <v>8030</v>
      </c>
      <c r="E214" s="2945">
        <v>10780</v>
      </c>
      <c r="F214" s="2945">
        <v>1570</v>
      </c>
      <c r="G214" s="2958">
        <v>5070</v>
      </c>
    </row>
    <row r="215" spans="1:7" s="2779" customFormat="1" ht="14.25" customHeight="1">
      <c r="A215" s="2945" t="s">
        <v>304</v>
      </c>
      <c r="B215" s="2945" t="s">
        <v>3090</v>
      </c>
      <c r="C215" s="2945">
        <v>7950</v>
      </c>
      <c r="D215" s="2945">
        <v>7900</v>
      </c>
      <c r="E215" s="2945">
        <v>10560</v>
      </c>
      <c r="F215" s="2945">
        <v>1630</v>
      </c>
      <c r="G215" s="2958">
        <v>4990</v>
      </c>
    </row>
    <row r="216" spans="1:7" s="2779" customFormat="1" ht="14.25" customHeight="1">
      <c r="A216" s="2945" t="s">
        <v>304</v>
      </c>
      <c r="B216" s="2945" t="s">
        <v>3091</v>
      </c>
      <c r="C216" s="2945">
        <v>8490</v>
      </c>
      <c r="D216" s="2945">
        <v>8440</v>
      </c>
      <c r="E216" s="2945">
        <v>11260</v>
      </c>
      <c r="F216" s="2945">
        <v>1690</v>
      </c>
      <c r="G216" s="2958">
        <v>5330</v>
      </c>
    </row>
    <row r="217" spans="1:7" s="2779" customFormat="1" ht="14.25" customHeight="1">
      <c r="A217" s="2945" t="s">
        <v>304</v>
      </c>
      <c r="B217" s="2945" t="s">
        <v>2956</v>
      </c>
      <c r="C217" s="2945">
        <v>8200</v>
      </c>
      <c r="D217" s="2945">
        <v>8150</v>
      </c>
      <c r="E217" s="2945">
        <v>10910</v>
      </c>
      <c r="F217" s="2945">
        <v>1670</v>
      </c>
      <c r="G217" s="2958">
        <v>5150</v>
      </c>
    </row>
    <row r="218" spans="1:7" s="2779" customFormat="1" ht="14.25" customHeight="1">
      <c r="A218" s="2945" t="s">
        <v>304</v>
      </c>
      <c r="B218" s="2945" t="s">
        <v>3092</v>
      </c>
      <c r="C218" s="2945"/>
      <c r="D218" s="2945"/>
      <c r="E218" s="2945"/>
      <c r="F218" s="2945">
        <v>2040</v>
      </c>
      <c r="G218" s="2958"/>
    </row>
    <row r="219" spans="1:7" s="2779" customFormat="1" ht="14.25" customHeight="1">
      <c r="A219" s="2945" t="s">
        <v>304</v>
      </c>
      <c r="B219" s="2945" t="s">
        <v>3093</v>
      </c>
      <c r="C219" s="2945"/>
      <c r="D219" s="2945"/>
      <c r="E219" s="2945"/>
      <c r="F219" s="2945">
        <v>2040</v>
      </c>
      <c r="G219" s="2958"/>
    </row>
    <row r="220" spans="1:7" s="2779" customFormat="1" ht="14.25" customHeight="1">
      <c r="A220" s="2945" t="s">
        <v>304</v>
      </c>
      <c r="B220" s="2945" t="s">
        <v>3094</v>
      </c>
      <c r="C220" s="2945"/>
      <c r="D220" s="2945"/>
      <c r="E220" s="2945"/>
      <c r="F220" s="2945">
        <v>2040</v>
      </c>
      <c r="G220" s="2958"/>
    </row>
    <row r="221" spans="1:7" s="2779" customFormat="1" ht="14.25" customHeight="1">
      <c r="A221" s="2945" t="s">
        <v>304</v>
      </c>
      <c r="B221" s="2945" t="s">
        <v>3095</v>
      </c>
      <c r="C221" s="2945"/>
      <c r="D221" s="2945"/>
      <c r="E221" s="2945"/>
      <c r="F221" s="2945">
        <v>2040</v>
      </c>
      <c r="G221" s="2958"/>
    </row>
    <row r="222" spans="1:7" s="2779" customFormat="1" ht="14.25" customHeight="1">
      <c r="A222" s="2945" t="s">
        <v>304</v>
      </c>
      <c r="B222" s="2945" t="s">
        <v>3096</v>
      </c>
      <c r="C222" s="2945"/>
      <c r="D222" s="2945"/>
      <c r="E222" s="2945"/>
      <c r="F222" s="2945">
        <v>2040</v>
      </c>
      <c r="G222" s="2958"/>
    </row>
    <row r="223" spans="1:7" s="2779" customFormat="1" ht="14.25" customHeight="1">
      <c r="A223" s="2945" t="s">
        <v>304</v>
      </c>
      <c r="B223" s="2945" t="s">
        <v>3097</v>
      </c>
      <c r="C223" s="2945"/>
      <c r="D223" s="2945"/>
      <c r="E223" s="2945"/>
      <c r="F223" s="2945">
        <v>1930</v>
      </c>
      <c r="G223" s="2958"/>
    </row>
    <row r="224" spans="1:7" s="2779" customFormat="1" ht="14.25" customHeight="1">
      <c r="A224" s="2945" t="s">
        <v>304</v>
      </c>
      <c r="B224" s="2945" t="s">
        <v>3098</v>
      </c>
      <c r="C224" s="2945"/>
      <c r="D224" s="2945"/>
      <c r="E224" s="2945"/>
      <c r="F224" s="2945">
        <v>1930</v>
      </c>
      <c r="G224" s="2958"/>
    </row>
    <row r="225" spans="1:7" s="2779" customFormat="1" ht="14.25" customHeight="1">
      <c r="A225" s="2945" t="s">
        <v>304</v>
      </c>
      <c r="B225" s="2945" t="s">
        <v>3099</v>
      </c>
      <c r="C225" s="2945"/>
      <c r="D225" s="2945"/>
      <c r="E225" s="2945"/>
      <c r="F225" s="2945">
        <v>1930</v>
      </c>
      <c r="G225" s="2958"/>
    </row>
    <row r="226" spans="1:7" s="2779" customFormat="1" ht="14.25" customHeight="1">
      <c r="A226" s="2945" t="s">
        <v>304</v>
      </c>
      <c r="B226" s="2945" t="s">
        <v>3100</v>
      </c>
      <c r="C226" s="2945"/>
      <c r="D226" s="2945"/>
      <c r="E226" s="2945"/>
      <c r="F226" s="2945">
        <v>1700</v>
      </c>
      <c r="G226" s="2958"/>
    </row>
    <row r="227" spans="1:7" s="2779" customFormat="1" ht="14.25" customHeight="1">
      <c r="A227" s="2945" t="s">
        <v>304</v>
      </c>
      <c r="B227" s="2945" t="s">
        <v>3101</v>
      </c>
      <c r="C227" s="2945"/>
      <c r="D227" s="2945"/>
      <c r="E227" s="2945"/>
      <c r="F227" s="2945">
        <v>1520</v>
      </c>
      <c r="G227" s="2958"/>
    </row>
    <row r="228" spans="1:7" s="2779" customFormat="1" ht="14.25" customHeight="1">
      <c r="A228" s="2945" t="s">
        <v>304</v>
      </c>
      <c r="B228" s="2945" t="s">
        <v>3102</v>
      </c>
      <c r="C228" s="2945"/>
      <c r="D228" s="2945"/>
      <c r="E228" s="2945"/>
      <c r="F228" s="2945">
        <v>1520</v>
      </c>
      <c r="G228" s="2958"/>
    </row>
    <row r="229" spans="1:7" s="2779" customFormat="1" ht="14.25" customHeight="1">
      <c r="A229" s="2945" t="s">
        <v>304</v>
      </c>
      <c r="B229" s="2945" t="s">
        <v>3019</v>
      </c>
      <c r="C229" s="2945"/>
      <c r="D229" s="2945"/>
      <c r="E229" s="2945"/>
      <c r="F229" s="2945">
        <v>1520</v>
      </c>
      <c r="G229" s="2958"/>
    </row>
    <row r="230" spans="1:7" s="2779" customFormat="1" ht="14.25" customHeight="1">
      <c r="A230" s="2945" t="s">
        <v>304</v>
      </c>
      <c r="B230" s="2945" t="s">
        <v>3103</v>
      </c>
      <c r="C230" s="2945"/>
      <c r="D230" s="2945"/>
      <c r="E230" s="2945"/>
      <c r="F230" s="2945">
        <v>1820</v>
      </c>
      <c r="G230" s="2958"/>
    </row>
    <row r="231" spans="1:7" s="2779" customFormat="1" ht="14.25" customHeight="1">
      <c r="A231" s="2945" t="s">
        <v>304</v>
      </c>
      <c r="B231" s="2945" t="s">
        <v>3104</v>
      </c>
      <c r="C231" s="2945"/>
      <c r="D231" s="2945"/>
      <c r="E231" s="2945"/>
      <c r="F231" s="2945">
        <v>1760</v>
      </c>
      <c r="G231" s="2958"/>
    </row>
    <row r="232" spans="1:7" s="2779" customFormat="1" ht="14.25" customHeight="1">
      <c r="A232" s="2945" t="s">
        <v>304</v>
      </c>
      <c r="B232" s="2945" t="s">
        <v>3105</v>
      </c>
      <c r="C232" s="2945"/>
      <c r="D232" s="2945"/>
      <c r="E232" s="2945"/>
      <c r="F232" s="2945">
        <v>1840</v>
      </c>
      <c r="G232" s="2958"/>
    </row>
    <row r="233" spans="1:7" s="2779" customFormat="1" ht="14.25" customHeight="1" thickBot="1">
      <c r="A233" s="2959" t="s">
        <v>304</v>
      </c>
      <c r="B233" s="2952" t="s">
        <v>3036</v>
      </c>
      <c r="C233" s="2952"/>
      <c r="D233" s="2952"/>
      <c r="E233" s="2952"/>
      <c r="F233" s="2952">
        <v>1770</v>
      </c>
      <c r="G233" s="2960"/>
    </row>
    <row r="234" spans="1:7" s="2779" customFormat="1" ht="14.25" customHeight="1">
      <c r="A234" s="2950" t="s">
        <v>305</v>
      </c>
      <c r="B234" s="2941" t="s">
        <v>3106</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2877</v>
      </c>
      <c r="C238" s="2945">
        <v>6920</v>
      </c>
      <c r="D238" s="2945">
        <v>6890</v>
      </c>
      <c r="E238" s="2945">
        <v>8640</v>
      </c>
      <c r="F238" s="2945">
        <v>1310</v>
      </c>
      <c r="G238" s="2945">
        <v>4230</v>
      </c>
    </row>
    <row r="239" spans="1:7" s="2779" customFormat="1" ht="14.25" customHeight="1">
      <c r="A239" s="2945" t="s">
        <v>305</v>
      </c>
      <c r="B239" s="2945" t="s">
        <v>3107</v>
      </c>
      <c r="C239" s="2945">
        <v>6780</v>
      </c>
      <c r="D239" s="2945">
        <v>6750</v>
      </c>
      <c r="E239" s="2945">
        <v>8440</v>
      </c>
      <c r="F239" s="2945">
        <v>1160</v>
      </c>
      <c r="G239" s="2945">
        <v>4140</v>
      </c>
    </row>
    <row r="240" spans="1:7" s="2779" customFormat="1" ht="14.25" customHeight="1">
      <c r="A240" s="2945" t="s">
        <v>305</v>
      </c>
      <c r="B240" s="2945" t="s">
        <v>3108</v>
      </c>
      <c r="C240" s="2945">
        <v>5420</v>
      </c>
      <c r="D240" s="2945">
        <v>5380</v>
      </c>
      <c r="E240" s="2945">
        <v>6640</v>
      </c>
      <c r="F240" s="2945">
        <v>1020</v>
      </c>
      <c r="G240" s="2945">
        <v>3300</v>
      </c>
    </row>
    <row r="241" spans="1:7" s="2779" customFormat="1" ht="14.25" customHeight="1">
      <c r="A241" s="2945" t="s">
        <v>305</v>
      </c>
      <c r="B241" s="2945" t="s">
        <v>3109</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3110</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3111</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3112</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3113</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3114</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2939</v>
      </c>
      <c r="C258" s="2945">
        <v>6190</v>
      </c>
      <c r="D258" s="2945">
        <v>6160</v>
      </c>
      <c r="E258" s="2945">
        <v>7680</v>
      </c>
      <c r="F258" s="2945">
        <v>1170</v>
      </c>
      <c r="G258" s="2945">
        <v>3780</v>
      </c>
    </row>
    <row r="259" spans="1:7" s="2779" customFormat="1" ht="14.25" customHeight="1">
      <c r="A259" s="2945" t="s">
        <v>305</v>
      </c>
      <c r="B259" s="2945" t="s">
        <v>3115</v>
      </c>
      <c r="C259" s="2945">
        <v>7610</v>
      </c>
      <c r="D259" s="2945">
        <v>7570</v>
      </c>
      <c r="E259" s="2945">
        <v>9350</v>
      </c>
      <c r="F259" s="2945">
        <v>1350</v>
      </c>
      <c r="G259" s="2945">
        <v>4650</v>
      </c>
    </row>
    <row r="260" spans="1:7" s="2779" customFormat="1" ht="14.25" customHeight="1">
      <c r="A260" s="2945" t="s">
        <v>305</v>
      </c>
      <c r="B260" s="2945" t="s">
        <v>3116</v>
      </c>
      <c r="C260" s="2945">
        <v>6920</v>
      </c>
      <c r="D260" s="2945">
        <v>6880</v>
      </c>
      <c r="E260" s="2945">
        <v>8380</v>
      </c>
      <c r="F260" s="2945">
        <v>1160</v>
      </c>
      <c r="G260" s="2945">
        <v>4220</v>
      </c>
    </row>
    <row r="261" spans="1:7" s="2779" customFormat="1" ht="14.25" customHeight="1">
      <c r="A261" s="2945" t="s">
        <v>305</v>
      </c>
      <c r="B261" s="2945" t="s">
        <v>3117</v>
      </c>
      <c r="C261" s="2945">
        <v>6850</v>
      </c>
      <c r="D261" s="2945">
        <v>6810</v>
      </c>
      <c r="E261" s="2945">
        <v>8290</v>
      </c>
      <c r="F261" s="2945">
        <v>1130</v>
      </c>
      <c r="G261" s="2945">
        <v>4180</v>
      </c>
    </row>
    <row r="262" spans="1:7" s="2779" customFormat="1" ht="14.25" customHeight="1">
      <c r="A262" s="2945" t="s">
        <v>305</v>
      </c>
      <c r="B262" s="2945" t="s">
        <v>3118</v>
      </c>
      <c r="C262" s="2945">
        <v>5860</v>
      </c>
      <c r="D262" s="2945">
        <v>5820</v>
      </c>
      <c r="E262" s="2945">
        <v>7640</v>
      </c>
      <c r="F262" s="2945">
        <v>1070</v>
      </c>
      <c r="G262" s="2945">
        <v>3570</v>
      </c>
    </row>
    <row r="263" spans="1:7" s="2779" customFormat="1" ht="14.25" customHeight="1">
      <c r="A263" s="2945" t="s">
        <v>305</v>
      </c>
      <c r="B263" s="2945" t="s">
        <v>3119</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3120</v>
      </c>
      <c r="C265" s="2945"/>
      <c r="D265" s="2945"/>
      <c r="E265" s="2945"/>
      <c r="F265" s="2945">
        <v>1500</v>
      </c>
      <c r="G265" s="2945"/>
    </row>
    <row r="266" spans="1:7" s="2779" customFormat="1" ht="14.25" customHeight="1">
      <c r="A266" s="2945" t="s">
        <v>305</v>
      </c>
      <c r="B266" s="2945" t="s">
        <v>3121</v>
      </c>
      <c r="C266" s="2945"/>
      <c r="D266" s="2945"/>
      <c r="E266" s="2945"/>
      <c r="F266" s="2945">
        <v>1500</v>
      </c>
      <c r="G266" s="2945"/>
    </row>
    <row r="267" spans="1:7" s="2779" customFormat="1" ht="14.25" customHeight="1">
      <c r="A267" s="2945" t="s">
        <v>305</v>
      </c>
      <c r="B267" s="2945" t="s">
        <v>3122</v>
      </c>
      <c r="C267" s="2945"/>
      <c r="D267" s="2945"/>
      <c r="E267" s="2945"/>
      <c r="F267" s="2945">
        <v>1500</v>
      </c>
      <c r="G267" s="2945"/>
    </row>
    <row r="268" spans="1:7" s="2779" customFormat="1" ht="14.25" customHeight="1">
      <c r="A268" s="2945" t="s">
        <v>305</v>
      </c>
      <c r="B268" s="2945" t="s">
        <v>3123</v>
      </c>
      <c r="C268" s="2945"/>
      <c r="D268" s="2945"/>
      <c r="E268" s="2945"/>
      <c r="F268" s="2945">
        <v>1290</v>
      </c>
      <c r="G268" s="2945"/>
    </row>
    <row r="269" spans="1:7" s="2779" customFormat="1" ht="14.25" customHeight="1">
      <c r="A269" s="2945" t="s">
        <v>305</v>
      </c>
      <c r="B269" s="2945" t="s">
        <v>3124</v>
      </c>
      <c r="C269" s="2945"/>
      <c r="D269" s="2945"/>
      <c r="E269" s="2945"/>
      <c r="F269" s="2945">
        <v>1150</v>
      </c>
      <c r="G269" s="2945"/>
    </row>
    <row r="270" spans="1:7" s="2779" customFormat="1" ht="14.25" customHeight="1">
      <c r="A270" s="2945" t="s">
        <v>305</v>
      </c>
      <c r="B270" s="2945" t="s">
        <v>3125</v>
      </c>
      <c r="C270" s="2945"/>
      <c r="D270" s="2945"/>
      <c r="E270" s="2945"/>
      <c r="F270" s="2945">
        <v>1380</v>
      </c>
      <c r="G270" s="2945"/>
    </row>
    <row r="271" spans="1:7" s="2779" customFormat="1" ht="14.25" customHeight="1">
      <c r="A271" s="2945" t="s">
        <v>305</v>
      </c>
      <c r="B271" s="2945" t="s">
        <v>3126</v>
      </c>
      <c r="C271" s="2945"/>
      <c r="D271" s="2945"/>
      <c r="E271" s="2945"/>
      <c r="F271" s="2945">
        <v>1460</v>
      </c>
      <c r="G271" s="2945"/>
    </row>
    <row r="272" spans="1:7" s="2779" customFormat="1" ht="14.25" customHeight="1">
      <c r="A272" s="2945" t="s">
        <v>305</v>
      </c>
      <c r="B272" s="2945" t="s">
        <v>3127</v>
      </c>
      <c r="C272" s="2945"/>
      <c r="D272" s="2945"/>
      <c r="E272" s="2945"/>
      <c r="F272" s="2945">
        <v>1460</v>
      </c>
      <c r="G272" s="2945"/>
    </row>
    <row r="273" spans="1:7" s="2779" customFormat="1" ht="14.25" customHeight="1">
      <c r="A273" s="2945" t="s">
        <v>305</v>
      </c>
      <c r="B273" s="2945" t="s">
        <v>3020</v>
      </c>
      <c r="C273" s="2945"/>
      <c r="D273" s="2945"/>
      <c r="E273" s="2945"/>
      <c r="F273" s="2945">
        <v>1490</v>
      </c>
      <c r="G273" s="2945"/>
    </row>
    <row r="274" spans="1:7" s="2779" customFormat="1" ht="14.25" customHeight="1">
      <c r="A274" s="2945" t="s">
        <v>305</v>
      </c>
      <c r="B274" s="2945" t="s">
        <v>3128</v>
      </c>
      <c r="C274" s="2945"/>
      <c r="D274" s="2945"/>
      <c r="E274" s="2945"/>
      <c r="F274" s="2945">
        <v>1490</v>
      </c>
      <c r="G274" s="2945"/>
    </row>
    <row r="275" spans="1:7" s="2779" customFormat="1" ht="14.25" customHeight="1">
      <c r="A275" s="2945" t="s">
        <v>305</v>
      </c>
      <c r="B275" s="2945" t="s">
        <v>3129</v>
      </c>
      <c r="C275" s="2945"/>
      <c r="D275" s="2945"/>
      <c r="E275" s="2945"/>
      <c r="F275" s="2945">
        <v>1220</v>
      </c>
      <c r="G275" s="2945"/>
    </row>
    <row r="276" spans="1:7" s="2779" customFormat="1" ht="14.25" customHeight="1" thickBot="1">
      <c r="A276" s="2953" t="s">
        <v>305</v>
      </c>
      <c r="B276" s="2955" t="s">
        <v>3130</v>
      </c>
      <c r="C276" s="2956"/>
      <c r="D276" s="2956"/>
      <c r="E276" s="2956"/>
      <c r="F276" s="2956">
        <v>1380</v>
      </c>
      <c r="G276" s="2956"/>
    </row>
    <row r="277" spans="1:7" s="2779" customFormat="1" ht="14.25" customHeight="1">
      <c r="A277" s="2950" t="s">
        <v>306</v>
      </c>
      <c r="B277" s="2941" t="s">
        <v>3131</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3132</v>
      </c>
      <c r="C279" s="2945">
        <v>4760</v>
      </c>
      <c r="D279" s="2945">
        <v>4720</v>
      </c>
      <c r="E279" s="2945">
        <v>5540</v>
      </c>
      <c r="F279" s="2945">
        <v>810</v>
      </c>
      <c r="G279" s="2958">
        <v>2850</v>
      </c>
    </row>
    <row r="280" spans="1:7" s="2779" customFormat="1" ht="14.25" customHeight="1">
      <c r="A280" s="2945" t="s">
        <v>306</v>
      </c>
      <c r="B280" s="2945" t="s">
        <v>3133</v>
      </c>
      <c r="C280" s="2945">
        <v>4010</v>
      </c>
      <c r="D280" s="2945">
        <v>3950</v>
      </c>
      <c r="E280" s="2945">
        <v>4710</v>
      </c>
      <c r="F280" s="2945">
        <v>800</v>
      </c>
      <c r="G280" s="2958">
        <v>2390</v>
      </c>
    </row>
    <row r="281" spans="1:7" s="2779" customFormat="1" ht="14.25" customHeight="1">
      <c r="A281" s="2945" t="s">
        <v>306</v>
      </c>
      <c r="B281" s="2945" t="s">
        <v>3134</v>
      </c>
      <c r="C281" s="2945">
        <v>4480</v>
      </c>
      <c r="D281" s="2945">
        <v>4420</v>
      </c>
      <c r="E281" s="2945">
        <v>5230</v>
      </c>
      <c r="F281" s="2945">
        <v>870</v>
      </c>
      <c r="G281" s="2958">
        <v>2660</v>
      </c>
    </row>
    <row r="282" spans="1:7" s="2779" customFormat="1" ht="14.25" customHeight="1">
      <c r="A282" s="2945" t="s">
        <v>306</v>
      </c>
      <c r="B282" s="2945" t="s">
        <v>3135</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3136</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3137</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2912</v>
      </c>
      <c r="C293" s="2945">
        <v>5320</v>
      </c>
      <c r="D293" s="2945">
        <v>5270</v>
      </c>
      <c r="E293" s="2945">
        <v>6160</v>
      </c>
      <c r="F293" s="2945">
        <v>990</v>
      </c>
      <c r="G293" s="2958">
        <v>3170</v>
      </c>
    </row>
    <row r="294" spans="1:7" s="2779" customFormat="1" ht="14.25" customHeight="1">
      <c r="A294" s="2945" t="s">
        <v>306</v>
      </c>
      <c r="B294" s="2945" t="s">
        <v>3138</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2931</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3139</v>
      </c>
      <c r="C302" s="2945">
        <v>5520</v>
      </c>
      <c r="D302" s="2945">
        <v>5470</v>
      </c>
      <c r="E302" s="2945">
        <v>6410</v>
      </c>
      <c r="F302" s="2945">
        <v>950</v>
      </c>
      <c r="G302" s="2958">
        <v>3300</v>
      </c>
    </row>
    <row r="303" spans="1:7" s="2779" customFormat="1" ht="14.25" customHeight="1">
      <c r="A303" s="2945" t="s">
        <v>306</v>
      </c>
      <c r="B303" s="2945" t="s">
        <v>2951</v>
      </c>
      <c r="C303" s="2945">
        <v>5630</v>
      </c>
      <c r="D303" s="2945">
        <v>5590</v>
      </c>
      <c r="E303" s="2945">
        <v>6550</v>
      </c>
      <c r="F303" s="2945">
        <v>1010</v>
      </c>
      <c r="G303" s="2958">
        <v>3370</v>
      </c>
    </row>
    <row r="304" spans="1:7" s="2779" customFormat="1" ht="14.25" customHeight="1">
      <c r="A304" s="2945" t="s">
        <v>306</v>
      </c>
      <c r="B304" s="2945" t="s">
        <v>2958</v>
      </c>
      <c r="C304" s="2945">
        <v>5680</v>
      </c>
      <c r="D304" s="2945">
        <v>5620</v>
      </c>
      <c r="E304" s="2945">
        <v>6620</v>
      </c>
      <c r="F304" s="2945">
        <v>1050</v>
      </c>
      <c r="G304" s="2958">
        <v>3390</v>
      </c>
    </row>
    <row r="305" spans="1:7" s="2779" customFormat="1" ht="14.25" customHeight="1">
      <c r="A305" s="2945" t="s">
        <v>306</v>
      </c>
      <c r="B305" s="2945" t="s">
        <v>2964</v>
      </c>
      <c r="C305" s="2945">
        <v>5590</v>
      </c>
      <c r="D305" s="2945">
        <v>5530</v>
      </c>
      <c r="E305" s="2945">
        <v>6460</v>
      </c>
      <c r="F305" s="2945">
        <v>900</v>
      </c>
      <c r="G305" s="2958">
        <v>3340</v>
      </c>
    </row>
    <row r="306" spans="1:7" s="2779" customFormat="1" ht="14.25" customHeight="1">
      <c r="A306" s="2945" t="s">
        <v>306</v>
      </c>
      <c r="B306" s="2945" t="s">
        <v>3140</v>
      </c>
      <c r="C306" s="2945">
        <v>5560</v>
      </c>
      <c r="D306" s="2945">
        <v>5510</v>
      </c>
      <c r="E306" s="2945">
        <v>6440</v>
      </c>
      <c r="F306" s="2945">
        <v>900</v>
      </c>
      <c r="G306" s="2958">
        <v>3320</v>
      </c>
    </row>
    <row r="307" spans="1:7" s="2779" customFormat="1" ht="14.25" customHeight="1">
      <c r="A307" s="2945" t="s">
        <v>306</v>
      </c>
      <c r="B307" s="2945" t="s">
        <v>2976</v>
      </c>
      <c r="C307" s="2945">
        <v>5650</v>
      </c>
      <c r="D307" s="2945">
        <v>5600</v>
      </c>
      <c r="E307" s="2945">
        <v>6590</v>
      </c>
      <c r="F307" s="2945">
        <v>930</v>
      </c>
      <c r="G307" s="2958">
        <v>3380</v>
      </c>
    </row>
    <row r="308" spans="1:7" s="2779" customFormat="1" ht="14.25" customHeight="1">
      <c r="A308" s="2945" t="s">
        <v>306</v>
      </c>
      <c r="B308" s="2945" t="s">
        <v>3141</v>
      </c>
      <c r="C308" s="2945">
        <v>5620</v>
      </c>
      <c r="D308" s="2945">
        <v>5580</v>
      </c>
      <c r="E308" s="2945">
        <v>6540</v>
      </c>
      <c r="F308" s="2945">
        <v>910</v>
      </c>
      <c r="G308" s="2958">
        <v>3370</v>
      </c>
    </row>
    <row r="309" spans="1:7" s="2779" customFormat="1" ht="14.25" customHeight="1">
      <c r="A309" s="2945" t="s">
        <v>306</v>
      </c>
      <c r="B309" s="2945" t="s">
        <v>3142</v>
      </c>
      <c r="C309" s="2945">
        <v>5060</v>
      </c>
      <c r="D309" s="2945">
        <v>5020</v>
      </c>
      <c r="E309" s="2945">
        <v>6370</v>
      </c>
      <c r="F309" s="2945">
        <v>800</v>
      </c>
      <c r="G309" s="2958">
        <v>3020</v>
      </c>
    </row>
    <row r="310" spans="1:7" s="2779" customFormat="1" ht="14.25" customHeight="1">
      <c r="A310" s="2945" t="s">
        <v>306</v>
      </c>
      <c r="B310" s="2945" t="s">
        <v>2991</v>
      </c>
      <c r="C310" s="2945">
        <v>5150</v>
      </c>
      <c r="D310" s="2945">
        <v>5110</v>
      </c>
      <c r="E310" s="2945">
        <v>6500</v>
      </c>
      <c r="F310" s="2945">
        <v>880</v>
      </c>
      <c r="G310" s="2958">
        <v>3080</v>
      </c>
    </row>
    <row r="311" spans="1:7" s="2779" customFormat="1" ht="14.25" customHeight="1">
      <c r="A311" s="2945" t="s">
        <v>306</v>
      </c>
      <c r="B311" s="2945" t="s">
        <v>3143</v>
      </c>
      <c r="C311" s="2945">
        <v>4750</v>
      </c>
      <c r="D311" s="2945">
        <v>4710</v>
      </c>
      <c r="E311" s="2945">
        <v>5510</v>
      </c>
      <c r="F311" s="2945">
        <v>880</v>
      </c>
      <c r="G311" s="2958">
        <v>2840</v>
      </c>
    </row>
    <row r="312" spans="1:7" s="2779" customFormat="1" ht="14.25" customHeight="1">
      <c r="A312" s="2945" t="s">
        <v>306</v>
      </c>
      <c r="B312" s="2945" t="s">
        <v>3001</v>
      </c>
      <c r="C312" s="2945">
        <v>4690</v>
      </c>
      <c r="D312" s="2945">
        <v>4640</v>
      </c>
      <c r="E312" s="2945">
        <v>5420</v>
      </c>
      <c r="F312" s="2945">
        <v>800</v>
      </c>
      <c r="G312" s="2958">
        <v>2800</v>
      </c>
    </row>
    <row r="313" spans="1:7" s="2779" customFormat="1" ht="14.25" customHeight="1">
      <c r="A313" s="2945" t="s">
        <v>306</v>
      </c>
      <c r="B313" s="2945" t="s">
        <v>3006</v>
      </c>
      <c r="C313" s="2945">
        <v>4810</v>
      </c>
      <c r="D313" s="2945">
        <v>4760</v>
      </c>
      <c r="E313" s="2945">
        <v>5550</v>
      </c>
      <c r="F313" s="2945">
        <v>920</v>
      </c>
      <c r="G313" s="2958">
        <v>2870</v>
      </c>
    </row>
    <row r="314" spans="1:7" s="2779" customFormat="1" ht="14.25" customHeight="1">
      <c r="A314" s="2945" t="s">
        <v>306</v>
      </c>
      <c r="B314" s="2945" t="s">
        <v>3144</v>
      </c>
      <c r="C314" s="2945"/>
      <c r="D314" s="2945"/>
      <c r="E314" s="2945"/>
      <c r="F314" s="2945">
        <v>1020</v>
      </c>
      <c r="G314" s="2958"/>
    </row>
    <row r="315" spans="1:7" s="2779" customFormat="1" ht="14.25" customHeight="1">
      <c r="A315" s="2945" t="s">
        <v>306</v>
      </c>
      <c r="B315" s="2945" t="s">
        <v>3145</v>
      </c>
      <c r="C315" s="2945"/>
      <c r="D315" s="2945"/>
      <c r="E315" s="2945"/>
      <c r="F315" s="2945">
        <v>1050</v>
      </c>
      <c r="G315" s="2958"/>
    </row>
    <row r="316" spans="1:7" s="2779" customFormat="1" ht="14.25" customHeight="1">
      <c r="A316" s="2945" t="s">
        <v>306</v>
      </c>
      <c r="B316" s="2945" t="s">
        <v>3021</v>
      </c>
      <c r="C316" s="2945"/>
      <c r="D316" s="2945"/>
      <c r="E316" s="2945"/>
      <c r="F316" s="2945">
        <v>900</v>
      </c>
      <c r="G316" s="2958"/>
    </row>
    <row r="317" spans="1:7" s="2779" customFormat="1" ht="14.25" customHeight="1">
      <c r="A317" s="2945" t="s">
        <v>306</v>
      </c>
      <c r="B317" s="2945" t="s">
        <v>3146</v>
      </c>
      <c r="C317" s="2945"/>
      <c r="D317" s="2945"/>
      <c r="E317" s="2945"/>
      <c r="F317" s="2945">
        <v>920</v>
      </c>
      <c r="G317" s="2958"/>
    </row>
    <row r="318" spans="1:7" s="2779" customFormat="1" ht="14.25" customHeight="1">
      <c r="A318" s="2945" t="s">
        <v>306</v>
      </c>
      <c r="B318" s="2945" t="s">
        <v>3147</v>
      </c>
      <c r="C318" s="2945"/>
      <c r="D318" s="2945"/>
      <c r="E318" s="2945"/>
      <c r="F318" s="2945">
        <v>1080</v>
      </c>
      <c r="G318" s="2958"/>
    </row>
    <row r="319" spans="1:7" s="2779" customFormat="1" ht="14.25" customHeight="1">
      <c r="A319" s="2945" t="s">
        <v>306</v>
      </c>
      <c r="B319" s="2945" t="s">
        <v>3034</v>
      </c>
      <c r="C319" s="2945"/>
      <c r="D319" s="2945"/>
      <c r="E319" s="2945"/>
      <c r="F319" s="2945">
        <v>1020</v>
      </c>
      <c r="G319" s="2958"/>
    </row>
    <row r="320" spans="1:7" s="2779" customFormat="1" ht="14.25" customHeight="1">
      <c r="A320" s="2945" t="s">
        <v>306</v>
      </c>
      <c r="B320" s="2945" t="s">
        <v>3037</v>
      </c>
      <c r="C320" s="2945"/>
      <c r="D320" s="2945"/>
      <c r="E320" s="2945"/>
      <c r="F320" s="2945">
        <v>1050</v>
      </c>
      <c r="G320" s="2958"/>
    </row>
    <row r="321" spans="1:7" s="2779" customFormat="1" ht="14.25" customHeight="1">
      <c r="A321" s="2945" t="s">
        <v>306</v>
      </c>
      <c r="B321" s="2945" t="s">
        <v>3039</v>
      </c>
      <c r="C321" s="2945"/>
      <c r="D321" s="2945"/>
      <c r="E321" s="2945"/>
      <c r="F321" s="2945">
        <v>960</v>
      </c>
      <c r="G321" s="2958"/>
    </row>
    <row r="322" spans="1:7" s="2779" customFormat="1" ht="14.25" customHeight="1">
      <c r="A322" s="2945" t="s">
        <v>306</v>
      </c>
      <c r="B322" s="2945" t="s">
        <v>3041</v>
      </c>
      <c r="C322" s="2945"/>
      <c r="D322" s="2945"/>
      <c r="E322" s="2945"/>
      <c r="F322" s="2945">
        <v>960</v>
      </c>
      <c r="G322" s="2958"/>
    </row>
    <row r="323" spans="1:7" s="2779" customFormat="1" ht="14.25" customHeight="1">
      <c r="A323" s="2945" t="s">
        <v>306</v>
      </c>
      <c r="B323" s="2945" t="s">
        <v>3043</v>
      </c>
      <c r="C323" s="2945"/>
      <c r="D323" s="2945"/>
      <c r="E323" s="2945"/>
      <c r="F323" s="2945">
        <v>880</v>
      </c>
      <c r="G323" s="2958"/>
    </row>
    <row r="324" spans="1:7" s="2779" customFormat="1" ht="14.25" customHeight="1">
      <c r="A324" s="2945" t="s">
        <v>306</v>
      </c>
      <c r="B324" s="2945" t="s">
        <v>3045</v>
      </c>
      <c r="C324" s="2945"/>
      <c r="D324" s="2945"/>
      <c r="E324" s="2945"/>
      <c r="F324" s="2945">
        <v>930</v>
      </c>
      <c r="G324" s="2958"/>
    </row>
    <row r="325" spans="1:7" s="2779" customFormat="1" ht="14.25" customHeight="1">
      <c r="A325" s="2945" t="s">
        <v>306</v>
      </c>
      <c r="B325" s="2946" t="s">
        <v>3047</v>
      </c>
      <c r="C325" s="2945"/>
      <c r="D325" s="2945"/>
      <c r="E325" s="2945"/>
      <c r="F325" s="2945">
        <v>900</v>
      </c>
      <c r="G325" s="2958"/>
    </row>
    <row r="326" spans="1:7" s="2779" customFormat="1" ht="14.25" customHeight="1" thickBot="1">
      <c r="A326" s="2959" t="s">
        <v>306</v>
      </c>
      <c r="B326" s="2952" t="s">
        <v>3049</v>
      </c>
      <c r="C326" s="2952"/>
      <c r="D326" s="2952"/>
      <c r="E326" s="2952"/>
      <c r="F326" s="2952">
        <v>790</v>
      </c>
      <c r="G326" s="2960"/>
    </row>
    <row r="327" spans="1:7" s="2779" customFormat="1" ht="14.25" customHeight="1">
      <c r="A327" s="2950" t="s">
        <v>307</v>
      </c>
      <c r="B327" s="2941" t="s">
        <v>3148</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3149</v>
      </c>
      <c r="C329" s="2945">
        <v>2730</v>
      </c>
      <c r="D329" s="2945">
        <v>2690</v>
      </c>
      <c r="E329" s="2945">
        <v>3100</v>
      </c>
      <c r="F329" s="2945">
        <v>660</v>
      </c>
      <c r="G329" s="2945">
        <v>1610</v>
      </c>
    </row>
    <row r="330" spans="1:7" s="2779" customFormat="1" ht="14.25" customHeight="1">
      <c r="A330" s="2945" t="s">
        <v>307</v>
      </c>
      <c r="B330" s="2945" t="s">
        <v>3150</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2883</v>
      </c>
      <c r="C332" s="2945">
        <v>3520</v>
      </c>
      <c r="D332" s="2945">
        <v>3480</v>
      </c>
      <c r="E332" s="2945">
        <v>3830</v>
      </c>
      <c r="F332" s="2945">
        <v>720</v>
      </c>
      <c r="G332" s="2945">
        <v>2090</v>
      </c>
    </row>
    <row r="333" spans="1:7" s="2779" customFormat="1" ht="14.25" customHeight="1">
      <c r="A333" s="2945" t="s">
        <v>307</v>
      </c>
      <c r="B333" s="2945" t="s">
        <v>3151</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2893</v>
      </c>
      <c r="C336" s="2945">
        <v>3570</v>
      </c>
      <c r="D336" s="2945">
        <v>3530</v>
      </c>
      <c r="E336" s="2945">
        <v>3880</v>
      </c>
      <c r="F336" s="2945">
        <v>770</v>
      </c>
      <c r="G336" s="2945">
        <v>2110</v>
      </c>
    </row>
    <row r="337" spans="1:10" s="2779" customFormat="1" ht="14.25" customHeight="1">
      <c r="A337" s="2945" t="s">
        <v>307</v>
      </c>
      <c r="B337" s="2945" t="s">
        <v>3152</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3153</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3154</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2918</v>
      </c>
      <c r="C345" s="2945">
        <v>3190</v>
      </c>
      <c r="D345" s="2945">
        <v>3140</v>
      </c>
      <c r="E345" s="2945">
        <v>3450</v>
      </c>
      <c r="F345" s="2945">
        <v>720</v>
      </c>
      <c r="G345" s="2945">
        <v>1880</v>
      </c>
      <c r="J345" s="2779"/>
    </row>
    <row r="346" spans="1:10">
      <c r="A346" s="2945" t="s">
        <v>307</v>
      </c>
      <c r="B346" s="2945" t="s">
        <v>3155</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2927</v>
      </c>
      <c r="C348" s="2945">
        <v>4000</v>
      </c>
      <c r="D348" s="2945">
        <v>3950</v>
      </c>
      <c r="E348" s="2945">
        <v>4430</v>
      </c>
      <c r="F348" s="2945">
        <v>760</v>
      </c>
      <c r="G348" s="2945">
        <v>2360</v>
      </c>
      <c r="J348" s="2779"/>
    </row>
    <row r="349" spans="1:10">
      <c r="A349" s="2945" t="s">
        <v>307</v>
      </c>
      <c r="B349" s="2945" t="s">
        <v>2932</v>
      </c>
      <c r="C349" s="2945">
        <v>3820</v>
      </c>
      <c r="D349" s="2945">
        <v>3780</v>
      </c>
      <c r="E349" s="2945">
        <v>4170</v>
      </c>
      <c r="F349" s="2945">
        <v>710</v>
      </c>
      <c r="G349" s="2945">
        <v>2260</v>
      </c>
      <c r="J349" s="2779"/>
    </row>
    <row r="350" spans="1:10">
      <c r="A350" s="2945" t="s">
        <v>307</v>
      </c>
      <c r="B350" s="2945" t="s">
        <v>3156</v>
      </c>
      <c r="C350" s="2945">
        <v>3760</v>
      </c>
      <c r="D350" s="2945">
        <v>3730</v>
      </c>
      <c r="E350" s="2945">
        <v>4100</v>
      </c>
      <c r="F350" s="2945">
        <v>800</v>
      </c>
      <c r="G350" s="2945">
        <v>2230</v>
      </c>
      <c r="J350" s="2779"/>
    </row>
    <row r="351" spans="1:10">
      <c r="A351" s="2945" t="s">
        <v>307</v>
      </c>
      <c r="B351" s="2945" t="s">
        <v>2940</v>
      </c>
      <c r="C351" s="2945">
        <v>3610</v>
      </c>
      <c r="D351" s="2945">
        <v>3580</v>
      </c>
      <c r="E351" s="2945">
        <v>3930</v>
      </c>
      <c r="F351" s="2945">
        <v>700</v>
      </c>
      <c r="G351" s="2945">
        <v>2140</v>
      </c>
      <c r="J351" s="2779"/>
    </row>
    <row r="352" spans="1:10">
      <c r="A352" s="2945" t="s">
        <v>307</v>
      </c>
      <c r="B352" s="2945" t="s">
        <v>2945</v>
      </c>
      <c r="C352" s="2945">
        <v>3670</v>
      </c>
      <c r="D352" s="2945">
        <v>3630</v>
      </c>
      <c r="E352" s="2945">
        <v>4000</v>
      </c>
      <c r="F352" s="2945">
        <v>750</v>
      </c>
      <c r="G352" s="2945">
        <v>2180</v>
      </c>
    </row>
    <row r="353" spans="1:7" s="2780" customFormat="1">
      <c r="A353" s="2945" t="s">
        <v>307</v>
      </c>
      <c r="B353" s="2945" t="s">
        <v>3157</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2965</v>
      </c>
      <c r="C355" s="2945">
        <v>3650</v>
      </c>
      <c r="D355" s="2945">
        <v>3610</v>
      </c>
      <c r="E355" s="2945">
        <v>4200</v>
      </c>
      <c r="F355" s="2945">
        <v>640</v>
      </c>
      <c r="G355" s="2945">
        <v>2160</v>
      </c>
    </row>
    <row r="356" spans="1:7" s="2780" customFormat="1">
      <c r="A356" s="2945" t="s">
        <v>307</v>
      </c>
      <c r="B356" s="2945" t="s">
        <v>2972</v>
      </c>
      <c r="C356" s="2945">
        <v>3260</v>
      </c>
      <c r="D356" s="2945">
        <v>3230</v>
      </c>
      <c r="E356" s="2945">
        <v>3740</v>
      </c>
      <c r="F356" s="2945">
        <v>600</v>
      </c>
      <c r="G356" s="2945">
        <v>1930</v>
      </c>
    </row>
    <row r="357" spans="1:7" s="2780" customFormat="1" ht="11.4" thickBot="1">
      <c r="A357" s="2953" t="s">
        <v>307</v>
      </c>
      <c r="B357" s="2956" t="s">
        <v>3158</v>
      </c>
      <c r="C357" s="2956">
        <v>3690</v>
      </c>
      <c r="D357" s="2956">
        <v>3650</v>
      </c>
      <c r="E357" s="2956">
        <v>4020</v>
      </c>
      <c r="F357" s="2956">
        <v>700</v>
      </c>
      <c r="G357" s="2956">
        <v>2190</v>
      </c>
    </row>
    <row r="358" spans="1:7" s="2780" customFormat="1">
      <c r="A358" s="2950" t="s">
        <v>3159</v>
      </c>
      <c r="B358" s="2941" t="s">
        <v>3160</v>
      </c>
      <c r="C358" s="2941">
        <v>2080</v>
      </c>
      <c r="D358" s="2941">
        <v>2040</v>
      </c>
      <c r="E358" s="2941">
        <v>2010</v>
      </c>
      <c r="F358" s="2941">
        <v>530</v>
      </c>
      <c r="G358" s="2957">
        <v>1230</v>
      </c>
    </row>
    <row r="359" spans="1:7" s="2780" customFormat="1">
      <c r="A359" s="2945" t="s">
        <v>3159</v>
      </c>
      <c r="B359" s="2945" t="s">
        <v>3161</v>
      </c>
      <c r="C359" s="2945">
        <v>1850</v>
      </c>
      <c r="D359" s="2945">
        <v>1820</v>
      </c>
      <c r="E359" s="2945">
        <v>1780</v>
      </c>
      <c r="F359" s="2945">
        <v>520</v>
      </c>
      <c r="G359" s="2958">
        <v>1100</v>
      </c>
    </row>
    <row r="360" spans="1:7" s="2780" customFormat="1">
      <c r="A360" s="2945" t="s">
        <v>3159</v>
      </c>
      <c r="B360" s="2945" t="s">
        <v>3162</v>
      </c>
      <c r="C360" s="2945">
        <v>2020</v>
      </c>
      <c r="D360" s="2945">
        <v>1990</v>
      </c>
      <c r="E360" s="2945">
        <v>1950</v>
      </c>
      <c r="F360" s="2945">
        <v>500</v>
      </c>
      <c r="G360" s="2958">
        <v>1200</v>
      </c>
    </row>
    <row r="361" spans="1:7" s="2780" customFormat="1">
      <c r="A361" s="2945" t="s">
        <v>3159</v>
      </c>
      <c r="B361" s="2945" t="s">
        <v>153</v>
      </c>
      <c r="C361" s="2945">
        <v>2260</v>
      </c>
      <c r="D361" s="2945">
        <v>2220</v>
      </c>
      <c r="E361" s="2945">
        <v>2180</v>
      </c>
      <c r="F361" s="2945">
        <v>580</v>
      </c>
      <c r="G361" s="2958">
        <v>1340</v>
      </c>
    </row>
    <row r="362" spans="1:7" s="2780" customFormat="1">
      <c r="A362" s="2945" t="s">
        <v>3159</v>
      </c>
      <c r="B362" s="2945" t="s">
        <v>3163</v>
      </c>
      <c r="C362" s="2945">
        <v>2650</v>
      </c>
      <c r="D362" s="2945">
        <v>2610</v>
      </c>
      <c r="E362" s="2945">
        <v>2570</v>
      </c>
      <c r="F362" s="2945">
        <v>630</v>
      </c>
      <c r="G362" s="2958">
        <v>1570</v>
      </c>
    </row>
    <row r="363" spans="1:7" s="2780" customFormat="1">
      <c r="A363" s="2945" t="s">
        <v>3159</v>
      </c>
      <c r="B363" s="2945" t="s">
        <v>2884</v>
      </c>
      <c r="C363" s="2945">
        <v>2390</v>
      </c>
      <c r="D363" s="2945">
        <v>2360</v>
      </c>
      <c r="E363" s="2945">
        <v>2320</v>
      </c>
      <c r="F363" s="2945">
        <v>600</v>
      </c>
      <c r="G363" s="2958">
        <v>1420</v>
      </c>
    </row>
    <row r="364" spans="1:7" s="2780" customFormat="1">
      <c r="A364" s="2945" t="s">
        <v>3159</v>
      </c>
      <c r="B364" s="2945" t="s">
        <v>3164</v>
      </c>
      <c r="C364" s="2945">
        <v>2050</v>
      </c>
      <c r="D364" s="2945">
        <v>2030</v>
      </c>
      <c r="E364" s="2945">
        <v>1990</v>
      </c>
      <c r="F364" s="2945">
        <v>550</v>
      </c>
      <c r="G364" s="2958">
        <v>1220</v>
      </c>
    </row>
    <row r="365" spans="1:7" s="2780" customFormat="1">
      <c r="A365" s="2945" t="s">
        <v>3159</v>
      </c>
      <c r="B365" s="2945" t="s">
        <v>200</v>
      </c>
      <c r="C365" s="2945">
        <v>2140</v>
      </c>
      <c r="D365" s="2945">
        <v>2100</v>
      </c>
      <c r="E365" s="2945">
        <v>2060</v>
      </c>
      <c r="F365" s="2945">
        <v>540</v>
      </c>
      <c r="G365" s="2958">
        <v>1270</v>
      </c>
    </row>
    <row r="366" spans="1:7" s="2780" customFormat="1">
      <c r="A366" s="2945" t="s">
        <v>3159</v>
      </c>
      <c r="B366" s="2945" t="s">
        <v>2891</v>
      </c>
      <c r="C366" s="2945">
        <v>2410</v>
      </c>
      <c r="D366" s="2945">
        <v>2370</v>
      </c>
      <c r="E366" s="2945">
        <v>2330</v>
      </c>
      <c r="F366" s="2945">
        <v>570</v>
      </c>
      <c r="G366" s="2958">
        <v>1440</v>
      </c>
    </row>
    <row r="367" spans="1:7" s="2780" customFormat="1">
      <c r="A367" s="2945" t="s">
        <v>3159</v>
      </c>
      <c r="B367" s="2945" t="s">
        <v>3165</v>
      </c>
      <c r="C367" s="2945">
        <v>2300</v>
      </c>
      <c r="D367" s="2945">
        <v>2260</v>
      </c>
      <c r="E367" s="2945">
        <v>2220</v>
      </c>
      <c r="F367" s="2945">
        <v>560</v>
      </c>
      <c r="G367" s="2958">
        <v>1370</v>
      </c>
    </row>
    <row r="368" spans="1:7" s="2780" customFormat="1">
      <c r="A368" s="2945" t="s">
        <v>3159</v>
      </c>
      <c r="B368" s="2945" t="s">
        <v>3166</v>
      </c>
      <c r="C368" s="2945">
        <v>2430</v>
      </c>
      <c r="D368" s="2945">
        <v>2390</v>
      </c>
      <c r="E368" s="2945">
        <v>2350</v>
      </c>
      <c r="F368" s="2945">
        <v>570</v>
      </c>
      <c r="G368" s="2958">
        <v>1450</v>
      </c>
    </row>
    <row r="369" spans="1:7" s="2780" customFormat="1">
      <c r="A369" s="2945" t="s">
        <v>3159</v>
      </c>
      <c r="B369" s="2945" t="s">
        <v>214</v>
      </c>
      <c r="C369" s="2945">
        <v>2320</v>
      </c>
      <c r="D369" s="2945">
        <v>2290</v>
      </c>
      <c r="E369" s="2945">
        <v>2250</v>
      </c>
      <c r="F369" s="2945">
        <v>550</v>
      </c>
      <c r="G369" s="2958">
        <v>1380</v>
      </c>
    </row>
    <row r="370" spans="1:7" s="2780" customFormat="1">
      <c r="A370" s="2945" t="s">
        <v>3159</v>
      </c>
      <c r="B370" s="2945" t="s">
        <v>221</v>
      </c>
      <c r="C370" s="2945">
        <v>2190</v>
      </c>
      <c r="D370" s="2945">
        <v>2170</v>
      </c>
      <c r="E370" s="2945">
        <v>2130</v>
      </c>
      <c r="F370" s="2945">
        <v>530</v>
      </c>
      <c r="G370" s="2958">
        <v>1310</v>
      </c>
    </row>
    <row r="371" spans="1:7" s="2780" customFormat="1">
      <c r="A371" s="2945" t="s">
        <v>3159</v>
      </c>
      <c r="B371" s="2945" t="s">
        <v>229</v>
      </c>
      <c r="C371" s="2945">
        <v>2460</v>
      </c>
      <c r="D371" s="2945">
        <v>2420</v>
      </c>
      <c r="E371" s="2945">
        <v>2370</v>
      </c>
      <c r="F371" s="2945">
        <v>560</v>
      </c>
      <c r="G371" s="2958">
        <v>1470</v>
      </c>
    </row>
    <row r="372" spans="1:7" s="2780" customFormat="1">
      <c r="A372" s="2945" t="s">
        <v>3159</v>
      </c>
      <c r="B372" s="2945" t="s">
        <v>3167</v>
      </c>
      <c r="C372" s="2945">
        <v>2250</v>
      </c>
      <c r="D372" s="2945">
        <v>2210</v>
      </c>
      <c r="E372" s="2945">
        <v>2180</v>
      </c>
      <c r="F372" s="2945">
        <v>550</v>
      </c>
      <c r="G372" s="2958">
        <v>1340</v>
      </c>
    </row>
    <row r="373" spans="1:7" s="2780" customFormat="1">
      <c r="A373" s="2945" t="s">
        <v>3159</v>
      </c>
      <c r="B373" s="2945" t="s">
        <v>258</v>
      </c>
      <c r="C373" s="2945">
        <v>2210</v>
      </c>
      <c r="D373" s="2945">
        <v>2190</v>
      </c>
      <c r="E373" s="2945">
        <v>2150</v>
      </c>
      <c r="F373" s="2945">
        <v>530</v>
      </c>
      <c r="G373" s="2958">
        <v>1320</v>
      </c>
    </row>
    <row r="374" spans="1:7" s="2780" customFormat="1">
      <c r="A374" s="2945" t="s">
        <v>3159</v>
      </c>
      <c r="B374" s="2945" t="s">
        <v>266</v>
      </c>
      <c r="C374" s="2945">
        <v>2320</v>
      </c>
      <c r="D374" s="2945">
        <v>2280</v>
      </c>
      <c r="E374" s="2945">
        <v>2230</v>
      </c>
      <c r="F374" s="2945">
        <v>580</v>
      </c>
      <c r="G374" s="2958">
        <v>1380</v>
      </c>
    </row>
    <row r="375" spans="1:7" s="2780" customFormat="1">
      <c r="A375" s="2945" t="s">
        <v>3159</v>
      </c>
      <c r="B375" s="2945" t="s">
        <v>3168</v>
      </c>
      <c r="C375" s="2945">
        <v>2090</v>
      </c>
      <c r="D375" s="2945">
        <v>2050</v>
      </c>
      <c r="E375" s="2945">
        <v>2020</v>
      </c>
      <c r="F375" s="2945">
        <v>520</v>
      </c>
      <c r="G375" s="2958">
        <v>1240</v>
      </c>
    </row>
    <row r="376" spans="1:7" s="2780" customFormat="1">
      <c r="A376" s="2945" t="s">
        <v>3159</v>
      </c>
      <c r="B376" s="2945" t="s">
        <v>277</v>
      </c>
      <c r="C376" s="2945">
        <v>2010</v>
      </c>
      <c r="D376" s="2945">
        <v>1980</v>
      </c>
      <c r="E376" s="2945">
        <v>1940</v>
      </c>
      <c r="F376" s="2945">
        <v>540</v>
      </c>
      <c r="G376" s="2958">
        <v>1190</v>
      </c>
    </row>
    <row r="377" spans="1:7" s="2780" customFormat="1" ht="11.4" thickBot="1">
      <c r="A377" s="2953" t="s">
        <v>3159</v>
      </c>
      <c r="B377" s="2956" t="s">
        <v>2921</v>
      </c>
      <c r="C377" s="2956">
        <v>1930</v>
      </c>
      <c r="D377" s="2956">
        <v>1890</v>
      </c>
      <c r="E377" s="2956">
        <v>1860</v>
      </c>
      <c r="F377" s="2956">
        <v>530</v>
      </c>
      <c r="G377" s="2961">
        <v>1150</v>
      </c>
    </row>
    <row r="378" spans="1:7" s="2780" customFormat="1">
      <c r="A378" s="2962" t="s">
        <v>3169</v>
      </c>
      <c r="B378" s="2941" t="s">
        <v>3170</v>
      </c>
      <c r="C378" s="2941">
        <v>1520</v>
      </c>
      <c r="D378" s="2941">
        <v>1490</v>
      </c>
      <c r="E378" s="2941">
        <v>1460</v>
      </c>
      <c r="F378" s="2941">
        <v>460</v>
      </c>
      <c r="G378" s="2957">
        <v>940</v>
      </c>
    </row>
    <row r="379" spans="1:7" s="2780" customFormat="1">
      <c r="A379" s="2963" t="s">
        <v>3169</v>
      </c>
      <c r="B379" s="2945" t="s">
        <v>3171</v>
      </c>
      <c r="C379" s="2945">
        <v>1500</v>
      </c>
      <c r="D379" s="2945">
        <v>1470</v>
      </c>
      <c r="E379" s="2945">
        <v>1430</v>
      </c>
      <c r="F379" s="2945">
        <v>460</v>
      </c>
      <c r="G379" s="2958">
        <v>920</v>
      </c>
    </row>
    <row r="380" spans="1:7" s="2780" customFormat="1">
      <c r="A380" s="2963" t="s">
        <v>3169</v>
      </c>
      <c r="B380" s="2945" t="s">
        <v>3172</v>
      </c>
      <c r="C380" s="2945">
        <v>1620</v>
      </c>
      <c r="D380" s="2945">
        <v>1590</v>
      </c>
      <c r="E380" s="2945">
        <v>1560</v>
      </c>
      <c r="F380" s="2945">
        <v>480</v>
      </c>
      <c r="G380" s="2958">
        <v>1000</v>
      </c>
    </row>
    <row r="381" spans="1:7" s="2780" customFormat="1">
      <c r="A381" s="2963" t="s">
        <v>3169</v>
      </c>
      <c r="B381" s="2945" t="s">
        <v>3173</v>
      </c>
      <c r="C381" s="2945">
        <v>1460</v>
      </c>
      <c r="D381" s="2945">
        <v>1430</v>
      </c>
      <c r="E381" s="2945">
        <v>1390</v>
      </c>
      <c r="F381" s="2945">
        <v>450</v>
      </c>
      <c r="G381" s="2958">
        <v>900</v>
      </c>
    </row>
    <row r="382" spans="1:7" s="2780" customFormat="1">
      <c r="A382" s="2963" t="s">
        <v>3169</v>
      </c>
      <c r="B382" s="2945" t="s">
        <v>3174</v>
      </c>
      <c r="C382" s="2945">
        <v>1310</v>
      </c>
      <c r="D382" s="2945">
        <v>1280</v>
      </c>
      <c r="E382" s="2945">
        <v>1250</v>
      </c>
      <c r="F382" s="2945">
        <v>440</v>
      </c>
      <c r="G382" s="2958">
        <v>800</v>
      </c>
    </row>
    <row r="383" spans="1:7" s="2780" customFormat="1">
      <c r="A383" s="2963" t="s">
        <v>3169</v>
      </c>
      <c r="B383" s="2945" t="s">
        <v>3175</v>
      </c>
      <c r="C383" s="2945">
        <v>1260</v>
      </c>
      <c r="D383" s="2945">
        <v>1230</v>
      </c>
      <c r="E383" s="2945">
        <v>1200</v>
      </c>
      <c r="F383" s="2945">
        <v>420</v>
      </c>
      <c r="G383" s="2958">
        <v>770</v>
      </c>
    </row>
    <row r="384" spans="1:7" s="2780" customFormat="1" ht="11.4" thickBot="1">
      <c r="A384" s="2964" t="s">
        <v>3169</v>
      </c>
      <c r="B384" s="2952" t="s">
        <v>3176</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A36" sqref="A36:XFD36"/>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45772</v>
      </c>
      <c r="D1" s="1217" t="s">
        <v>603</v>
      </c>
      <c r="E1" s="1212">
        <f>'数据-取费表'!B22</f>
        <v>1.5</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3">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4"/>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2305</v>
      </c>
      <c r="C26" s="1207">
        <v>43697</v>
      </c>
      <c r="D26" s="2572">
        <v>4.25</v>
      </c>
      <c r="E26" s="2572">
        <v>4.25</v>
      </c>
      <c r="F26" s="2572">
        <v>4.25</v>
      </c>
      <c r="G26" s="2572">
        <v>4.25</v>
      </c>
      <c r="H26" s="2572">
        <v>4.8499999999999996</v>
      </c>
      <c r="I26" s="2572"/>
      <c r="J26" s="2572"/>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5"/>
      <c r="C27" s="2576">
        <v>42301</v>
      </c>
      <c r="D27" s="2577">
        <v>4.3499999999999996</v>
      </c>
      <c r="E27" s="2577">
        <v>4.3499999999999996</v>
      </c>
      <c r="F27" s="2577">
        <v>4.75</v>
      </c>
      <c r="G27" s="2577">
        <v>4.75</v>
      </c>
      <c r="H27" s="2577">
        <v>4.9000000000000004</v>
      </c>
      <c r="I27" s="2577"/>
      <c r="J27" s="2577"/>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04B8C-A228-4C80-B594-266EDB9D3E90}">
  <sheetPr>
    <tabColor rgb="FF92D050"/>
  </sheetPr>
  <dimension ref="A1:AK122"/>
  <sheetViews>
    <sheetView view="pageBreakPreview" zoomScaleNormal="80" zoomScaleSheetLayoutView="100" workbookViewId="0">
      <selection activeCell="G31" sqref="G31"/>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2170.1999999999998</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4003</v>
      </c>
      <c r="C2" s="1846" t="s">
        <v>1935</v>
      </c>
      <c r="D2" s="162" t="s">
        <v>1936</v>
      </c>
      <c r="E2" s="3118" t="s">
        <v>21</v>
      </c>
      <c r="F2" s="162" t="s">
        <v>1937</v>
      </c>
      <c r="G2" s="163" t="str">
        <f>IF(E2="商业",项目基本情况!B37,IF(E2="办公",项目基本情况!C37,IF(E2="住宅",项目基本情况!D37,IF(E2="工业",项目基本情况!E37,项目基本情况!F37))))</f>
        <v>四级</v>
      </c>
      <c r="H2" s="162" t="s">
        <v>1938</v>
      </c>
      <c r="I2" s="163" t="str">
        <f>IF(E2="商业",项目基本情况!B38,IF(E2="办公",项目基本情况!C38,IF(E2="住宅",项目基本情况!D38,IF(E2="工业",项目基本情况!E38,项目基本情况!F38))))</f>
        <v>Ⅳ-12</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1.5019</v>
      </c>
      <c r="T2" s="3061">
        <f t="shared" ref="T2:T16" si="0">ROUND($C$5*$C$22*$C$23*$C$24*S2*$C$28,0)</f>
        <v>23657</v>
      </c>
      <c r="U2" s="1130"/>
      <c r="V2" s="3061">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18445</v>
      </c>
      <c r="C3" s="1846" t="s">
        <v>1941</v>
      </c>
      <c r="D3" s="162" t="s">
        <v>1942</v>
      </c>
      <c r="E3" s="3116" t="s">
        <v>3441</v>
      </c>
      <c r="F3" s="1848" t="s">
        <v>3428</v>
      </c>
      <c r="G3" s="708">
        <f>IF(F3="宗地容积率",'数据-汇总表'!I4,IF(F3="估价对象容积率",'数据-汇总表'!I6,'数据-汇总表'!I7))</f>
        <v>1.22</v>
      </c>
      <c r="H3" s="162" t="s">
        <v>1943</v>
      </c>
      <c r="I3" s="729">
        <v>1</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1.1838</v>
      </c>
      <c r="T3" s="3061">
        <f t="shared" si="0"/>
        <v>18647</v>
      </c>
      <c r="U3" s="1130"/>
      <c r="V3" s="3061">
        <f t="shared" ref="V3:V16" si="1">ROUND(T3*U3/10000,0)</f>
        <v>0</v>
      </c>
      <c r="W3" s="1133"/>
      <c r="X3" s="1133"/>
      <c r="Y3" s="1133"/>
      <c r="Z3" s="1133"/>
      <c r="AA3" s="1133"/>
      <c r="AB3" s="1133"/>
      <c r="AC3" s="1134"/>
      <c r="AD3" s="1135"/>
      <c r="AE3" s="1135"/>
      <c r="AF3" s="1135"/>
      <c r="AG3" s="1135"/>
      <c r="AH3" s="1135"/>
      <c r="AI3" s="1135"/>
      <c r="AJ3" s="1136"/>
    </row>
    <row r="4" spans="1:36" ht="15.6">
      <c r="A4" s="3362"/>
      <c r="B4" s="3363"/>
      <c r="C4" s="3363"/>
      <c r="D4" s="3364"/>
      <c r="E4" s="3364"/>
      <c r="F4" s="3364"/>
      <c r="G4" s="3364"/>
      <c r="H4" s="3364"/>
      <c r="I4" s="3364"/>
      <c r="J4" s="3365"/>
      <c r="K4" s="1056"/>
      <c r="L4" s="1847" t="s">
        <v>1946</v>
      </c>
      <c r="M4" s="811">
        <f>SUMPRODUCT((区片价!B55:B86=I2)*(区片价!C3:G3=E2)*(区片价!C55:G86))</f>
        <v>18340</v>
      </c>
      <c r="N4" s="813">
        <f>SUMPRODUCT((因素修正幅度!B55:B86=I2)*(因素修正幅度!C3:G3=E2)*(因素修正幅度!C55:G86))</f>
        <v>9.5000000000000001E-2</v>
      </c>
      <c r="O4" s="1056"/>
      <c r="P4" s="1056"/>
      <c r="Q4" s="1056"/>
      <c r="R4" s="1129">
        <v>3</v>
      </c>
      <c r="S4" s="3061">
        <f>ROUND(SUMPRODUCT((B106:B110=R4)*(C105:N105=G2)*(C106:N110)),4)</f>
        <v>1.0004999999999999</v>
      </c>
      <c r="T4" s="3061">
        <f t="shared" si="0"/>
        <v>15760</v>
      </c>
      <c r="U4" s="1130"/>
      <c r="V4" s="3061">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18671</v>
      </c>
      <c r="D5" s="1252">
        <f>ROUND(C6*C17+C20,0)</f>
        <v>18304</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0.88239999999999996</v>
      </c>
      <c r="T5" s="3061">
        <f t="shared" si="0"/>
        <v>13899</v>
      </c>
      <c r="U5" s="1130"/>
      <c r="V5" s="3061">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18340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0.84799999999999998</v>
      </c>
      <c r="T6" s="3061">
        <f t="shared" si="0"/>
        <v>13357</v>
      </c>
      <c r="U6" s="1130"/>
      <c r="V6" s="3061">
        <f t="shared" si="1"/>
        <v>0</v>
      </c>
      <c r="W6" s="1133"/>
      <c r="X6" s="1133"/>
      <c r="Y6" s="1133"/>
      <c r="Z6" s="1133"/>
      <c r="AA6" s="1133"/>
      <c r="AB6" s="1133"/>
      <c r="AC6" s="1855"/>
      <c r="AD6" s="1856"/>
      <c r="AE6" s="1856"/>
      <c r="AF6" s="1856"/>
      <c r="AG6" s="1856"/>
      <c r="AH6" s="1856"/>
      <c r="AI6" s="1856"/>
      <c r="AJ6" s="1857"/>
    </row>
    <row r="7" spans="1:36" ht="24.6" thickBot="1">
      <c r="A7" s="3010" t="s">
        <v>3233</v>
      </c>
      <c r="B7" s="1865" t="s">
        <v>1952</v>
      </c>
      <c r="C7" s="711">
        <f>IF(C8="不临65条商业街",1,ROUND(1+(1.6*E8+1.2*E9+0.8*E10+0.4*E11)*C9,4))</f>
        <v>1.0149999999999999</v>
      </c>
      <c r="D7" s="1866" t="s">
        <v>1953</v>
      </c>
      <c r="E7" s="730">
        <v>100</v>
      </c>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f t="shared" si="0"/>
        <v>0</v>
      </c>
      <c r="U7" s="1130"/>
      <c r="V7" s="3061">
        <f t="shared" si="1"/>
        <v>0</v>
      </c>
      <c r="W7" s="1267" t="s">
        <v>1955</v>
      </c>
      <c r="X7" s="1131" t="str">
        <f>G2</f>
        <v>四级</v>
      </c>
      <c r="Y7" s="1131" t="s">
        <v>1956</v>
      </c>
      <c r="Z7" s="1132">
        <f>G3</f>
        <v>1.22</v>
      </c>
      <c r="AA7" s="1133"/>
      <c r="AB7" s="1133"/>
      <c r="AC7" s="1134"/>
      <c r="AD7" s="1135"/>
      <c r="AE7" s="1135"/>
      <c r="AF7" s="1135"/>
      <c r="AG7" s="1135"/>
      <c r="AH7" s="1135"/>
      <c r="AI7" s="1135"/>
      <c r="AJ7" s="1136"/>
    </row>
    <row r="8" spans="1:36" ht="26.4">
      <c r="A8" s="3007"/>
      <c r="B8" s="162" t="s">
        <v>1957</v>
      </c>
      <c r="C8" s="1870" t="s">
        <v>3429</v>
      </c>
      <c r="D8" s="712" t="s">
        <v>112</v>
      </c>
      <c r="E8" s="713">
        <f>ROUND(C11/E7,4)</f>
        <v>3.7499999999999999E-2</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f t="shared" si="0"/>
        <v>0</v>
      </c>
      <c r="U8" s="1130"/>
      <c r="V8" s="3061">
        <f t="shared" si="1"/>
        <v>0</v>
      </c>
      <c r="W8" s="3359" t="s">
        <v>1960</v>
      </c>
      <c r="X8" s="3360"/>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SUMIF(修正!C71:C138,C8,修正!E71:E138)</f>
        <v>0.1</v>
      </c>
      <c r="D9" s="163" t="s">
        <v>113</v>
      </c>
      <c r="E9" s="163">
        <f>ROUND(C11/E7,4)</f>
        <v>3.7499999999999999E-2</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f t="shared" si="0"/>
        <v>0</v>
      </c>
      <c r="U9" s="1130"/>
      <c r="V9" s="3061">
        <f t="shared" si="1"/>
        <v>0</v>
      </c>
      <c r="W9" s="3361"/>
      <c r="X9" s="3062" t="s">
        <v>3264</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15</v>
      </c>
      <c r="D10" s="163" t="s">
        <v>114</v>
      </c>
      <c r="E10" s="163">
        <f>ROUND(C11/E7,4)</f>
        <v>3.7499999999999999E-2</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361"/>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4" t="s">
        <v>1979</v>
      </c>
      <c r="C11" s="715">
        <f>C10/4</f>
        <v>3.75</v>
      </c>
      <c r="D11" s="715" t="s">
        <v>115</v>
      </c>
      <c r="E11" s="715">
        <f>ROUND(C11/E7,4)</f>
        <v>3.7499999999999999E-2</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5.8" thickBot="1">
      <c r="A12" s="3010" t="s">
        <v>3234</v>
      </c>
      <c r="B12" s="3011" t="s">
        <v>3235</v>
      </c>
      <c r="C12" s="3012">
        <v>1.02</v>
      </c>
      <c r="D12" s="3013" t="s">
        <v>3236</v>
      </c>
      <c r="E12" s="3014" t="s">
        <v>3237</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24.6" thickBot="1">
      <c r="A13" s="3010" t="s">
        <v>3238</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24">
      <c r="A14" s="3006"/>
      <c r="B14" s="1883" t="s">
        <v>1985</v>
      </c>
      <c r="C14" s="1884" t="s">
        <v>1986</v>
      </c>
      <c r="D14" s="1261" t="s">
        <v>1987</v>
      </c>
      <c r="E14" s="27" t="s">
        <v>1988</v>
      </c>
      <c r="F14" s="3018" t="s">
        <v>3239</v>
      </c>
      <c r="G14" s="3018" t="s">
        <v>3239</v>
      </c>
      <c r="H14" s="3018" t="s">
        <v>3239</v>
      </c>
      <c r="I14" s="3018" t="s">
        <v>3239</v>
      </c>
      <c r="J14" s="3018" t="s">
        <v>3239</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3240</v>
      </c>
      <c r="G15" s="1928"/>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ht="24">
      <c r="A17" s="3033" t="s">
        <v>3241</v>
      </c>
      <c r="B17" s="3025" t="s">
        <v>3242</v>
      </c>
      <c r="C17" s="3034">
        <f>ROUND(IF(OR(E2="工业",E2="公共服务"),1,IF(AND(E18=0,E19=0),1,IF(AND(E18=J24,E19=G19),0.8,IF(E19=0,1+E17*(-0.2),1+E17*G17*(-0.2))))),4)</f>
        <v>1</v>
      </c>
      <c r="D17" s="3026" t="s">
        <v>3243</v>
      </c>
      <c r="E17" s="3034">
        <f>ROUND(G18/I18,2)</f>
        <v>0</v>
      </c>
      <c r="F17" s="3026" t="s">
        <v>3246</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6"/>
      <c r="B18" s="2308"/>
      <c r="C18" s="3032"/>
      <c r="D18" s="3027" t="s">
        <v>3244</v>
      </c>
      <c r="E18" s="2355"/>
      <c r="F18" s="3028" t="s">
        <v>3247</v>
      </c>
      <c r="G18" s="3032">
        <f>ROUND(1-(1/(POWER(1+G24,E18))),4)</f>
        <v>0</v>
      </c>
      <c r="H18" s="3028" t="s">
        <v>3249</v>
      </c>
      <c r="I18" s="3032">
        <f>ROUND(1-(1/(POWER(1+G24,J24))),4)</f>
        <v>0.93120000000000003</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4.4" thickBot="1">
      <c r="A19" s="3038"/>
      <c r="B19" s="3039"/>
      <c r="C19" s="3040"/>
      <c r="D19" s="3040" t="s">
        <v>3245</v>
      </c>
      <c r="E19" s="3041"/>
      <c r="F19" s="3042" t="s">
        <v>3248</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3.8">
      <c r="A20" s="3366" t="s">
        <v>3250</v>
      </c>
      <c r="B20" s="159" t="s">
        <v>1994</v>
      </c>
      <c r="C20" s="3029">
        <f>ROUND(IF(F21="与级别开发程度一致",0,(G21-E21)/C21),0)</f>
        <v>-36</v>
      </c>
      <c r="D20" s="3044" t="s">
        <v>1998</v>
      </c>
      <c r="E20" s="3045"/>
      <c r="F20" s="3372" t="s">
        <v>1995</v>
      </c>
      <c r="G20" s="3373"/>
      <c r="H20" s="3030" t="s">
        <v>3414</v>
      </c>
      <c r="I20" s="3030" t="s">
        <v>3415</v>
      </c>
      <c r="J20" s="3031" t="s">
        <v>3416</v>
      </c>
      <c r="K20" s="1889" t="s">
        <v>3417</v>
      </c>
      <c r="L20" s="1889" t="s">
        <v>3418</v>
      </c>
      <c r="M20" s="1889" t="s">
        <v>43</v>
      </c>
      <c r="N20" s="1889" t="s">
        <v>3419</v>
      </c>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7" thickBot="1">
      <c r="A21" s="3367"/>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3430</v>
      </c>
      <c r="G21" s="1995">
        <f>SUM(H21:O21)</f>
        <v>225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0</v>
      </c>
      <c r="N21" s="2003">
        <f>SUMPRODUCT((七通一平=N20)*(修正!B1:M1=G2)*(修正!B8:M16))</f>
        <v>15</v>
      </c>
      <c r="O21" s="2005">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 thickBot="1">
      <c r="A22" s="1996" t="s">
        <v>363</v>
      </c>
      <c r="B22" s="1997" t="s">
        <v>2000</v>
      </c>
      <c r="C22" s="1998">
        <f>SUMIF(修正!C20:C51,E3,修正!E20:E51)</f>
        <v>1</v>
      </c>
      <c r="D22" s="1999"/>
      <c r="E22" s="2000"/>
      <c r="F22" s="2000"/>
      <c r="G22" s="2000"/>
      <c r="H22" s="2000"/>
      <c r="I22" s="2000"/>
      <c r="J22" s="2001"/>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1896" t="s">
        <v>2002</v>
      </c>
      <c r="E23" s="717">
        <v>44197</v>
      </c>
      <c r="F23" s="1896" t="s">
        <v>2003</v>
      </c>
      <c r="G23" s="718">
        <f>'数据-取费表'!B2</f>
        <v>45772</v>
      </c>
      <c r="H23" s="3046" t="s">
        <v>3252</v>
      </c>
      <c r="I23" s="3047" t="str">
        <f>IF(H23="季度增幅（自定义）",SUMIF(N25:N28,E2,O25:O28),"")</f>
        <v/>
      </c>
      <c r="J23" s="3139" t="s">
        <v>3251</v>
      </c>
      <c r="K23" s="1061"/>
      <c r="L23" s="1897" t="s">
        <v>2004</v>
      </c>
      <c r="M23" s="1241">
        <f>ROUND(SUMIF(地价!B2:G2,E2,地价!B16:G16),0)</f>
        <v>350</v>
      </c>
      <c r="N23" s="1898" t="s">
        <v>2005</v>
      </c>
      <c r="O23" s="719">
        <f>ROUNDDOWN(DATEDIF(E23,G23,"M")/3,0)</f>
        <v>17</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0.81510000000000005</v>
      </c>
      <c r="D24" s="1902" t="s">
        <v>2007</v>
      </c>
      <c r="E24" s="1248">
        <f>存贷款利率!E27/100</f>
        <v>4.3499999999999997E-2</v>
      </c>
      <c r="F24" s="1902" t="s">
        <v>1999</v>
      </c>
      <c r="G24" s="724">
        <f>SUMIF(M30:Q30,E2,M33:Q33)</f>
        <v>5.5E-2</v>
      </c>
      <c r="H24" s="1902" t="s">
        <v>2008</v>
      </c>
      <c r="I24" s="725">
        <f>SUMIF('数据-取费表'!C6:C15,E2,'数据-取费表'!F6:F15)/COUNTIF('数据-取费表'!C6:C15,E2)</f>
        <v>26.58</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4.4">
      <c r="A25" s="1907" t="s">
        <v>366</v>
      </c>
      <c r="B25" s="1908" t="s">
        <v>3331</v>
      </c>
      <c r="C25" s="461">
        <f>IF(B25="容积率修正",IF(G3&lt;10,D26,J26),C27)</f>
        <v>1.171</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3253</v>
      </c>
      <c r="D26" s="1263">
        <f>IF(E26=G26,F26,IF(G3&lt;10,ROUND(F26+(H26-F26)*(G3-E26)/(G26-E26),4),"——"))</f>
        <v>1.171</v>
      </c>
      <c r="E26" s="708">
        <f>ROUNDDOWN(G3,1)</f>
        <v>1.2</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1.1748000000000001</v>
      </c>
      <c r="G26" s="708">
        <f>ROUNDUP(G3,1)</f>
        <v>1.3</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1.1559999999999999</v>
      </c>
      <c r="I26" s="1912" t="s">
        <v>3254</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1.5019</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1.0441</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4003</v>
      </c>
      <c r="D30" s="1925"/>
      <c r="E30" s="1842"/>
      <c r="F30" s="1926"/>
      <c r="G30" s="1842"/>
      <c r="H30" s="1842"/>
      <c r="I30" s="1842"/>
      <c r="J30" s="1927"/>
      <c r="K30" s="1056"/>
      <c r="L30" s="3053" t="s">
        <v>1936</v>
      </c>
      <c r="M30" s="3054" t="s">
        <v>1990</v>
      </c>
      <c r="N30" s="3054" t="s">
        <v>1991</v>
      </c>
      <c r="O30" s="3054" t="s">
        <v>1992</v>
      </c>
      <c r="P30" s="3054" t="s">
        <v>1993</v>
      </c>
      <c r="Q30" s="3057" t="s">
        <v>3258</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18445</v>
      </c>
      <c r="D33" s="1940">
        <f>'数据-汇总表'!F19</f>
        <v>2170.1999999999998</v>
      </c>
      <c r="E33" s="727">
        <f>ROUND(C33*D33/10000,0)</f>
        <v>4003</v>
      </c>
      <c r="F33" s="3048" t="s">
        <v>3256</v>
      </c>
      <c r="G33" s="1941"/>
      <c r="H33" s="1941"/>
      <c r="I33" s="1941"/>
      <c r="J33" s="1942"/>
      <c r="K33" s="1056"/>
      <c r="L33" s="3051" t="s">
        <v>3259</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4611</v>
      </c>
      <c r="D34" s="1945"/>
      <c r="E34" s="727">
        <f>ROUND(IF(B25="楼层修正",SUM(V2:V16)*M40,C34*D34/10000),0)</f>
        <v>0</v>
      </c>
      <c r="F34" s="1946" t="s">
        <v>2032</v>
      </c>
      <c r="G34" s="1947"/>
      <c r="H34" s="1947"/>
      <c r="I34" s="1947"/>
      <c r="J34" s="1948"/>
      <c r="K34" s="1056"/>
      <c r="L34" s="3051" t="s">
        <v>3260</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3257</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3261</v>
      </c>
      <c r="L36" s="3140">
        <f ca="1">'数据-取费表'!B40</f>
        <v>3.1E-2</v>
      </c>
      <c r="M36" s="2364">
        <f ca="1">ROUND($L$36*(1+M31),3)</f>
        <v>3.9E-2</v>
      </c>
      <c r="N36" s="2364">
        <f ca="1">ROUND($L$36*(1+N31),3)</f>
        <v>3.6999999999999998E-2</v>
      </c>
      <c r="O36" s="2364">
        <f ca="1">ROUND($L$36*(1+O31),3)</f>
        <v>3.5999999999999997E-2</v>
      </c>
      <c r="P36" s="2364">
        <f ca="1">ROUND($L$36*(1+P31),3)</f>
        <v>3.4000000000000002E-2</v>
      </c>
      <c r="Q36" s="2364">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370"/>
      <c r="B37" s="1955" t="s">
        <v>2036</v>
      </c>
      <c r="C37" s="167">
        <f>ROUND(D5*C22*C23*C24*C28*F37,0)</f>
        <v>9265</v>
      </c>
      <c r="D37" s="1940">
        <f>'数据-汇总表'!F20</f>
        <v>0</v>
      </c>
      <c r="E37" s="163">
        <f>ROUND(C37*D37/10000,0)</f>
        <v>0</v>
      </c>
      <c r="F37" s="163">
        <f>SUMIF(修正!A57:A68,G2,修正!B57:B68)</f>
        <v>0.6</v>
      </c>
      <c r="G37" s="163">
        <f>ROUND(IF(E2="工业",C37*$M$42,C37*$M$41),0)</f>
        <v>2316</v>
      </c>
      <c r="H37" s="163">
        <f>D37</f>
        <v>0</v>
      </c>
      <c r="I37" s="163">
        <f>ROUND(G37*H37/10000,0)</f>
        <v>0</v>
      </c>
      <c r="J37" s="2752"/>
      <c r="K37" s="3059" t="s">
        <v>3262</v>
      </c>
      <c r="L37" s="1964">
        <f ca="1">L36+K38</f>
        <v>3.5999999999999997E-2</v>
      </c>
      <c r="M37" s="2364">
        <f ca="1">ROUND($L$37*(1+M31),3)</f>
        <v>4.4999999999999998E-2</v>
      </c>
      <c r="N37" s="2364">
        <f t="shared" ref="N37:Q37" ca="1" si="3">ROUND($L$37*(1+N31),3)</f>
        <v>4.2999999999999997E-2</v>
      </c>
      <c r="O37" s="2364">
        <f t="shared" ca="1" si="3"/>
        <v>4.1000000000000002E-2</v>
      </c>
      <c r="P37" s="2364">
        <f t="shared" ca="1" si="3"/>
        <v>0.04</v>
      </c>
      <c r="Q37" s="2364">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71"/>
      <c r="B38" s="1884" t="s">
        <v>2037</v>
      </c>
      <c r="C38" s="167">
        <f>ROUND(D5*C22*C23*C24*C28*F38,0)</f>
        <v>4633</v>
      </c>
      <c r="D38" s="1940"/>
      <c r="E38" s="163">
        <f t="shared" ref="E38:E42" si="4">ROUND(C38*D38/10000,0)</f>
        <v>0</v>
      </c>
      <c r="F38" s="163">
        <f>SUMIF(修正!A57:A68,G2,修正!C57:C68)</f>
        <v>0.3</v>
      </c>
      <c r="G38" s="163">
        <f>ROUND(IF(E2="工业",C38*$M$42,C38*$M$41),0)</f>
        <v>1158</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371"/>
      <c r="B39" s="1884" t="s">
        <v>3255</v>
      </c>
      <c r="C39" s="167">
        <f>ROUND(D5*C22*C23*C24*C28*F39,0)</f>
        <v>3861</v>
      </c>
      <c r="D39" s="1940"/>
      <c r="E39" s="163">
        <f t="shared" si="4"/>
        <v>0</v>
      </c>
      <c r="F39" s="163">
        <f>SUMIF(修正!A57:A68,G2,修正!D57:D68)</f>
        <v>0.25</v>
      </c>
      <c r="G39" s="163">
        <f>ROUND(IF(E2="工业",C39*$M$42,C39*$M$41),0)</f>
        <v>965</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3861</v>
      </c>
      <c r="D40" s="1940"/>
      <c r="E40" s="163">
        <f t="shared" si="4"/>
        <v>0</v>
      </c>
      <c r="F40" s="167">
        <f>SUMIF(修正!A57:A68,G2,修正!E57:E68)</f>
        <v>0.25</v>
      </c>
      <c r="G40" s="163">
        <f>ROUND(IF(E2="工业",C40*$M$42,C40*$M$41),0)</f>
        <v>965</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0" t="s">
        <v>3263</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1.0434000000000001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66">
      <c r="A50" s="1970" t="s">
        <v>2052</v>
      </c>
      <c r="B50" s="1973">
        <f>估价对象房地状况!C4</f>
        <v>0</v>
      </c>
      <c r="C50" s="1887" t="s">
        <v>3431</v>
      </c>
      <c r="D50" s="1002">
        <f t="shared" ref="D50:D58" si="7">SUMIF($J$49:$N$49,C50,J50:N50)</f>
        <v>1.21E-2</v>
      </c>
      <c r="E50" s="702">
        <f>ROUND(SUM(D50:D58),4)</f>
        <v>4.3400000000000001E-2</v>
      </c>
      <c r="F50" s="1675" t="str">
        <f>IF(E2="商业",SUMIF(L1:L12,G2,N1:N12),"——")</f>
        <v>——</v>
      </c>
      <c r="G50" s="1000">
        <v>1.21E-2</v>
      </c>
      <c r="H50" s="1003" t="str">
        <f t="shared" ref="H50:H58" si="8">IFERROR(ROUNDDOWN($F$50*I50/2,4),"——")</f>
        <v>——</v>
      </c>
      <c r="I50" s="3066">
        <v>0.3</v>
      </c>
      <c r="J50" s="1001">
        <f t="shared" ref="J50:J58" si="9">K50+$G50</f>
        <v>2.4199999999999999E-2</v>
      </c>
      <c r="K50" s="1001">
        <f t="shared" ref="K50:K58" si="10">$L50+$G50</f>
        <v>1.21E-2</v>
      </c>
      <c r="L50" s="1001">
        <v>0</v>
      </c>
      <c r="M50" s="1001">
        <f t="shared" ref="M50:N58" si="11">L50-$G50</f>
        <v>-1.21E-2</v>
      </c>
      <c r="N50" s="1001">
        <f t="shared" si="11"/>
        <v>-2.4199999999999999E-2</v>
      </c>
      <c r="AA50" s="1057"/>
      <c r="AB50" s="1057"/>
      <c r="AC50" s="1057"/>
      <c r="AD50" s="1057"/>
      <c r="AE50" s="1057"/>
      <c r="AF50" s="1057"/>
      <c r="AG50" s="1057"/>
      <c r="AH50" s="1057"/>
      <c r="AI50" s="1057"/>
      <c r="AJ50" s="1057"/>
      <c r="AK50" s="1057"/>
    </row>
    <row r="51" spans="1:37" s="1056" customFormat="1" ht="52.8">
      <c r="A51" s="1970" t="s">
        <v>2053</v>
      </c>
      <c r="B51" s="1262" t="str">
        <f>估价对象房地状况!C18</f>
        <v>较好</v>
      </c>
      <c r="C51" s="1887" t="s">
        <v>3431</v>
      </c>
      <c r="D51" s="1002">
        <f t="shared" si="7"/>
        <v>8.8999999999999999E-3</v>
      </c>
      <c r="E51" s="703"/>
      <c r="F51" s="1675"/>
      <c r="G51" s="1000">
        <v>8.8999999999999999E-3</v>
      </c>
      <c r="H51" s="1003" t="str">
        <f t="shared" si="8"/>
        <v>——</v>
      </c>
      <c r="I51" s="3066">
        <v>0.22</v>
      </c>
      <c r="J51" s="1001">
        <f t="shared" si="9"/>
        <v>1.78E-2</v>
      </c>
      <c r="K51" s="1001">
        <f t="shared" si="10"/>
        <v>8.8999999999999999E-3</v>
      </c>
      <c r="L51" s="1001">
        <v>0</v>
      </c>
      <c r="M51" s="1001">
        <f t="shared" si="11"/>
        <v>-8.8999999999999999E-3</v>
      </c>
      <c r="N51" s="1001">
        <f t="shared" si="11"/>
        <v>-1.78E-2</v>
      </c>
      <c r="AA51" s="1057"/>
      <c r="AB51" s="1057"/>
      <c r="AC51" s="1057"/>
      <c r="AD51" s="1057"/>
      <c r="AE51" s="1057"/>
      <c r="AF51" s="1057"/>
      <c r="AG51" s="1057"/>
      <c r="AH51" s="1057"/>
      <c r="AI51" s="1057"/>
      <c r="AJ51" s="1057"/>
      <c r="AK51" s="1057"/>
    </row>
    <row r="52" spans="1:37" s="1056" customFormat="1" ht="48">
      <c r="A52" s="3068" t="s">
        <v>3265</v>
      </c>
      <c r="B52" s="1262">
        <f>估价对象房地状况!C19</f>
        <v>0</v>
      </c>
      <c r="C52" s="1887" t="s">
        <v>3431</v>
      </c>
      <c r="D52" s="1002">
        <f t="shared" si="7"/>
        <v>4.7999999999999996E-3</v>
      </c>
      <c r="E52" s="703"/>
      <c r="F52" s="1675"/>
      <c r="G52" s="1000">
        <v>4.7999999999999996E-3</v>
      </c>
      <c r="H52" s="1003" t="str">
        <f t="shared" si="8"/>
        <v>——</v>
      </c>
      <c r="I52" s="3066">
        <v>0.12</v>
      </c>
      <c r="J52" s="1001">
        <f t="shared" si="9"/>
        <v>9.5999999999999992E-3</v>
      </c>
      <c r="K52" s="1001">
        <f t="shared" si="10"/>
        <v>4.7999999999999996E-3</v>
      </c>
      <c r="L52" s="1001">
        <v>0</v>
      </c>
      <c r="M52" s="1001">
        <f t="shared" si="11"/>
        <v>-4.7999999999999996E-3</v>
      </c>
      <c r="N52" s="1001">
        <f t="shared" si="11"/>
        <v>-9.5999999999999992E-3</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t="s">
        <v>3431</v>
      </c>
      <c r="D53" s="1002">
        <f t="shared" si="7"/>
        <v>2E-3</v>
      </c>
      <c r="E53" s="703"/>
      <c r="F53" s="1675"/>
      <c r="G53" s="1000">
        <v>2E-3</v>
      </c>
      <c r="H53" s="1003" t="str">
        <f t="shared" si="8"/>
        <v>——</v>
      </c>
      <c r="I53" s="3066">
        <v>0.05</v>
      </c>
      <c r="J53" s="1001">
        <f t="shared" si="9"/>
        <v>4.0000000000000001E-3</v>
      </c>
      <c r="K53" s="1001">
        <f t="shared" si="10"/>
        <v>2E-3</v>
      </c>
      <c r="L53" s="1001">
        <v>0</v>
      </c>
      <c r="M53" s="1001">
        <f t="shared" si="11"/>
        <v>-2E-3</v>
      </c>
      <c r="N53" s="1001">
        <f t="shared" si="11"/>
        <v>-4.0000000000000001E-3</v>
      </c>
      <c r="AA53" s="1057"/>
      <c r="AB53" s="1057"/>
      <c r="AC53" s="1057"/>
      <c r="AD53" s="1057"/>
      <c r="AE53" s="1057"/>
      <c r="AF53" s="1057"/>
      <c r="AG53" s="1057"/>
      <c r="AH53" s="1057"/>
      <c r="AI53" s="1057"/>
      <c r="AJ53" s="1057"/>
      <c r="AK53" s="1057"/>
    </row>
    <row r="54" spans="1:37" s="1056" customFormat="1" ht="26.4">
      <c r="A54" s="1970" t="s">
        <v>2056</v>
      </c>
      <c r="B54" s="1262" t="str">
        <f>估价对象房地状况!C24</f>
        <v>城市主干道——马家堡东路</v>
      </c>
      <c r="C54" s="1887" t="s">
        <v>3431</v>
      </c>
      <c r="D54" s="1002">
        <f t="shared" si="7"/>
        <v>3.2000000000000002E-3</v>
      </c>
      <c r="E54" s="703"/>
      <c r="F54" s="1675"/>
      <c r="G54" s="1000">
        <v>3.2000000000000002E-3</v>
      </c>
      <c r="H54" s="1003" t="str">
        <f t="shared" si="8"/>
        <v>——</v>
      </c>
      <c r="I54" s="3066">
        <v>0.08</v>
      </c>
      <c r="J54" s="1001">
        <f t="shared" si="9"/>
        <v>6.4000000000000003E-3</v>
      </c>
      <c r="K54" s="1001">
        <f t="shared" si="10"/>
        <v>3.2000000000000002E-3</v>
      </c>
      <c r="L54" s="1001">
        <v>0</v>
      </c>
      <c r="M54" s="1001">
        <f t="shared" si="11"/>
        <v>-3.2000000000000002E-3</v>
      </c>
      <c r="N54" s="1001">
        <f t="shared" si="11"/>
        <v>-6.4000000000000003E-3</v>
      </c>
      <c r="AA54" s="1057"/>
      <c r="AB54" s="1057"/>
      <c r="AC54" s="1057"/>
      <c r="AD54" s="1057"/>
      <c r="AE54" s="1057"/>
      <c r="AF54" s="1057"/>
      <c r="AG54" s="1057"/>
      <c r="AH54" s="1057"/>
      <c r="AI54" s="1057"/>
      <c r="AJ54" s="1057"/>
      <c r="AK54" s="1057"/>
    </row>
    <row r="55" spans="1:37" s="1056" customFormat="1" ht="36">
      <c r="A55" s="1970" t="s">
        <v>2057</v>
      </c>
      <c r="B55" s="1975" t="s">
        <v>2058</v>
      </c>
      <c r="C55" s="1887" t="s">
        <v>3431</v>
      </c>
      <c r="D55" s="1002">
        <f t="shared" si="7"/>
        <v>2E-3</v>
      </c>
      <c r="E55" s="703"/>
      <c r="F55" s="1675"/>
      <c r="G55" s="1000">
        <v>2E-3</v>
      </c>
      <c r="H55" s="1003" t="str">
        <f t="shared" si="8"/>
        <v>——</v>
      </c>
      <c r="I55" s="3066">
        <v>0.05</v>
      </c>
      <c r="J55" s="1001">
        <f t="shared" si="9"/>
        <v>4.0000000000000001E-3</v>
      </c>
      <c r="K55" s="1001">
        <f t="shared" si="10"/>
        <v>2E-3</v>
      </c>
      <c r="L55" s="1001">
        <v>0</v>
      </c>
      <c r="M55" s="1001">
        <f t="shared" si="11"/>
        <v>-2E-3</v>
      </c>
      <c r="N55" s="1001">
        <f t="shared" si="11"/>
        <v>-4.0000000000000001E-3</v>
      </c>
      <c r="AA55" s="1057"/>
      <c r="AB55" s="1057"/>
      <c r="AC55" s="1057"/>
      <c r="AD55" s="1057"/>
      <c r="AE55" s="1057"/>
      <c r="AF55" s="1057"/>
      <c r="AG55" s="1057"/>
      <c r="AH55" s="1057"/>
      <c r="AI55" s="1057"/>
      <c r="AJ55" s="1057"/>
      <c r="AK55" s="1057"/>
    </row>
    <row r="56" spans="1:37" s="1056" customFormat="1" ht="52.8">
      <c r="A56" s="1976" t="s">
        <v>2059</v>
      </c>
      <c r="B56" s="1240" t="str">
        <f>估价对象房地状况!C21</f>
        <v>较好</v>
      </c>
      <c r="C56" s="1887" t="s">
        <v>3431</v>
      </c>
      <c r="D56" s="1002">
        <f t="shared" si="7"/>
        <v>2E-3</v>
      </c>
      <c r="E56" s="703"/>
      <c r="F56" s="1675"/>
      <c r="G56" s="1000">
        <v>2E-3</v>
      </c>
      <c r="H56" s="1003" t="str">
        <f t="shared" si="8"/>
        <v>——</v>
      </c>
      <c r="I56" s="3066">
        <v>0.05</v>
      </c>
      <c r="J56" s="1001">
        <f t="shared" si="9"/>
        <v>4.0000000000000001E-3</v>
      </c>
      <c r="K56" s="1001">
        <f t="shared" si="10"/>
        <v>2E-3</v>
      </c>
      <c r="L56" s="1001">
        <v>0</v>
      </c>
      <c r="M56" s="1001">
        <f t="shared" si="11"/>
        <v>-2E-3</v>
      </c>
      <c r="N56" s="1001">
        <f t="shared" si="11"/>
        <v>-4.0000000000000001E-3</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估价对象所在区域基础设施水平“七通一平</v>
      </c>
      <c r="C57" s="1887" t="s">
        <v>3433</v>
      </c>
      <c r="D57" s="1002">
        <f t="shared" si="7"/>
        <v>6.4000000000000003E-3</v>
      </c>
      <c r="E57" s="703"/>
      <c r="F57" s="1675"/>
      <c r="G57" s="1000">
        <v>3.2000000000000002E-3</v>
      </c>
      <c r="H57" s="1003" t="str">
        <f t="shared" si="8"/>
        <v>——</v>
      </c>
      <c r="I57" s="3066">
        <v>0.08</v>
      </c>
      <c r="J57" s="1001">
        <f t="shared" si="9"/>
        <v>6.4000000000000003E-3</v>
      </c>
      <c r="K57" s="1001">
        <f t="shared" si="10"/>
        <v>3.2000000000000002E-3</v>
      </c>
      <c r="L57" s="1001">
        <v>0</v>
      </c>
      <c r="M57" s="1001">
        <f t="shared" si="11"/>
        <v>-3.2000000000000002E-3</v>
      </c>
      <c r="N57" s="1001">
        <f t="shared" si="11"/>
        <v>-6.4000000000000003E-3</v>
      </c>
      <c r="AA57" s="1057"/>
      <c r="AB57" s="1057"/>
      <c r="AC57" s="1057"/>
      <c r="AD57" s="1057"/>
      <c r="AE57" s="1057"/>
      <c r="AF57" s="1057"/>
      <c r="AG57" s="1057"/>
      <c r="AH57" s="1057"/>
      <c r="AI57" s="1057"/>
      <c r="AJ57" s="1057"/>
      <c r="AK57" s="1057"/>
    </row>
    <row r="58" spans="1:37" s="1056" customFormat="1" ht="66.599999999999994" thickBot="1">
      <c r="A58" s="1977" t="s">
        <v>2061</v>
      </c>
      <c r="B58" s="1978" t="str">
        <f>估价对象房地状况!C20</f>
        <v>较好</v>
      </c>
      <c r="C58" s="1887" t="s">
        <v>3431</v>
      </c>
      <c r="D58" s="1002">
        <f t="shared" si="7"/>
        <v>2E-3</v>
      </c>
      <c r="E58" s="704"/>
      <c r="F58" s="1675"/>
      <c r="G58" s="1000">
        <v>2E-3</v>
      </c>
      <c r="H58" s="1003" t="str">
        <f t="shared" si="8"/>
        <v>——</v>
      </c>
      <c r="I58" s="3067">
        <v>0.05</v>
      </c>
      <c r="J58" s="1001">
        <f t="shared" si="9"/>
        <v>4.0000000000000001E-3</v>
      </c>
      <c r="K58" s="1001">
        <f t="shared" si="10"/>
        <v>2E-3</v>
      </c>
      <c r="L58" s="1001">
        <v>0</v>
      </c>
      <c r="M58" s="1001">
        <f t="shared" si="11"/>
        <v>-2E-3</v>
      </c>
      <c r="N58" s="1001">
        <f t="shared" si="11"/>
        <v>-4.0000000000000001E-3</v>
      </c>
      <c r="AA58" s="1057"/>
      <c r="AB58" s="1057"/>
      <c r="AC58" s="1057"/>
      <c r="AD58" s="1057"/>
      <c r="AE58" s="1057"/>
      <c r="AF58" s="1057"/>
      <c r="AG58" s="1057"/>
      <c r="AH58" s="1057"/>
      <c r="AI58" s="1057"/>
      <c r="AJ58" s="1057"/>
      <c r="AK58" s="1057"/>
    </row>
    <row r="59" spans="1:37" s="1056" customFormat="1" ht="14.4">
      <c r="A59" s="1967" t="s">
        <v>2062</v>
      </c>
      <c r="B59" s="1968">
        <f>1+E61</f>
        <v>1.0441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66">
      <c r="A61" s="1970" t="s">
        <v>2064</v>
      </c>
      <c r="B61" s="1973" t="str">
        <f>估价对象房地状况!C17</f>
        <v>较好</v>
      </c>
      <c r="C61" s="1887" t="s">
        <v>3431</v>
      </c>
      <c r="D61" s="1002">
        <f t="shared" ref="D61:D69" si="12">SUMIF($J$60:$N$60,C61,J61:N61)</f>
        <v>1.0200000000000001E-2</v>
      </c>
      <c r="E61" s="702">
        <f>ROUND(SUM(D61:D69),4)</f>
        <v>4.41E-2</v>
      </c>
      <c r="F61" s="1675">
        <f>IF(E2="办公",SUMIF(L1:L12,G2,N1:N12),"——")</f>
        <v>9.5000000000000001E-2</v>
      </c>
      <c r="G61" s="1000">
        <v>1.0200000000000001E-2</v>
      </c>
      <c r="H61" s="1003">
        <f t="shared" ref="H61:H69" si="13">IFERROR(ROUNDDOWN($F$61*I61/2,4),"——")</f>
        <v>1.18E-2</v>
      </c>
      <c r="I61" s="3066">
        <v>0.25</v>
      </c>
      <c r="J61" s="1001">
        <f t="shared" ref="J61:J69" si="14">K61+$G61</f>
        <v>2.0400000000000001E-2</v>
      </c>
      <c r="K61" s="1001">
        <f t="shared" ref="K61:K69" si="15">$L61+$G61</f>
        <v>1.0200000000000001E-2</v>
      </c>
      <c r="L61" s="1001">
        <v>0</v>
      </c>
      <c r="M61" s="1001">
        <f t="shared" ref="M61:N69" si="16">L61-$G61</f>
        <v>-1.0200000000000001E-2</v>
      </c>
      <c r="N61" s="1001">
        <f t="shared" si="16"/>
        <v>-2.0400000000000001E-2</v>
      </c>
      <c r="AA61" s="1057"/>
      <c r="AB61" s="1057"/>
      <c r="AC61" s="1057"/>
      <c r="AD61" s="1057"/>
      <c r="AE61" s="1057"/>
      <c r="AF61" s="1057"/>
      <c r="AG61" s="1057"/>
      <c r="AH61" s="1057"/>
      <c r="AI61" s="1057"/>
      <c r="AJ61" s="1057"/>
      <c r="AK61" s="1057"/>
    </row>
    <row r="62" spans="1:37" s="1056" customFormat="1" ht="52.8">
      <c r="A62" s="1970" t="s">
        <v>2053</v>
      </c>
      <c r="B62" s="1262" t="str">
        <f>估价对象房地状况!C18</f>
        <v>较好</v>
      </c>
      <c r="C62" s="1887" t="s">
        <v>3431</v>
      </c>
      <c r="D62" s="1002">
        <f t="shared" si="12"/>
        <v>1.06E-2</v>
      </c>
      <c r="E62" s="703"/>
      <c r="F62" s="1675"/>
      <c r="G62" s="1000">
        <v>1.06E-2</v>
      </c>
      <c r="H62" s="1003">
        <f t="shared" si="13"/>
        <v>1.23E-2</v>
      </c>
      <c r="I62" s="3066">
        <v>0.26</v>
      </c>
      <c r="J62" s="1001">
        <f t="shared" si="14"/>
        <v>2.12E-2</v>
      </c>
      <c r="K62" s="1001">
        <f t="shared" si="15"/>
        <v>1.06E-2</v>
      </c>
      <c r="L62" s="1001">
        <v>0</v>
      </c>
      <c r="M62" s="1001">
        <f t="shared" si="16"/>
        <v>-1.06E-2</v>
      </c>
      <c r="N62" s="1001">
        <f t="shared" si="16"/>
        <v>-2.12E-2</v>
      </c>
      <c r="AA62" s="1057"/>
      <c r="AB62" s="1057"/>
      <c r="AC62" s="1057"/>
      <c r="AD62" s="1057"/>
      <c r="AE62" s="1057"/>
      <c r="AF62" s="1057"/>
      <c r="AG62" s="1057"/>
      <c r="AH62" s="1057"/>
      <c r="AI62" s="1057"/>
      <c r="AJ62" s="1057"/>
      <c r="AK62" s="1057"/>
    </row>
    <row r="63" spans="1:37" s="1056" customFormat="1" ht="48">
      <c r="A63" s="3068" t="s">
        <v>3265</v>
      </c>
      <c r="B63" s="1262">
        <f>估价对象房地状况!C19</f>
        <v>0</v>
      </c>
      <c r="C63" s="1887" t="s">
        <v>3431</v>
      </c>
      <c r="D63" s="1002">
        <f t="shared" si="12"/>
        <v>4.4999999999999997E-3</v>
      </c>
      <c r="E63" s="703"/>
      <c r="F63" s="1675"/>
      <c r="G63" s="1000">
        <v>4.4999999999999997E-3</v>
      </c>
      <c r="H63" s="1003">
        <f t="shared" si="13"/>
        <v>5.1999999999999998E-3</v>
      </c>
      <c r="I63" s="3066">
        <v>0.11</v>
      </c>
      <c r="J63" s="1001">
        <f t="shared" si="14"/>
        <v>8.9999999999999993E-3</v>
      </c>
      <c r="K63" s="1001">
        <f t="shared" si="15"/>
        <v>4.4999999999999997E-3</v>
      </c>
      <c r="L63" s="1001">
        <v>0</v>
      </c>
      <c r="M63" s="1001">
        <f t="shared" si="16"/>
        <v>-4.4999999999999997E-3</v>
      </c>
      <c r="N63" s="1001">
        <f t="shared" si="16"/>
        <v>-8.9999999999999993E-3</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t="s">
        <v>3431</v>
      </c>
      <c r="D64" s="1002">
        <f t="shared" si="12"/>
        <v>2E-3</v>
      </c>
      <c r="E64" s="703"/>
      <c r="F64" s="1675"/>
      <c r="G64" s="1000">
        <v>2E-3</v>
      </c>
      <c r="H64" s="1003">
        <f t="shared" si="13"/>
        <v>2.3E-3</v>
      </c>
      <c r="I64" s="3066">
        <v>0.05</v>
      </c>
      <c r="J64" s="1001">
        <f t="shared" si="14"/>
        <v>4.0000000000000001E-3</v>
      </c>
      <c r="K64" s="1001">
        <f t="shared" si="15"/>
        <v>2E-3</v>
      </c>
      <c r="L64" s="1001">
        <v>0</v>
      </c>
      <c r="M64" s="1001">
        <f t="shared" si="16"/>
        <v>-2E-3</v>
      </c>
      <c r="N64" s="1001">
        <f t="shared" si="16"/>
        <v>-4.0000000000000001E-3</v>
      </c>
      <c r="AA64" s="1057"/>
      <c r="AB64" s="1057"/>
      <c r="AC64" s="1057"/>
      <c r="AD64" s="1057"/>
      <c r="AE64" s="1057"/>
      <c r="AF64" s="1057"/>
      <c r="AG64" s="1057"/>
      <c r="AH64" s="1057"/>
      <c r="AI64" s="1057"/>
      <c r="AJ64" s="1057"/>
      <c r="AK64" s="1057"/>
    </row>
    <row r="65" spans="1:37" s="1056" customFormat="1" ht="26.4">
      <c r="A65" s="1970" t="s">
        <v>2056</v>
      </c>
      <c r="B65" s="1262" t="str">
        <f>估价对象房地状况!C24</f>
        <v>城市主干道——马家堡东路</v>
      </c>
      <c r="C65" s="1887" t="s">
        <v>3431</v>
      </c>
      <c r="D65" s="1002">
        <f t="shared" si="12"/>
        <v>2E-3</v>
      </c>
      <c r="E65" s="703"/>
      <c r="F65" s="1675"/>
      <c r="G65" s="1000">
        <v>2E-3</v>
      </c>
      <c r="H65" s="1003">
        <f t="shared" si="13"/>
        <v>2.3E-3</v>
      </c>
      <c r="I65" s="3066">
        <v>0.05</v>
      </c>
      <c r="J65" s="1001">
        <f t="shared" si="14"/>
        <v>4.0000000000000001E-3</v>
      </c>
      <c r="K65" s="1001">
        <f t="shared" si="15"/>
        <v>2E-3</v>
      </c>
      <c r="L65" s="1001">
        <v>0</v>
      </c>
      <c r="M65" s="1001">
        <f t="shared" si="16"/>
        <v>-2E-3</v>
      </c>
      <c r="N65" s="1001">
        <f t="shared" si="16"/>
        <v>-4.0000000000000001E-3</v>
      </c>
      <c r="AA65" s="1057"/>
      <c r="AB65" s="1057"/>
      <c r="AC65" s="1057"/>
      <c r="AD65" s="1057"/>
      <c r="AE65" s="1057"/>
      <c r="AF65" s="1057"/>
      <c r="AG65" s="1057"/>
      <c r="AH65" s="1057"/>
      <c r="AI65" s="1057"/>
      <c r="AJ65" s="1057"/>
      <c r="AK65" s="1057"/>
    </row>
    <row r="66" spans="1:37" s="1056" customFormat="1" ht="36">
      <c r="A66" s="1970" t="s">
        <v>2057</v>
      </c>
      <c r="B66" s="1975" t="s">
        <v>2058</v>
      </c>
      <c r="C66" s="1887" t="s">
        <v>3431</v>
      </c>
      <c r="D66" s="1002">
        <f t="shared" si="12"/>
        <v>2.3999999999999998E-3</v>
      </c>
      <c r="E66" s="703"/>
      <c r="F66" s="1675"/>
      <c r="G66" s="1000">
        <v>2.3999999999999998E-3</v>
      </c>
      <c r="H66" s="1003">
        <f t="shared" si="13"/>
        <v>2.8E-3</v>
      </c>
      <c r="I66" s="3066">
        <v>0.06</v>
      </c>
      <c r="J66" s="1001">
        <f t="shared" si="14"/>
        <v>4.7999999999999996E-3</v>
      </c>
      <c r="K66" s="1001">
        <f t="shared" si="15"/>
        <v>2.3999999999999998E-3</v>
      </c>
      <c r="L66" s="1001">
        <v>0</v>
      </c>
      <c r="M66" s="1001">
        <f t="shared" si="16"/>
        <v>-2.3999999999999998E-3</v>
      </c>
      <c r="N66" s="1001">
        <f t="shared" si="16"/>
        <v>-4.7999999999999996E-3</v>
      </c>
      <c r="AA66" s="1057"/>
      <c r="AB66" s="1057"/>
      <c r="AC66" s="1057"/>
      <c r="AD66" s="1057"/>
      <c r="AE66" s="1057"/>
      <c r="AF66" s="1057"/>
      <c r="AG66" s="1057"/>
      <c r="AH66" s="1057"/>
      <c r="AI66" s="1057"/>
      <c r="AJ66" s="1057"/>
      <c r="AK66" s="1057"/>
    </row>
    <row r="67" spans="1:37" s="1056" customFormat="1" ht="52.8">
      <c r="A67" s="1970" t="s">
        <v>2059</v>
      </c>
      <c r="B67" s="1240" t="str">
        <f>估价对象房地状况!C21</f>
        <v>较好</v>
      </c>
      <c r="C67" s="1887" t="s">
        <v>3431</v>
      </c>
      <c r="D67" s="1002">
        <f t="shared" si="12"/>
        <v>2.3999999999999998E-3</v>
      </c>
      <c r="E67" s="703"/>
      <c r="F67" s="1675"/>
      <c r="G67" s="1000">
        <v>2.3999999999999998E-3</v>
      </c>
      <c r="H67" s="1003">
        <f t="shared" si="13"/>
        <v>2.8E-3</v>
      </c>
      <c r="I67" s="3066">
        <v>0.06</v>
      </c>
      <c r="J67" s="1001">
        <f t="shared" si="14"/>
        <v>4.7999999999999996E-3</v>
      </c>
      <c r="K67" s="1001">
        <f t="shared" si="15"/>
        <v>2.3999999999999998E-3</v>
      </c>
      <c r="L67" s="1001">
        <v>0</v>
      </c>
      <c r="M67" s="1001">
        <f t="shared" si="16"/>
        <v>-2.3999999999999998E-3</v>
      </c>
      <c r="N67" s="1001">
        <f t="shared" si="16"/>
        <v>-4.7999999999999996E-3</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估价对象所在区域基础设施水平“七通一平</v>
      </c>
      <c r="C68" s="1887" t="s">
        <v>3433</v>
      </c>
      <c r="D68" s="1002">
        <f t="shared" si="12"/>
        <v>7.1999999999999998E-3</v>
      </c>
      <c r="E68" s="703"/>
      <c r="F68" s="1675"/>
      <c r="G68" s="1000">
        <v>3.5999999999999999E-3</v>
      </c>
      <c r="H68" s="1003">
        <f t="shared" si="13"/>
        <v>4.1999999999999997E-3</v>
      </c>
      <c r="I68" s="3066">
        <v>0.09</v>
      </c>
      <c r="J68" s="1001">
        <f t="shared" si="14"/>
        <v>7.1999999999999998E-3</v>
      </c>
      <c r="K68" s="1001">
        <f t="shared" si="15"/>
        <v>3.5999999999999999E-3</v>
      </c>
      <c r="L68" s="1001">
        <v>0</v>
      </c>
      <c r="M68" s="1001">
        <f t="shared" si="16"/>
        <v>-3.5999999999999999E-3</v>
      </c>
      <c r="N68" s="1001">
        <f t="shared" si="16"/>
        <v>-7.1999999999999998E-3</v>
      </c>
      <c r="AA68" s="1057"/>
      <c r="AB68" s="1057"/>
      <c r="AC68" s="1057"/>
      <c r="AD68" s="1057"/>
      <c r="AE68" s="1057"/>
      <c r="AF68" s="1057"/>
      <c r="AG68" s="1057"/>
      <c r="AH68" s="1057"/>
      <c r="AI68" s="1057"/>
      <c r="AJ68" s="1057"/>
      <c r="AK68" s="1057"/>
    </row>
    <row r="69" spans="1:37" s="1056" customFormat="1" ht="66.599999999999994" thickBot="1">
      <c r="A69" s="1977" t="s">
        <v>2061</v>
      </c>
      <c r="B69" s="1979" t="str">
        <f>估价对象房地状况!C20</f>
        <v>较好</v>
      </c>
      <c r="C69" s="1887" t="s">
        <v>3431</v>
      </c>
      <c r="D69" s="1002">
        <f t="shared" si="12"/>
        <v>2.8E-3</v>
      </c>
      <c r="E69" s="704"/>
      <c r="F69" s="1675"/>
      <c r="G69" s="1000">
        <v>2.8E-3</v>
      </c>
      <c r="H69" s="1003">
        <f t="shared" si="13"/>
        <v>3.3E-3</v>
      </c>
      <c r="I69" s="3067">
        <v>7.0000000000000007E-2</v>
      </c>
      <c r="J69" s="1001">
        <f t="shared" si="14"/>
        <v>5.5999999999999999E-3</v>
      </c>
      <c r="K69" s="1001">
        <f t="shared" si="15"/>
        <v>2.8E-3</v>
      </c>
      <c r="L69" s="1001">
        <v>0</v>
      </c>
      <c r="M69" s="1001">
        <f t="shared" si="16"/>
        <v>-2.8E-3</v>
      </c>
      <c r="N69" s="1001">
        <f t="shared" si="16"/>
        <v>-5.5999999999999999E-3</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8" t="s">
        <v>3265</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26.4">
      <c r="A75" s="1970" t="s">
        <v>2067</v>
      </c>
      <c r="B75" s="1262" t="str">
        <f>估价对象房地状况!C24</f>
        <v>城市主干道——马家堡东路</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52.8">
      <c r="A76" s="1970" t="s">
        <v>2059</v>
      </c>
      <c r="B76" s="1240" t="str">
        <f>估价对象房地状况!C21</f>
        <v>较好</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估价对象所在区域基础设施水平“七通一平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66">
      <c r="A79" s="1970" t="s">
        <v>2061</v>
      </c>
      <c r="B79" s="1973" t="str">
        <f>估价对象房地状况!C20</f>
        <v>较好</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48">
      <c r="A85" s="3068" t="s">
        <v>3265</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3.8">
      <c r="A91" s="3076" t="s">
        <v>2608</v>
      </c>
      <c r="B91" s="3077">
        <f>1+E93</f>
        <v>1</v>
      </c>
      <c r="C91" s="3070"/>
      <c r="D91" s="3071"/>
      <c r="E91" s="1675"/>
      <c r="F91" s="1675"/>
      <c r="G91" s="3072"/>
      <c r="H91" s="3073"/>
      <c r="I91" s="3074"/>
      <c r="J91" s="3075"/>
      <c r="K91" s="3075"/>
      <c r="L91" s="3075"/>
      <c r="M91" s="3075"/>
      <c r="N91" s="3075"/>
    </row>
    <row r="92" spans="1:37" ht="25.2">
      <c r="A92" s="3078" t="s">
        <v>2044</v>
      </c>
      <c r="B92" s="2308"/>
      <c r="C92" s="2308" t="s">
        <v>2046</v>
      </c>
      <c r="D92" s="2308" t="s">
        <v>2047</v>
      </c>
      <c r="E92" s="3050" t="s">
        <v>2048</v>
      </c>
      <c r="F92" s="3080" t="s">
        <v>3279</v>
      </c>
      <c r="G92" s="2308" t="s">
        <v>1989</v>
      </c>
      <c r="H92" s="3087" t="s">
        <v>3283</v>
      </c>
      <c r="I92" s="2308" t="s">
        <v>2051</v>
      </c>
      <c r="J92" s="2150" t="s">
        <v>1721</v>
      </c>
      <c r="K92" s="2150" t="s">
        <v>1722</v>
      </c>
      <c r="L92" s="2150" t="s">
        <v>1723</v>
      </c>
      <c r="M92" s="2150" t="s">
        <v>1724</v>
      </c>
      <c r="N92" s="2150" t="s">
        <v>1725</v>
      </c>
    </row>
    <row r="93" spans="1:37" ht="24">
      <c r="A93" s="3068" t="s">
        <v>3268</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52.8">
      <c r="A94" s="3078" t="s">
        <v>2053</v>
      </c>
      <c r="B94" s="3069" t="str">
        <f>估价对象房地状况!C18</f>
        <v>较好</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48">
      <c r="A95" s="3068" t="s">
        <v>3265</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7.200000000000003">
      <c r="A96" s="3078" t="s">
        <v>2054</v>
      </c>
      <c r="B96" s="3084" t="s">
        <v>3281</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6.4">
      <c r="A97" s="3078" t="s">
        <v>2056</v>
      </c>
      <c r="B97" s="3069" t="str">
        <f>估价对象房地状况!C24</f>
        <v>城市主干道——马家堡东路</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36">
      <c r="A98" s="3078" t="s">
        <v>2057</v>
      </c>
      <c r="B98" s="3085" t="s">
        <v>3282</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52.8">
      <c r="A99" s="3078" t="s">
        <v>2059</v>
      </c>
      <c r="B99" s="3069" t="str">
        <f>估价对象房地状况!C21</f>
        <v>较好</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6.4">
      <c r="A100" s="3078" t="s">
        <v>2060</v>
      </c>
      <c r="B100" s="3069" t="str">
        <f>估价对象房地状况!C22</f>
        <v>估价对象所在区域基础设施水平“七通一平</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66.599999999999994" thickBot="1">
      <c r="A101" s="3079" t="s">
        <v>2061</v>
      </c>
      <c r="B101" s="3086" t="str">
        <f>估价对象房地状况!C20</f>
        <v>较好</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c r="A103" s="3368" t="s">
        <v>3290</v>
      </c>
      <c r="B103" s="3368"/>
      <c r="C103" s="3368"/>
      <c r="D103" s="3368"/>
      <c r="E103" s="3368"/>
      <c r="F103" s="3368"/>
      <c r="G103" s="3368"/>
      <c r="H103" s="3368"/>
      <c r="I103" s="3368"/>
      <c r="J103" s="3368"/>
      <c r="K103" s="1667"/>
      <c r="L103" s="1667"/>
      <c r="M103" s="1667"/>
      <c r="N103" s="1667"/>
    </row>
    <row r="104" spans="1:14">
      <c r="A104" s="3369" t="s">
        <v>3291</v>
      </c>
      <c r="B104" s="3369" t="s">
        <v>3292</v>
      </c>
      <c r="C104" s="3088" t="s">
        <v>3293</v>
      </c>
      <c r="D104" s="3089"/>
      <c r="E104" s="3089"/>
      <c r="F104" s="3089"/>
      <c r="G104" s="3089"/>
      <c r="H104" s="3089"/>
      <c r="I104" s="3089"/>
      <c r="J104" s="3090"/>
      <c r="K104" s="3091"/>
      <c r="L104" s="3091"/>
      <c r="M104" s="3091"/>
      <c r="N104" s="3091"/>
    </row>
    <row r="105" spans="1:14">
      <c r="A105" s="3369"/>
      <c r="B105" s="3369"/>
      <c r="C105" s="3092" t="s">
        <v>1961</v>
      </c>
      <c r="D105" s="3092" t="s">
        <v>1962</v>
      </c>
      <c r="E105" s="3092" t="s">
        <v>1963</v>
      </c>
      <c r="F105" s="3092" t="s">
        <v>1964</v>
      </c>
      <c r="G105" s="3092" t="s">
        <v>1965</v>
      </c>
      <c r="H105" s="3092" t="s">
        <v>1966</v>
      </c>
      <c r="I105" s="3092" t="s">
        <v>1967</v>
      </c>
      <c r="J105" s="3092" t="s">
        <v>1968</v>
      </c>
      <c r="K105" s="3092" t="s">
        <v>1969</v>
      </c>
      <c r="L105" s="3092" t="s">
        <v>1970</v>
      </c>
      <c r="M105" s="3092" t="s">
        <v>1971</v>
      </c>
      <c r="N105" s="3092" t="s">
        <v>1972</v>
      </c>
    </row>
    <row r="106" spans="1:14">
      <c r="A106" s="3355" t="s">
        <v>3306</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356"/>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356"/>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356"/>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356"/>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356"/>
      <c r="B111" s="3092" t="s">
        <v>3264</v>
      </c>
      <c r="C111" s="3093">
        <f>$I$3</f>
        <v>1</v>
      </c>
      <c r="D111" s="3093">
        <f t="shared" ref="D111:M111" si="32">$I$3</f>
        <v>1</v>
      </c>
      <c r="E111" s="3093">
        <f t="shared" si="32"/>
        <v>1</v>
      </c>
      <c r="F111" s="3093">
        <f t="shared" si="32"/>
        <v>1</v>
      </c>
      <c r="G111" s="3093">
        <f t="shared" si="32"/>
        <v>1</v>
      </c>
      <c r="H111" s="3093">
        <f t="shared" si="32"/>
        <v>1</v>
      </c>
      <c r="I111" s="3093">
        <f t="shared" si="32"/>
        <v>1</v>
      </c>
      <c r="J111" s="3093">
        <f t="shared" si="32"/>
        <v>1</v>
      </c>
      <c r="K111" s="3093">
        <f t="shared" si="32"/>
        <v>1</v>
      </c>
      <c r="L111" s="3093">
        <f t="shared" si="32"/>
        <v>1</v>
      </c>
      <c r="M111" s="3093">
        <f t="shared" si="32"/>
        <v>1</v>
      </c>
      <c r="N111" s="3093">
        <f>$I$3</f>
        <v>1</v>
      </c>
    </row>
    <row r="112" spans="1:14">
      <c r="A112" s="3357"/>
      <c r="B112" s="3092">
        <v>6</v>
      </c>
      <c r="C112" s="3087">
        <f>(-0.5556*(C111^2)-0.2719*C111+8944)*(10^(-4))</f>
        <v>0.89431725000000006</v>
      </c>
      <c r="D112" s="3087">
        <f>(-0.5556*(D111^2)-0.2719*D111+8944)*(10^(-4))</f>
        <v>0.89431725000000006</v>
      </c>
      <c r="E112" s="3087">
        <f>(-0.7912*(E111^2)-11.3794*E111+8482)*(10^(-4))</f>
        <v>0.84698294000000007</v>
      </c>
      <c r="F112" s="3087">
        <f t="shared" ref="F112:I112" si="33">(-0.7912*(F111^2)-11.3794*F111+8482)*(10^(-4))</f>
        <v>0.84698294000000007</v>
      </c>
      <c r="G112" s="3087">
        <f t="shared" si="33"/>
        <v>0.84698294000000007</v>
      </c>
      <c r="H112" s="3087">
        <f t="shared" si="33"/>
        <v>0.84698294000000007</v>
      </c>
      <c r="I112" s="3087">
        <f t="shared" si="33"/>
        <v>0.84698294000000007</v>
      </c>
      <c r="J112" s="3087">
        <f>(-0.989*(J111^2)-63.78*J111+7771)*(10^(-4))</f>
        <v>0.77062310000000001</v>
      </c>
      <c r="K112" s="3087">
        <f t="shared" ref="K112:N112" si="34">(-0.989*(K111^2)-63.78*K111+7771)*(10^(-4))</f>
        <v>0.77062310000000001</v>
      </c>
      <c r="L112" s="3087">
        <f t="shared" si="34"/>
        <v>0.77062310000000001</v>
      </c>
      <c r="M112" s="3087">
        <f t="shared" si="34"/>
        <v>0.77062310000000001</v>
      </c>
      <c r="N112" s="3087">
        <f t="shared" si="34"/>
        <v>0.77062310000000001</v>
      </c>
    </row>
    <row r="113" spans="1:14">
      <c r="A113" s="3358" t="s">
        <v>3307</v>
      </c>
      <c r="B113" s="3358"/>
      <c r="C113" s="3358"/>
      <c r="D113" s="3358"/>
      <c r="E113" s="3358"/>
      <c r="F113" s="3358"/>
      <c r="G113" s="3358"/>
      <c r="H113" s="3358"/>
      <c r="I113" s="3358"/>
      <c r="J113" s="3358"/>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8" thickBot="1">
      <c r="A115" s="3095"/>
      <c r="B115" s="3095"/>
      <c r="C115" s="3095"/>
      <c r="D115" s="3095"/>
      <c r="E115" s="3095"/>
      <c r="F115" s="3095"/>
      <c r="G115" s="3095"/>
      <c r="H115" s="3095"/>
      <c r="I115" s="3095"/>
      <c r="J115" s="3095"/>
      <c r="K115" s="1964"/>
      <c r="L115" s="3095"/>
      <c r="M115" s="3095"/>
      <c r="N115" s="3095"/>
    </row>
    <row r="116" spans="1:14" ht="25.8" thickBot="1">
      <c r="A116" s="3096" t="s">
        <v>3308</v>
      </c>
      <c r="B116" s="3112">
        <f>G3</f>
        <v>1.22</v>
      </c>
      <c r="C116" s="3097" t="s">
        <v>3309</v>
      </c>
      <c r="D116" s="3098">
        <f>SUMPRODUCT((A118:A122=F116)*(B117:M117=H116)*B118:M122)</f>
        <v>0.92420000000000002</v>
      </c>
      <c r="E116" s="162" t="s">
        <v>1936</v>
      </c>
      <c r="F116" s="3099" t="str">
        <f>E2</f>
        <v>办公</v>
      </c>
      <c r="G116" s="162" t="s">
        <v>1937</v>
      </c>
      <c r="H116" s="3099" t="str">
        <f>G2</f>
        <v>四级</v>
      </c>
      <c r="I116" s="162"/>
      <c r="J116" s="3100"/>
      <c r="K116" s="3100"/>
      <c r="L116" s="3100"/>
      <c r="M116" s="3100"/>
      <c r="N116" s="3095"/>
    </row>
    <row r="117" spans="1:14">
      <c r="A117" s="3101"/>
      <c r="B117" s="3102" t="s">
        <v>3312</v>
      </c>
      <c r="C117" s="3102" t="s">
        <v>3313</v>
      </c>
      <c r="D117" s="3102" t="s">
        <v>3314</v>
      </c>
      <c r="E117" s="3103" t="s">
        <v>3315</v>
      </c>
      <c r="F117" s="3103" t="s">
        <v>3316</v>
      </c>
      <c r="G117" s="3103" t="s">
        <v>3317</v>
      </c>
      <c r="H117" s="3104" t="s">
        <v>3318</v>
      </c>
      <c r="I117" s="3104" t="s">
        <v>3319</v>
      </c>
      <c r="J117" s="3105" t="s">
        <v>3320</v>
      </c>
      <c r="K117" s="3105" t="s">
        <v>3321</v>
      </c>
      <c r="L117" s="3105" t="s">
        <v>3322</v>
      </c>
      <c r="M117" s="3106" t="s">
        <v>3323</v>
      </c>
      <c r="N117" s="3095"/>
    </row>
    <row r="118" spans="1:14">
      <c r="A118" s="3055" t="s">
        <v>1990</v>
      </c>
      <c r="B118" s="3087">
        <f>ROUND(0.9968-0.011*B116,4)</f>
        <v>0.98340000000000005</v>
      </c>
      <c r="C118" s="3087">
        <f>B118</f>
        <v>0.98340000000000005</v>
      </c>
      <c r="D118" s="3087">
        <f>ROUND(0.949-0.014*B116,4)</f>
        <v>0.93189999999999995</v>
      </c>
      <c r="E118" s="3087">
        <f>D118</f>
        <v>0.93189999999999995</v>
      </c>
      <c r="F118" s="3087">
        <f>E118</f>
        <v>0.93189999999999995</v>
      </c>
      <c r="G118" s="3087">
        <f>F118</f>
        <v>0.93189999999999995</v>
      </c>
      <c r="H118" s="3087">
        <f>G118</f>
        <v>0.93189999999999995</v>
      </c>
      <c r="I118" s="3087">
        <f>ROUND(0.8486-0.018*B116,4)</f>
        <v>0.8266</v>
      </c>
      <c r="J118" s="3087">
        <f t="shared" ref="J118:M122" si="35">I118</f>
        <v>0.8266</v>
      </c>
      <c r="K118" s="3087">
        <f t="shared" si="35"/>
        <v>0.8266</v>
      </c>
      <c r="L118" s="3087">
        <f t="shared" si="35"/>
        <v>0.8266</v>
      </c>
      <c r="M118" s="3107">
        <f t="shared" si="35"/>
        <v>0.8266</v>
      </c>
      <c r="N118" s="3095"/>
    </row>
    <row r="119" spans="1:14">
      <c r="A119" s="3055" t="s">
        <v>1991</v>
      </c>
      <c r="B119" s="3087">
        <f>ROUND(0.993-0.0112*B116,4)</f>
        <v>0.97929999999999995</v>
      </c>
      <c r="C119" s="3087">
        <f>B119</f>
        <v>0.97929999999999995</v>
      </c>
      <c r="D119" s="3087">
        <f>ROUND(0.9415-0.0142*B116,4)</f>
        <v>0.92420000000000002</v>
      </c>
      <c r="E119" s="3087">
        <f t="shared" ref="E119:H120" si="36">D119</f>
        <v>0.92420000000000002</v>
      </c>
      <c r="F119" s="3087">
        <f t="shared" si="36"/>
        <v>0.92420000000000002</v>
      </c>
      <c r="G119" s="3087">
        <f t="shared" si="36"/>
        <v>0.92420000000000002</v>
      </c>
      <c r="H119" s="3087">
        <f t="shared" si="36"/>
        <v>0.92420000000000002</v>
      </c>
      <c r="I119" s="3087">
        <f>ROUND(0.838-0.0182*B116,4)</f>
        <v>0.81579999999999997</v>
      </c>
      <c r="J119" s="3087">
        <f t="shared" si="35"/>
        <v>0.81579999999999997</v>
      </c>
      <c r="K119" s="3087">
        <f t="shared" si="35"/>
        <v>0.81579999999999997</v>
      </c>
      <c r="L119" s="3087">
        <f t="shared" si="35"/>
        <v>0.81579999999999997</v>
      </c>
      <c r="M119" s="3107">
        <f t="shared" si="35"/>
        <v>0.81579999999999997</v>
      </c>
      <c r="N119" s="3095"/>
    </row>
    <row r="120" spans="1:14">
      <c r="A120" s="3055" t="s">
        <v>1992</v>
      </c>
      <c r="B120" s="3087">
        <f>ROUND(0.9448-0.0115*B116,4)</f>
        <v>0.93079999999999996</v>
      </c>
      <c r="C120" s="3087">
        <f>B120</f>
        <v>0.93079999999999996</v>
      </c>
      <c r="D120" s="3087">
        <f>ROUND(0.937-0.0145*B116,4)</f>
        <v>0.91930000000000001</v>
      </c>
      <c r="E120" s="3087">
        <f t="shared" si="36"/>
        <v>0.91930000000000001</v>
      </c>
      <c r="F120" s="3087">
        <f t="shared" si="36"/>
        <v>0.91930000000000001</v>
      </c>
      <c r="G120" s="3087">
        <f t="shared" si="36"/>
        <v>0.91930000000000001</v>
      </c>
      <c r="H120" s="3087">
        <f t="shared" si="36"/>
        <v>0.91930000000000001</v>
      </c>
      <c r="I120" s="3087">
        <f>ROUND(0.7965-0.0185*B116,4)</f>
        <v>0.77390000000000003</v>
      </c>
      <c r="J120" s="3087">
        <f t="shared" si="35"/>
        <v>0.77390000000000003</v>
      </c>
      <c r="K120" s="3087">
        <f t="shared" si="35"/>
        <v>0.77390000000000003</v>
      </c>
      <c r="L120" s="3087">
        <f t="shared" si="35"/>
        <v>0.77390000000000003</v>
      </c>
      <c r="M120" s="3107">
        <f t="shared" si="35"/>
        <v>0.77390000000000003</v>
      </c>
      <c r="N120" s="3095"/>
    </row>
    <row r="121" spans="1:14" ht="13.8" thickBot="1">
      <c r="A121" s="3108" t="s">
        <v>1993</v>
      </c>
      <c r="B121" s="3109">
        <f>ROUND(0.7836-0.012*B116,4)</f>
        <v>0.76900000000000002</v>
      </c>
      <c r="C121" s="3109">
        <f>B121</f>
        <v>0.76900000000000002</v>
      </c>
      <c r="D121" s="3109">
        <f>ROUND(0.753-0.015*B116,4)</f>
        <v>0.73470000000000002</v>
      </c>
      <c r="E121" s="3109">
        <f>D121</f>
        <v>0.73470000000000002</v>
      </c>
      <c r="F121" s="3109">
        <f>E121</f>
        <v>0.73470000000000002</v>
      </c>
      <c r="G121" s="3109">
        <f>ROUND(0.6612-0.018*B116,4)</f>
        <v>0.63919999999999999</v>
      </c>
      <c r="H121" s="3109">
        <f>G121</f>
        <v>0.63919999999999999</v>
      </c>
      <c r="I121" s="3109">
        <f>ROUND(0.5905-0.019*B116,4)</f>
        <v>0.56730000000000003</v>
      </c>
      <c r="J121" s="3109">
        <f t="shared" si="35"/>
        <v>0.56730000000000003</v>
      </c>
      <c r="K121" s="3109">
        <f t="shared" si="35"/>
        <v>0.56730000000000003</v>
      </c>
      <c r="L121" s="3109">
        <f t="shared" si="35"/>
        <v>0.56730000000000003</v>
      </c>
      <c r="M121" s="3110">
        <f t="shared" si="35"/>
        <v>0.56730000000000003</v>
      </c>
      <c r="N121" s="3095"/>
    </row>
    <row r="122" spans="1:14">
      <c r="A122" s="3111" t="s">
        <v>2608</v>
      </c>
      <c r="B122" s="3087">
        <f>ROUND(0.9404-0.0106*B116,4)</f>
        <v>0.92749999999999999</v>
      </c>
      <c r="C122" s="3087">
        <f>B122</f>
        <v>0.92749999999999999</v>
      </c>
      <c r="D122" s="3087">
        <f>ROUND(0.8955-0.0135*B116,4)</f>
        <v>0.879</v>
      </c>
      <c r="E122" s="3087">
        <f t="shared" ref="E122:H122" si="37">D122</f>
        <v>0.879</v>
      </c>
      <c r="F122" s="3087">
        <f t="shared" si="37"/>
        <v>0.879</v>
      </c>
      <c r="G122" s="3087">
        <f t="shared" si="37"/>
        <v>0.879</v>
      </c>
      <c r="H122" s="3087">
        <f t="shared" si="37"/>
        <v>0.879</v>
      </c>
      <c r="I122" s="3087">
        <f>ROUND(0.7632-0.0166*B116,4)</f>
        <v>0.7429</v>
      </c>
      <c r="J122" s="3087">
        <f t="shared" si="35"/>
        <v>0.7429</v>
      </c>
      <c r="K122" s="3087">
        <f t="shared" si="35"/>
        <v>0.7429</v>
      </c>
      <c r="L122" s="3087">
        <f t="shared" si="35"/>
        <v>0.7429</v>
      </c>
      <c r="M122" s="3107">
        <f t="shared" si="35"/>
        <v>0.7429</v>
      </c>
      <c r="N122" s="3095"/>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5"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J23" xr:uid="{9F983A21-5BFE-4F47-80B3-B63761BC459E}">
      <formula1>"不用分区数据,中心城区,中心城区以外"</formula1>
    </dataValidation>
    <dataValidation type="list" allowBlank="1" showInputMessage="1" showErrorMessage="1" sqref="H20:O20" xr:uid="{74C9DD58-4F3A-4A90-B2B0-748AD98EA59F}">
      <formula1>七通一平</formula1>
    </dataValidation>
    <dataValidation type="list" allowBlank="1" showInputMessage="1" showErrorMessage="1" sqref="H23" xr:uid="{44F3DD23-D60A-4748-9A1A-9A6C31784B09}">
      <formula1>"地价指数,季度增幅（自定义）,按公示增长率计算"</formula1>
    </dataValidation>
    <dataValidation type="list" allowBlank="1" showInputMessage="1" showErrorMessage="1" sqref="C61:C69 C72:C80 C50:C58 C83:C91 C93:C101" xr:uid="{177472DB-CED8-453D-B148-97170409865B}">
      <formula1>五等判定</formula1>
    </dataValidation>
    <dataValidation type="list" allowBlank="1" showInputMessage="1" showErrorMessage="1" sqref="E3" xr:uid="{71A3AE7F-3918-4A66-954E-03EE43DAD6FF}">
      <formula1>二级分类</formula1>
    </dataValidation>
    <dataValidation type="list" allowBlank="1" showInputMessage="1" showErrorMessage="1" sqref="C8" xr:uid="{75B4FDB2-FE73-476C-BC9B-00F6C97F3EC7}">
      <formula1>商业街名称</formula1>
    </dataValidation>
    <dataValidation type="list" allowBlank="1" showInputMessage="1" showErrorMessage="1" sqref="F3" xr:uid="{1AB22BEF-BC74-4D5D-AB06-391C216C3531}">
      <formula1>"宗地容积率,估价对象容积率,自定义容积率"</formula1>
    </dataValidation>
    <dataValidation type="list" allowBlank="1" showInputMessage="1" showErrorMessage="1" sqref="E2" xr:uid="{ED6CF5DF-BC25-4AB0-A084-0FD7D1353676}">
      <formula1>"商业,办公,住宅,工业,公共服务"</formula1>
    </dataValidation>
    <dataValidation type="list" allowBlank="1" showInputMessage="1" showErrorMessage="1" sqref="F21" xr:uid="{AFD061E6-72BE-43E8-95F9-8719AF60A966}">
      <formula1>"与级别开发程度一致,与级别开发程度不一致"</formula1>
    </dataValidation>
    <dataValidation type="list" allowBlank="1" showInputMessage="1" showErrorMessage="1" sqref="B25" xr:uid="{AAFD5A96-E061-4D92-B16E-9E706C7AAD25}">
      <formula1>"容积率修正,楼层修正"</formula1>
    </dataValidation>
    <dataValidation type="list" allowBlank="1" showInputMessage="1" showErrorMessage="1" sqref="C15:D15" xr:uid="{4E420CBC-3606-45D1-91BD-60E150B2D431}">
      <formula1>"有,无"</formula1>
    </dataValidation>
    <dataValidation type="list" allowBlank="1" showInputMessage="1" showErrorMessage="1" sqref="E15" xr:uid="{26BA8890-3EC2-4655-9FB5-47AECC3A08A4}">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73E4A-B1DD-42E6-8EB9-453117EFDB32}">
  <sheetPr>
    <tabColor rgb="FF92D050"/>
    <pageSetUpPr fitToPage="1"/>
  </sheetPr>
  <dimension ref="A1:H57"/>
  <sheetViews>
    <sheetView view="pageBreakPreview" zoomScale="70" zoomScaleNormal="70" zoomScaleSheetLayoutView="70" workbookViewId="0">
      <selection activeCell="G31" sqref="G3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3451</v>
      </c>
      <c r="C1" s="1717" t="s">
        <v>1563</v>
      </c>
      <c r="D1" s="190"/>
      <c r="E1" s="190"/>
      <c r="F1" s="190"/>
      <c r="G1" s="1062">
        <f>MATCH(B1,'数据-取费表'!A6:A16,0)+5</f>
        <v>6</v>
      </c>
      <c r="H1" s="998" t="str">
        <f>IF(ISERROR(FIND("住宅",B1)),"非住宅","住宅")</f>
        <v>非住宅</v>
      </c>
    </row>
    <row r="2" spans="1:8" s="192" customFormat="1" ht="18" customHeight="1">
      <c r="A2" s="193" t="s">
        <v>685</v>
      </c>
      <c r="B2" s="3120">
        <f ca="1">ROUND(IF(D2="——",C52/10000,C52/10000-E2),4)</f>
        <v>7145.2808999999997</v>
      </c>
      <c r="C2" s="191" t="s">
        <v>1463</v>
      </c>
      <c r="D2" s="1711" t="s">
        <v>43</v>
      </c>
      <c r="E2" s="1089" t="e">
        <f ca="1">SUMIF(INDIRECT("'"&amp;G2&amp;"'"&amp;"!A:A"),"承租人权益价值",INDIRECT("'"&amp;G2&amp;"'"&amp;"!c:c"))</f>
        <v>#REF!</v>
      </c>
      <c r="F2" s="1712" t="s">
        <v>1463</v>
      </c>
      <c r="G2" s="1713"/>
    </row>
    <row r="3" spans="1:8" s="192" customFormat="1" ht="18" customHeight="1" thickBot="1">
      <c r="A3" s="195" t="s">
        <v>686</v>
      </c>
      <c r="B3" s="196">
        <f ca="1">ROUND(B2*10000/(IF(B1="",'数据-汇总表'!E3,INDIRECT("'数据-取费表'!k"&amp;$G$1))),0)</f>
        <v>32925</v>
      </c>
      <c r="C3" s="191" t="s">
        <v>1465</v>
      </c>
      <c r="D3" s="191"/>
      <c r="E3" s="191"/>
      <c r="F3" s="191"/>
      <c r="G3" s="191"/>
    </row>
    <row r="4" spans="1:8" s="200" customFormat="1" ht="16.2">
      <c r="A4" s="197" t="s">
        <v>1466</v>
      </c>
      <c r="B4" s="198"/>
      <c r="C4" s="198"/>
      <c r="D4" s="198"/>
      <c r="E4" s="198"/>
      <c r="F4" s="198"/>
      <c r="G4" s="199"/>
    </row>
    <row r="5" spans="1:8" s="206" customFormat="1" ht="13.5" customHeight="1">
      <c r="A5" s="247" t="s">
        <v>337</v>
      </c>
      <c r="B5" s="202" t="s">
        <v>1468</v>
      </c>
      <c r="C5" s="203">
        <f ca="1">C6+C7+C8</f>
        <v>41684274</v>
      </c>
      <c r="D5" s="203" t="s">
        <v>1469</v>
      </c>
      <c r="E5" s="204" t="s">
        <v>1470</v>
      </c>
      <c r="F5" s="204" t="s">
        <v>1471</v>
      </c>
      <c r="G5" s="205"/>
    </row>
    <row r="6" spans="1:8" s="206" customFormat="1" ht="13.5" customHeight="1">
      <c r="A6" s="732" t="s">
        <v>346</v>
      </c>
      <c r="B6" s="207" t="s">
        <v>1473</v>
      </c>
      <c r="C6" s="208">
        <f>ROUND(基准地价修正办!C33*基准地价修正办!D33,0)</f>
        <v>40029339</v>
      </c>
      <c r="D6" s="209"/>
      <c r="E6" s="210"/>
      <c r="F6" s="210"/>
      <c r="G6" s="211"/>
    </row>
    <row r="7" spans="1:8" s="206" customFormat="1" ht="13.5" customHeight="1">
      <c r="A7" s="732" t="s">
        <v>347</v>
      </c>
      <c r="B7" s="207" t="s">
        <v>1475</v>
      </c>
      <c r="C7" s="212">
        <f>ROUND(C6*F7,0)</f>
        <v>1220895</v>
      </c>
      <c r="D7" s="212"/>
      <c r="E7" s="210"/>
      <c r="F7" s="213">
        <f>IF(项目基本情况!B8="出让",0,'数据-取费表'!B48+'数据-取费表'!B49)</f>
        <v>3.0499999999999999E-2</v>
      </c>
      <c r="G7" s="211"/>
    </row>
    <row r="8" spans="1:8" s="215" customFormat="1">
      <c r="A8" s="732" t="s">
        <v>348</v>
      </c>
      <c r="B8" s="207" t="s">
        <v>1477</v>
      </c>
      <c r="C8" s="212">
        <f ca="1">IF(G8="已包含在土地购买价格中",0,C9+C10)</f>
        <v>434040</v>
      </c>
      <c r="D8" s="214"/>
      <c r="E8" s="212"/>
      <c r="F8" s="213"/>
      <c r="G8" s="1714" t="s">
        <v>3434</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434040</v>
      </c>
      <c r="D10" s="795">
        <f ca="1">IF(B1="",'数据-汇总表'!E6,IF(INDIRECT("'数据-取费表'!c"&amp;$G$1)="住宅",INDIRECT("'数据-取费表'!s"&amp;$G$1),INDIRECT("'数据-取费表'!k"&amp;$G$1)+INDIRECT("'数据-取费表'!s"&amp;$G$1)))</f>
        <v>2170.1999999999998</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1482</v>
      </c>
      <c r="C12" s="203">
        <v>0</v>
      </c>
      <c r="D12" s="210"/>
      <c r="E12" s="220"/>
      <c r="F12" s="213">
        <v>3.0499999999999999E-2</v>
      </c>
      <c r="G12" s="211"/>
    </row>
    <row r="13" spans="1:8" s="206" customFormat="1" ht="13.5" hidden="1" customHeight="1">
      <c r="A13" s="219" t="s">
        <v>6</v>
      </c>
      <c r="B13" s="207" t="s">
        <v>1483</v>
      </c>
      <c r="C13" s="203"/>
      <c r="D13" s="210"/>
      <c r="E13" s="210"/>
      <c r="F13" s="210"/>
      <c r="G13" s="211"/>
    </row>
    <row r="14" spans="1:8" s="206" customFormat="1" ht="13.5" hidden="1" customHeight="1">
      <c r="A14" s="219" t="s">
        <v>7</v>
      </c>
      <c r="B14" s="207" t="s">
        <v>1477</v>
      </c>
      <c r="C14" s="203"/>
      <c r="D14" s="210"/>
      <c r="E14" s="210"/>
      <c r="F14" s="210"/>
      <c r="G14" s="211" t="s">
        <v>1485</v>
      </c>
    </row>
    <row r="15" spans="1:8" s="206" customFormat="1" ht="13.5" hidden="1" customHeight="1">
      <c r="A15" s="219" t="s">
        <v>8</v>
      </c>
      <c r="B15" s="207" t="s">
        <v>1486</v>
      </c>
      <c r="C15" s="212"/>
      <c r="D15" s="210"/>
      <c r="E15" s="210"/>
      <c r="F15" s="210"/>
      <c r="G15" s="211" t="s">
        <v>1487</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IF(G19="已包含在土地取得成本中","0",ROUND(D19*E19,0))</f>
        <v>0</v>
      </c>
      <c r="D19" s="204">
        <f ca="1">D9+D10</f>
        <v>2170.1999999999998</v>
      </c>
      <c r="E19" s="203">
        <f>'数据-取费表'!B31</f>
        <v>200</v>
      </c>
      <c r="F19" s="223"/>
      <c r="G19" s="1714" t="s">
        <v>3435</v>
      </c>
    </row>
    <row r="20" spans="1:7" s="206" customFormat="1" ht="13.5" customHeight="1">
      <c r="A20" s="247" t="s">
        <v>1493</v>
      </c>
      <c r="B20" s="202" t="s">
        <v>1494</v>
      </c>
      <c r="C20" s="224">
        <f ca="1">ROUND((C5+C19)*F20,0)</f>
        <v>833685</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224">
        <f ca="1">ROUND(SUM(C23:C25),0)</f>
        <v>1972573</v>
      </c>
      <c r="D22" s="227">
        <f ca="1">C26</f>
        <v>5.0000000000000001E-4</v>
      </c>
      <c r="E22" s="228" t="s">
        <v>1498</v>
      </c>
      <c r="F22" s="229">
        <f ca="1">'数据-取费表'!B40</f>
        <v>3.1E-2</v>
      </c>
      <c r="G22" s="226" t="str">
        <f>IF('数据-取费表'!B22&lt;=1,"单利计息","复利计息")</f>
        <v>复利计息</v>
      </c>
    </row>
    <row r="23" spans="1:7" s="206" customFormat="1" ht="13.5" customHeight="1">
      <c r="A23" s="734" t="s">
        <v>346</v>
      </c>
      <c r="B23" s="207" t="s">
        <v>1503</v>
      </c>
      <c r="C23" s="230">
        <f ca="1">ROUND(IF('数据-取费表'!B22&lt;=1,C5*F22*'数据-取费表'!B22,C5*(POWER((1+F22),'数据-取费表'!B22)-1)),0)</f>
        <v>1953264</v>
      </c>
      <c r="D23" s="230"/>
      <c r="E23" s="230"/>
      <c r="F23" s="231"/>
      <c r="G23" s="232" t="s">
        <v>1504</v>
      </c>
    </row>
    <row r="24" spans="1:7" s="206" customFormat="1" ht="13.5" customHeight="1">
      <c r="A24" s="734" t="s">
        <v>347</v>
      </c>
      <c r="B24" s="207" t="s">
        <v>1506</v>
      </c>
      <c r="C24" s="230">
        <f ca="1">ROUND(IF('数据-取费表'!B22&lt;=1,C19*F22*('数据-取费表'!B19/2+'数据-取费表'!B20),C19*(POWER((1+F22),('数据-取费表'!B19/2+'数据-取费表'!B20))-1)),0)</f>
        <v>0</v>
      </c>
      <c r="D24" s="230"/>
      <c r="E24" s="230"/>
      <c r="F24" s="231"/>
      <c r="G24" s="232" t="s">
        <v>1507</v>
      </c>
    </row>
    <row r="25" spans="1:7" s="206" customFormat="1" ht="24">
      <c r="A25" s="734" t="s">
        <v>348</v>
      </c>
      <c r="B25" s="207" t="s">
        <v>1509</v>
      </c>
      <c r="C25" s="230">
        <f ca="1">ROUND(IF('数据-取费表'!B22&lt;=1,C20*F22*'数据-取费表'!B22/2,C20*(POWER((1+F22),'数据-取费表'!B22/2)-1)),0)</f>
        <v>19309</v>
      </c>
      <c r="D25" s="230"/>
      <c r="E25" s="233"/>
      <c r="F25" s="231"/>
      <c r="G25" s="234" t="s">
        <v>1510</v>
      </c>
    </row>
    <row r="26" spans="1:7" s="206" customFormat="1">
      <c r="A26" s="734" t="s">
        <v>350</v>
      </c>
      <c r="B26" s="207" t="s">
        <v>1511</v>
      </c>
      <c r="C26" s="230">
        <f ca="1">ROUND(IF('数据-取费表'!B22&lt;=1,F21*F22*'数据-取费表'!B22/2,F21*(POWER((1+F22),'数据-取费表'!B22/2)-1)),4)</f>
        <v>5.0000000000000001E-4</v>
      </c>
      <c r="D26" s="230"/>
      <c r="E26" s="233"/>
      <c r="F26" s="231"/>
      <c r="G26" s="235"/>
    </row>
    <row r="27" spans="1:7" s="206" customFormat="1" ht="26.4">
      <c r="A27" s="247" t="s">
        <v>1512</v>
      </c>
      <c r="B27" s="236" t="s">
        <v>1513</v>
      </c>
      <c r="C27" s="237">
        <f ca="1">C28</f>
        <v>8503592</v>
      </c>
      <c r="D27" s="227">
        <f ca="1">C29</f>
        <v>4.0000000000000001E-3</v>
      </c>
      <c r="E27" s="228" t="s">
        <v>1498</v>
      </c>
      <c r="F27" s="238">
        <f ca="1">IF(B1="",'数据-取费表'!Q16,INDIRECT("'数据-取费表'!q"&amp;$G$1))</f>
        <v>0.2</v>
      </c>
      <c r="G27" s="239" t="s">
        <v>1515</v>
      </c>
    </row>
    <row r="28" spans="1:7" s="206" customFormat="1" ht="13.5" customHeight="1">
      <c r="A28" s="734" t="s">
        <v>346</v>
      </c>
      <c r="B28" s="240" t="s">
        <v>1516</v>
      </c>
      <c r="C28" s="241">
        <f ca="1">ROUND((C5+C19+C20)*F27,0)</f>
        <v>8503592</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1498</v>
      </c>
      <c r="E30" s="233"/>
      <c r="F30" s="229">
        <f>'数据-取费表'!B41</f>
        <v>5.6000000000000001E-2</v>
      </c>
      <c r="G30" s="226" t="s">
        <v>1520</v>
      </c>
    </row>
    <row r="31" spans="1:7" ht="16.5" customHeight="1">
      <c r="A31" s="201">
        <v>1</v>
      </c>
      <c r="B31" s="202" t="s">
        <v>1521</v>
      </c>
      <c r="C31" s="203">
        <f ca="1">ROUND((C5+C19+C20+C22+C27)/(1-C21-D22-D27-C30),0)</f>
        <v>57464893</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10883553</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9765900</v>
      </c>
      <c r="D34" s="209"/>
      <c r="E34" s="212"/>
      <c r="F34" s="249"/>
      <c r="G34" s="211"/>
    </row>
    <row r="35" spans="1:7" ht="13.5" customHeight="1">
      <c r="A35" s="734" t="s">
        <v>351</v>
      </c>
      <c r="B35" s="207" t="s">
        <v>1527</v>
      </c>
      <c r="C35" s="212">
        <f ca="1">ROUND(C34*F35,0)</f>
        <v>488295</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434040</v>
      </c>
      <c r="D37" s="209">
        <f ca="1">D19</f>
        <v>2170.1999999999998</v>
      </c>
      <c r="E37" s="241">
        <f>'数据-取费表'!B35</f>
        <v>200</v>
      </c>
      <c r="F37" s="251"/>
      <c r="G37" s="253"/>
    </row>
    <row r="38" spans="1:7" ht="13.5" customHeight="1">
      <c r="A38" s="734" t="s">
        <v>354</v>
      </c>
      <c r="B38" s="207" t="s">
        <v>1533</v>
      </c>
      <c r="C38" s="212">
        <f ca="1">ROUND(C34*F38,0)</f>
        <v>195318</v>
      </c>
      <c r="D38" s="212"/>
      <c r="E38" s="212"/>
      <c r="F38" s="251">
        <f>'数据-取费表'!B36</f>
        <v>0.02</v>
      </c>
      <c r="G38" s="211" t="s">
        <v>1528</v>
      </c>
    </row>
    <row r="39" spans="1:7" s="206" customFormat="1" ht="13.5" customHeight="1">
      <c r="A39" s="247" t="s">
        <v>1491</v>
      </c>
      <c r="B39" s="202" t="s">
        <v>1494</v>
      </c>
      <c r="C39" s="224">
        <f ca="1">ROUND(C33*F20,0)</f>
        <v>217671</v>
      </c>
      <c r="D39" s="224"/>
      <c r="E39" s="224"/>
      <c r="F39" s="225">
        <f>F20</f>
        <v>0.02</v>
      </c>
      <c r="G39" s="226" t="s">
        <v>1536</v>
      </c>
    </row>
    <row r="40" spans="1:7" s="206" customFormat="1" ht="13.5" customHeight="1">
      <c r="A40" s="247" t="s">
        <v>1493</v>
      </c>
      <c r="B40" s="202" t="s">
        <v>1497</v>
      </c>
      <c r="C40" s="227">
        <f>F21</f>
        <v>0.02</v>
      </c>
      <c r="D40" s="228" t="s">
        <v>1539</v>
      </c>
      <c r="E40" s="224"/>
      <c r="F40" s="225">
        <f>F21</f>
        <v>0.02</v>
      </c>
      <c r="G40" s="226" t="s">
        <v>1540</v>
      </c>
    </row>
    <row r="41" spans="1:7" s="206" customFormat="1" ht="13.5" customHeight="1">
      <c r="A41" s="247" t="s">
        <v>1496</v>
      </c>
      <c r="B41" s="202" t="s">
        <v>1501</v>
      </c>
      <c r="C41" s="224">
        <f ca="1">ROUND(SUM(C42:C43),0)</f>
        <v>257116</v>
      </c>
      <c r="D41" s="227">
        <f ca="1">C44</f>
        <v>5.0000000000000001E-4</v>
      </c>
      <c r="E41" s="228" t="s">
        <v>1539</v>
      </c>
      <c r="F41" s="229">
        <f ca="1">F22</f>
        <v>3.1E-2</v>
      </c>
      <c r="G41" s="226" t="str">
        <f>IF('数据-取费表'!B22&lt;=1,"单利计息","复利计息")</f>
        <v>复利计息</v>
      </c>
    </row>
    <row r="42" spans="1:7" ht="13.5" customHeight="1">
      <c r="A42" s="734" t="s">
        <v>346</v>
      </c>
      <c r="B42" s="207" t="s">
        <v>1503</v>
      </c>
      <c r="C42" s="230">
        <f ca="1">ROUND(IF('数据-取费表'!B22&lt;=1,C33*F22*'数据-取费表'!B20/2,C33*(POWER((1+F22),'数据-取费表'!B20/2)-1)),0)</f>
        <v>252075</v>
      </c>
      <c r="D42" s="230"/>
      <c r="E42" s="230"/>
      <c r="F42" s="231"/>
      <c r="G42" s="3374" t="s">
        <v>1591</v>
      </c>
    </row>
    <row r="43" spans="1:7" ht="13.5" customHeight="1">
      <c r="A43" s="734" t="s">
        <v>347</v>
      </c>
      <c r="B43" s="207" t="s">
        <v>1506</v>
      </c>
      <c r="C43" s="230">
        <f ca="1">ROUND(IF('数据-取费表'!B22&lt;=1,C39*F22*'数据-取费表'!B20/2,C39*(POWER((1+F22),'数据-取费表'!B20/2)-1)),0)</f>
        <v>5041</v>
      </c>
      <c r="D43" s="230"/>
      <c r="E43" s="230"/>
      <c r="F43" s="231"/>
      <c r="G43" s="3375"/>
    </row>
    <row r="44" spans="1:7" ht="13.5" customHeight="1">
      <c r="A44" s="734" t="s">
        <v>348</v>
      </c>
      <c r="B44" s="207" t="s">
        <v>1509</v>
      </c>
      <c r="C44" s="230">
        <f ca="1">ROUND(IF('数据-取费表'!B22&lt;=1,C40*F22*'数据-取费表'!B20/2,C40*(POWER((1+F22),'数据-取费表'!B20/2)-1)),4)</f>
        <v>5.0000000000000001E-4</v>
      </c>
      <c r="D44" s="230"/>
      <c r="E44" s="230"/>
      <c r="F44" s="231"/>
      <c r="G44" s="3376"/>
    </row>
    <row r="45" spans="1:7" s="206" customFormat="1" ht="13.5" customHeight="1">
      <c r="A45" s="247" t="s">
        <v>1500</v>
      </c>
      <c r="B45" s="236" t="s">
        <v>1513</v>
      </c>
      <c r="C45" s="237">
        <f ca="1">C46</f>
        <v>2220245</v>
      </c>
      <c r="D45" s="227">
        <f ca="1">C47</f>
        <v>4.0000000000000001E-3</v>
      </c>
      <c r="E45" s="228" t="s">
        <v>1539</v>
      </c>
      <c r="F45" s="238">
        <f ca="1">F27</f>
        <v>0.2</v>
      </c>
      <c r="G45" s="239" t="s">
        <v>1548</v>
      </c>
    </row>
    <row r="46" spans="1:7" s="206" customFormat="1" ht="13.5" customHeight="1">
      <c r="A46" s="734" t="s">
        <v>346</v>
      </c>
      <c r="B46" s="240" t="s">
        <v>1549</v>
      </c>
      <c r="C46" s="241">
        <f ca="1">ROUND((C33+C39)*F27,0)</f>
        <v>2220245</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14724122</v>
      </c>
      <c r="D49" s="224"/>
      <c r="E49" s="224"/>
      <c r="F49" s="256"/>
      <c r="G49" s="226" t="s">
        <v>1554</v>
      </c>
    </row>
    <row r="50" spans="1:7" s="250" customFormat="1">
      <c r="A50" s="247" t="s">
        <v>1555</v>
      </c>
      <c r="B50" s="202" t="s">
        <v>1556</v>
      </c>
      <c r="C50" s="224"/>
      <c r="D50" s="224"/>
      <c r="E50" s="224"/>
      <c r="F50" s="256">
        <f>IF('数据-取费表'!B24=0,'数据-取费表'!N16,1)</f>
        <v>0.95</v>
      </c>
      <c r="G50" s="239"/>
    </row>
    <row r="51" spans="1:7" ht="16.5" customHeight="1">
      <c r="A51" s="247" t="s">
        <v>1558</v>
      </c>
      <c r="B51" s="202" t="s">
        <v>1593</v>
      </c>
      <c r="C51" s="224">
        <f ca="1">ROUND(C49*F50,0)</f>
        <v>13987916</v>
      </c>
      <c r="D51" s="224"/>
      <c r="E51" s="224"/>
      <c r="F51" s="256"/>
      <c r="G51" s="226" t="s">
        <v>1560</v>
      </c>
    </row>
    <row r="52" spans="1:7" s="200" customFormat="1" ht="16.8" thickBot="1">
      <c r="A52" s="257" t="s">
        <v>1561</v>
      </c>
      <c r="B52" s="258"/>
      <c r="C52" s="259">
        <f ca="1">C31+C51</f>
        <v>71452809</v>
      </c>
      <c r="D52" s="258"/>
      <c r="E52" s="258"/>
      <c r="F52" s="258"/>
      <c r="G52" s="260"/>
    </row>
    <row r="55" spans="1:7" ht="15">
      <c r="B55" s="262" t="s">
        <v>1562</v>
      </c>
      <c r="C55" s="263"/>
    </row>
    <row r="56" spans="1:7">
      <c r="B56" s="265" t="s">
        <v>802</v>
      </c>
      <c r="C56" s="267">
        <f ca="1">1-C57</f>
        <v>0.80400000000000005</v>
      </c>
    </row>
    <row r="57" spans="1:7">
      <c r="B57" s="265" t="s">
        <v>803</v>
      </c>
      <c r="C57" s="266">
        <f ca="1">ROUND(C51/C52,3)</f>
        <v>0.19600000000000001</v>
      </c>
    </row>
  </sheetData>
  <sheetProtection password="CEE9" sheet="1" objects="1" scenarios="1" formatCells="0"/>
  <mergeCells count="1">
    <mergeCell ref="G42:G44"/>
  </mergeCells>
  <phoneticPr fontId="135" type="noConversion"/>
  <dataValidations count="5">
    <dataValidation type="list" allowBlank="1" showInputMessage="1" showErrorMessage="1" sqref="D2" xr:uid="{55B45A54-C493-4414-A21B-0A2756378242}">
      <formula1>"需扣减承租人权益,——"</formula1>
    </dataValidation>
    <dataValidation type="list" allowBlank="1" showInputMessage="1" showErrorMessage="1" sqref="G2" xr:uid="{429532C0-04D8-43A7-B800-8DA0D31E234F}">
      <formula1>估价方法</formula1>
    </dataValidation>
    <dataValidation type="list" allowBlank="1" showInputMessage="1" showErrorMessage="1" sqref="B1" xr:uid="{C35BEF16-F24E-44A5-97BB-C8805CD82D24}">
      <formula1>项目类型</formula1>
    </dataValidation>
    <dataValidation type="list" allowBlank="1" showInputMessage="1" showErrorMessage="1" sqref="G19" xr:uid="{90E7B840-C387-46CC-B519-1AD2F90A2C48}">
      <formula1>"已包含在土地取得成本中,未包含在土地取得成本中"</formula1>
    </dataValidation>
    <dataValidation type="list" allowBlank="1" showInputMessage="1" showErrorMessage="1" sqref="G8" xr:uid="{EDF75EA5-E8CC-4E62-916A-6C635E37B633}">
      <formula1>"已包含在土地购买价格中,未包含在土地购买价格中"</formula1>
    </dataValidation>
  </dataValidations>
  <pageMargins left="0.7" right="0.7" top="0.75" bottom="0.75" header="0.3" footer="0.3"/>
  <pageSetup paperSize="9" scale="78"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53B3A0-EC18-491A-8C70-D9A4DB69F641}">
  <sheetPr>
    <tabColor rgb="FF92D050"/>
  </sheetPr>
  <dimension ref="A1:AK83"/>
  <sheetViews>
    <sheetView view="pageBreakPreview" zoomScale="70" zoomScaleNormal="70" zoomScaleSheetLayoutView="70" workbookViewId="0">
      <selection activeCell="G31" sqref="G3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3451</v>
      </c>
      <c r="D1" s="1271" t="s">
        <v>43</v>
      </c>
      <c r="E1" s="1272" t="s">
        <v>678</v>
      </c>
      <c r="F1" s="999">
        <f ca="1">J53</f>
        <v>26.58</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3121">
        <f ca="1">ROUND(D2/10000,4)</f>
        <v>4487.2785000000003</v>
      </c>
      <c r="C2" s="1289" t="s">
        <v>805</v>
      </c>
      <c r="D2" s="1375">
        <f ca="1">C40+J29+L46</f>
        <v>44872785</v>
      </c>
      <c r="E2" s="1295" t="s">
        <v>880</v>
      </c>
      <c r="F2" s="1296"/>
      <c r="G2" s="2476"/>
      <c r="H2" s="2466"/>
      <c r="I2" s="2466"/>
      <c r="J2" s="2466"/>
      <c r="K2" s="2467"/>
      <c r="L2" s="2466"/>
      <c r="M2" s="2466"/>
    </row>
    <row r="3" spans="1:37" ht="18" customHeight="1" thickBot="1">
      <c r="A3" s="1297" t="s">
        <v>806</v>
      </c>
      <c r="B3" s="1298">
        <f ca="1">IF(ISERROR(D2/F43),0,ROUND(D2/F43,0))</f>
        <v>20677</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3212108</v>
      </c>
      <c r="D5" s="1273" t="s">
        <v>693</v>
      </c>
      <c r="E5" s="1008"/>
      <c r="F5" s="1009"/>
      <c r="G5" s="1292"/>
      <c r="H5" s="291">
        <v>1</v>
      </c>
      <c r="I5" s="292" t="s">
        <v>692</v>
      </c>
      <c r="J5" s="1007">
        <f ca="1">J6+J10+J12</f>
        <v>0</v>
      </c>
      <c r="K5" s="1273" t="s">
        <v>693</v>
      </c>
      <c r="L5" s="1008"/>
      <c r="M5" s="1009"/>
    </row>
    <row r="6" spans="1:37" ht="18" customHeight="1">
      <c r="A6" s="1006" t="s">
        <v>398</v>
      </c>
      <c r="B6" s="3377" t="s">
        <v>694</v>
      </c>
      <c r="C6" s="1011">
        <f ca="1">ROUND(F6*F8*F7*(1-F9),0)</f>
        <v>3208098</v>
      </c>
      <c r="D6" s="147" t="s">
        <v>2106</v>
      </c>
      <c r="E6" s="294" t="s">
        <v>696</v>
      </c>
      <c r="F6" s="295">
        <f ca="1">INDIRECT("'数据-取费表'!u"&amp;$G$1)</f>
        <v>4.5</v>
      </c>
      <c r="G6" s="1292"/>
      <c r="H6" s="1006" t="s">
        <v>398</v>
      </c>
      <c r="I6" s="3377" t="s">
        <v>694</v>
      </c>
      <c r="J6" s="293">
        <f ca="1">ROUND(M6*M8*M7*(1-M9),0)</f>
        <v>0</v>
      </c>
      <c r="K6" s="1284" t="s">
        <v>2107</v>
      </c>
      <c r="L6" s="294" t="s">
        <v>696</v>
      </c>
      <c r="M6" s="295">
        <f ca="1">INDIRECT("'数据-取费表'!z"&amp;$G$1)</f>
        <v>0</v>
      </c>
    </row>
    <row r="7" spans="1:37" ht="18" customHeight="1">
      <c r="A7" s="1010"/>
      <c r="B7" s="3378"/>
      <c r="C7" s="1012"/>
      <c r="D7" s="299"/>
      <c r="E7" s="1013" t="s">
        <v>697</v>
      </c>
      <c r="F7" s="295">
        <f ca="1">IF(INDIRECT("'数据-取费表'!ah"&amp;$G$1)="",INDIRECT("'数据-取费表'!k"&amp;$G$1),INDIRECT("'数据-取费表'!ah"&amp;$G$1))</f>
        <v>2170.1999999999998</v>
      </c>
      <c r="G7" s="1292"/>
      <c r="H7" s="296"/>
      <c r="I7" s="3378"/>
      <c r="J7" s="298"/>
      <c r="K7" s="299"/>
      <c r="L7" s="294" t="s">
        <v>697</v>
      </c>
      <c r="M7" s="295">
        <f ca="1">F7</f>
        <v>2170.1999999999998</v>
      </c>
    </row>
    <row r="8" spans="1:37" ht="18" customHeight="1">
      <c r="A8" s="296"/>
      <c r="B8" s="3378"/>
      <c r="C8" s="298"/>
      <c r="D8" s="299"/>
      <c r="E8" s="294" t="s">
        <v>698</v>
      </c>
      <c r="F8" s="295">
        <f ca="1">INDIRECT("'数据-取费表'!ai"&amp;$G$1)</f>
        <v>365</v>
      </c>
      <c r="G8" s="1292"/>
      <c r="H8" s="296"/>
      <c r="I8" s="3378"/>
      <c r="J8" s="298"/>
      <c r="K8" s="299"/>
      <c r="L8" s="294" t="s">
        <v>698</v>
      </c>
      <c r="M8" s="295">
        <f ca="1">INDIRECT("'数据-取费表'!ai"&amp;$G$1)</f>
        <v>365</v>
      </c>
    </row>
    <row r="9" spans="1:37" ht="18" customHeight="1">
      <c r="A9" s="296"/>
      <c r="B9" s="3379"/>
      <c r="C9" s="298"/>
      <c r="D9" s="299"/>
      <c r="E9" s="294" t="s">
        <v>699</v>
      </c>
      <c r="F9" s="304">
        <f ca="1">INDIRECT("'数据-取费表'!w"&amp;$G$1)</f>
        <v>0.1</v>
      </c>
      <c r="G9" s="1292"/>
      <c r="H9" s="296"/>
      <c r="I9" s="3379"/>
      <c r="J9" s="298"/>
      <c r="K9" s="299"/>
      <c r="L9" s="305" t="s">
        <v>699</v>
      </c>
      <c r="M9" s="306">
        <f ca="1">INDIRECT("'数据-取费表'!ab"&amp;$G$1)</f>
        <v>0</v>
      </c>
    </row>
    <row r="10" spans="1:37" ht="18" customHeight="1">
      <c r="A10" s="1006" t="s">
        <v>402</v>
      </c>
      <c r="B10" s="1274" t="s">
        <v>700</v>
      </c>
      <c r="C10" s="308">
        <f ca="1">ROUND(IF(F10="押一",C6/12*F11,IF(F10="押二",C6/12*2*F11,IF(F10="押三",C6/12*3*F11,C11*F11))),0)</f>
        <v>4010</v>
      </c>
      <c r="D10" s="150" t="s">
        <v>2116</v>
      </c>
      <c r="E10" s="305" t="s">
        <v>701</v>
      </c>
      <c r="F10" s="1053" t="s">
        <v>3436</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13987916</v>
      </c>
      <c r="D13" s="1018" t="s">
        <v>705</v>
      </c>
      <c r="E13" s="1018" t="s">
        <v>706</v>
      </c>
      <c r="F13" s="1019">
        <f ca="1">INDIRECT("'数据-取费表'!y"&amp;$G$1)</f>
        <v>0.95</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9765900</v>
      </c>
      <c r="D14" s="1257" t="s">
        <v>708</v>
      </c>
      <c r="E14" s="1255"/>
      <c r="F14" s="311"/>
      <c r="G14" s="1292"/>
      <c r="H14" s="928" t="s">
        <v>398</v>
      </c>
      <c r="I14" s="294" t="s">
        <v>709</v>
      </c>
      <c r="J14" s="21">
        <f ca="1">C29</f>
        <v>14724122</v>
      </c>
      <c r="K14" s="12"/>
      <c r="L14" s="759"/>
      <c r="M14" s="760"/>
    </row>
    <row r="15" spans="1:37" s="1304" customFormat="1" ht="18" customHeight="1" thickBot="1">
      <c r="A15" s="928" t="s">
        <v>399</v>
      </c>
      <c r="B15" s="294" t="s">
        <v>710</v>
      </c>
      <c r="C15" s="21">
        <f ca="1">ROUND(C14*F15,0)</f>
        <v>488295</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49506</v>
      </c>
      <c r="K16" s="1024" t="s">
        <v>715</v>
      </c>
      <c r="L16" s="1025"/>
      <c r="M16" s="1009"/>
    </row>
    <row r="17" spans="1:37" s="1304" customFormat="1" ht="18" customHeight="1">
      <c r="A17" s="928" t="s">
        <v>681</v>
      </c>
      <c r="B17" s="294" t="s">
        <v>716</v>
      </c>
      <c r="C17" s="21">
        <f ca="1">ROUND(F17*(F43+INDIRECT("'数据-取费表'!S"&amp;$G$1)),0)</f>
        <v>434040</v>
      </c>
      <c r="D17" s="294" t="s">
        <v>717</v>
      </c>
      <c r="E17" s="294" t="s">
        <v>718</v>
      </c>
      <c r="F17" s="23">
        <f>'数据-取费表'!B35</f>
        <v>200</v>
      </c>
      <c r="G17" s="1303"/>
      <c r="H17" s="928" t="s">
        <v>398</v>
      </c>
      <c r="I17" s="294" t="s">
        <v>719</v>
      </c>
      <c r="J17" s="2140">
        <f ca="1">ROUND(IF(AND(项目基本情况!B11="自然人",项目基本情况!B10="北京市"),J6*M17/(1+'数据-取费表'!C42),J18+J19+J20),0)</f>
        <v>5334</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195318</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10883553</v>
      </c>
      <c r="D19" s="123" t="s">
        <v>726</v>
      </c>
      <c r="E19" s="1269"/>
      <c r="F19" s="23"/>
      <c r="G19" s="1292"/>
      <c r="H19" s="928" t="s">
        <v>399</v>
      </c>
      <c r="I19" s="294" t="s">
        <v>727</v>
      </c>
      <c r="J19" s="21">
        <f ca="1">IF(K19="按租金收入计税",ROUND(J6*M19/(1+'数据-取费表'!C42),0),ROUND(C29*M19*0.7,0))</f>
        <v>0</v>
      </c>
      <c r="K19" s="1278" t="s">
        <v>3332</v>
      </c>
      <c r="L19" s="294" t="s">
        <v>712</v>
      </c>
      <c r="M19" s="314">
        <f>IF(K19="按租金收入计税",'数据-取费表'!B51,'数据-取费表'!B50)</f>
        <v>0.12</v>
      </c>
    </row>
    <row r="20" spans="1:37" s="1304" customFormat="1" ht="18" customHeight="1">
      <c r="A20" s="928" t="s">
        <v>402</v>
      </c>
      <c r="B20" s="294" t="s">
        <v>728</v>
      </c>
      <c r="C20" s="21">
        <f ca="1">ROUND(C19*F20,0)</f>
        <v>217671</v>
      </c>
      <c r="D20" s="315" t="s">
        <v>729</v>
      </c>
      <c r="E20" s="294" t="s">
        <v>712</v>
      </c>
      <c r="F20" s="314">
        <f>'数据-取费表'!B37</f>
        <v>0.02</v>
      </c>
      <c r="G20" s="1303"/>
      <c r="H20" s="928" t="s">
        <v>680</v>
      </c>
      <c r="I20" s="147" t="s">
        <v>730</v>
      </c>
      <c r="J20" s="22">
        <f ca="1">ROUND(M20*M21,0)</f>
        <v>5334</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1778.06</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44172</v>
      </c>
      <c r="K22" s="1256" t="s">
        <v>739</v>
      </c>
      <c r="L22" s="294" t="s">
        <v>712</v>
      </c>
      <c r="M22" s="320">
        <f ca="1">INDIRECT("'数据-取费表'!Ak"&amp;$G$1)</f>
        <v>3.0000000000000001E-3</v>
      </c>
    </row>
    <row r="23" spans="1:37" s="1304" customFormat="1" ht="18" customHeight="1">
      <c r="A23" s="928" t="s">
        <v>397</v>
      </c>
      <c r="B23" s="294" t="s">
        <v>740</v>
      </c>
      <c r="C23" s="21">
        <f ca="1">IF('数据-取费表'!B22&lt;=1,ROUND(C19*F24*F23/2,0)+ROUND(C20*F24*F23/2,0),ROUND(C19*(POWER((1+F24),F23/2)-1),0)+ROUND(C20*(POWER((1+F24),F23/2)-1),0))</f>
        <v>257116</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ROUND(J13*M23,0)</f>
        <v>0</v>
      </c>
      <c r="K23" s="1256" t="s">
        <v>743</v>
      </c>
      <c r="L23" s="294" t="s">
        <v>712</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3.1E-2</v>
      </c>
      <c r="G24" s="1303"/>
      <c r="H24" s="1026" t="s">
        <v>683</v>
      </c>
      <c r="I24" s="1027" t="s">
        <v>728</v>
      </c>
      <c r="J24" s="1028">
        <f ca="1">ROUND(J5*M24,0)</f>
        <v>0</v>
      </c>
      <c r="K24" s="1029" t="s">
        <v>748</v>
      </c>
      <c r="L24" s="1027" t="s">
        <v>712</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-49506</v>
      </c>
      <c r="K25" s="1032" t="s">
        <v>753</v>
      </c>
      <c r="L25" s="1033"/>
      <c r="M25" s="1034"/>
    </row>
    <row r="26" spans="1:37" ht="18" customHeight="1">
      <c r="A26" s="928" t="s">
        <v>397</v>
      </c>
      <c r="B26" s="294" t="s">
        <v>754</v>
      </c>
      <c r="C26" s="21">
        <f ca="1">ROUND((C19+C20)*F26,0)</f>
        <v>2220245</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14724122</v>
      </c>
      <c r="D29" s="1029"/>
      <c r="E29" s="1027"/>
      <c r="F29" s="1030"/>
      <c r="G29" s="1303"/>
      <c r="H29" s="325" t="s">
        <v>396</v>
      </c>
      <c r="I29" s="326" t="s">
        <v>768</v>
      </c>
      <c r="J29" s="327">
        <f ca="1">ROUND(J26/(1+F40)^F41,0)</f>
        <v>0</v>
      </c>
      <c r="K29" s="328" t="s">
        <v>769</v>
      </c>
      <c r="L29" s="329"/>
      <c r="M29" s="330">
        <f ca="1">INDIRECT("'数据-取费表'!k"&amp;$G$1)</f>
        <v>2170.1999999999998</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617294</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ROUND(IF(AND(项目基本情况!B11="自然人",项目基本情况!B10="北京市"),C6*F31/(1+'数据-取费表'!C42),C32+C33+C34),0)</f>
        <v>543073</v>
      </c>
      <c r="D31" s="1257" t="s">
        <v>720</v>
      </c>
      <c r="E31" s="1256" t="s">
        <v>770</v>
      </c>
      <c r="F31" s="2139" t="str">
        <f>IF(项目基本情况!B11="企业","——",IF(M47="住宅",IF(F6*F7*F8/12/(1+'数据-取费表'!F30)&gt;100000,4%,2.5%),IF(F6*F7*F8/12/(1+'数据-取费表'!F30)&gt;100000,12%,7%)))</f>
        <v>——</v>
      </c>
      <c r="G31" s="1292"/>
      <c r="H31" s="2567" t="s">
        <v>2302</v>
      </c>
      <c r="I31" s="1305"/>
      <c r="J31" s="1306"/>
      <c r="K31" s="121"/>
      <c r="L31" s="2469"/>
      <c r="M31" s="2470"/>
    </row>
    <row r="32" spans="1:37" ht="18" customHeight="1">
      <c r="A32" s="928" t="s">
        <v>397</v>
      </c>
      <c r="B32" s="294" t="s">
        <v>723</v>
      </c>
      <c r="C32" s="21">
        <f ca="1">IF(项目基本情况!B11="自然人","——",ROUND(C6*F32/(1+'数据-取费表'!C42),0))</f>
        <v>171099</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IF(项目基本情况!B11="自然人","——",IF(D33="按租金收入计税",ROUND(C6*F33/(1+'数据-取费表'!C42),0),IF(D33="按房产原值计税",ROUND(C29*F33*0.7,0),INDIRECT("'数据-取费表'!Aj"&amp;$G$1))))</f>
        <v>366640</v>
      </c>
      <c r="D33" s="1278" t="s">
        <v>3332</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IF(项目基本情况!B11="自然人","——",ROUND(F34*F35,0))</f>
        <v>5334</v>
      </c>
      <c r="D34" s="316" t="s">
        <v>731</v>
      </c>
      <c r="E34" s="294" t="s">
        <v>732</v>
      </c>
      <c r="F34" s="317">
        <f>'数据-取费表'!B52</f>
        <v>3</v>
      </c>
      <c r="G34" s="1292"/>
      <c r="H34" s="2468"/>
      <c r="I34" s="1305"/>
      <c r="J34" s="1306"/>
      <c r="K34" s="2473"/>
      <c r="L34" s="2474"/>
      <c r="M34" s="2474"/>
    </row>
    <row r="35" spans="1:18" ht="18" customHeight="1">
      <c r="A35" s="1040"/>
      <c r="B35" s="1038"/>
      <c r="C35" s="26"/>
      <c r="D35" s="319"/>
      <c r="E35" s="294" t="s">
        <v>736</v>
      </c>
      <c r="F35" s="295">
        <f ca="1">INDIRECT("'数据-取费表'!r"&amp;$G$1)</f>
        <v>1778.06</v>
      </c>
      <c r="G35" s="1292"/>
      <c r="H35" s="2468"/>
      <c r="I35" s="1305"/>
      <c r="J35" s="1306"/>
      <c r="K35" s="2472"/>
      <c r="L35" s="2471"/>
      <c r="M35" s="2471"/>
    </row>
    <row r="36" spans="1:18" ht="18" customHeight="1">
      <c r="A36" s="1039" t="s">
        <v>402</v>
      </c>
      <c r="B36" s="294" t="s">
        <v>738</v>
      </c>
      <c r="C36" s="21">
        <f ca="1">ROUND(C29*F36,0)</f>
        <v>44172</v>
      </c>
      <c r="D36" s="1256" t="s">
        <v>771</v>
      </c>
      <c r="E36" s="294" t="s">
        <v>712</v>
      </c>
      <c r="F36" s="320">
        <f ca="1">INDIRECT("'数据-取费表'!Ak"&amp;$G$1)</f>
        <v>3.0000000000000001E-3</v>
      </c>
      <c r="G36" s="1292"/>
      <c r="H36" s="2471"/>
      <c r="I36" s="1305"/>
      <c r="J36" s="1306"/>
      <c r="K36" s="2329"/>
      <c r="L36" s="2471"/>
      <c r="M36" s="2471"/>
    </row>
    <row r="37" spans="1:18" ht="18" customHeight="1">
      <c r="A37" s="928" t="s">
        <v>437</v>
      </c>
      <c r="B37" s="294" t="s">
        <v>742</v>
      </c>
      <c r="C37" s="21">
        <f ca="1">ROUND(C13*F37,0)</f>
        <v>13988</v>
      </c>
      <c r="D37" s="1256" t="s">
        <v>743</v>
      </c>
      <c r="E37" s="294" t="s">
        <v>712</v>
      </c>
      <c r="F37" s="321">
        <f ca="1">INDIRECT("'数据-取费表'!Al"&amp;$G$1)</f>
        <v>1E-3</v>
      </c>
      <c r="G37" s="1292"/>
      <c r="H37" s="2471"/>
      <c r="I37" s="1305"/>
      <c r="J37" s="1306"/>
      <c r="K37" s="2329"/>
      <c r="L37" s="2471"/>
      <c r="M37" s="2471"/>
    </row>
    <row r="38" spans="1:18" ht="18" customHeight="1" thickBot="1">
      <c r="A38" s="1026" t="s">
        <v>683</v>
      </c>
      <c r="B38" s="1027" t="s">
        <v>728</v>
      </c>
      <c r="C38" s="1028">
        <f ca="1">ROUND(C5*F38,0)</f>
        <v>16061</v>
      </c>
      <c r="D38" s="1029" t="s">
        <v>748</v>
      </c>
      <c r="E38" s="1027" t="s">
        <v>712</v>
      </c>
      <c r="F38" s="1023">
        <f ca="1">INDIRECT("'数据-取费表'!Am"&amp;$G$1)</f>
        <v>5.0000000000000001E-3</v>
      </c>
      <c r="G38" s="1292"/>
      <c r="H38" s="2471"/>
      <c r="I38" s="1305"/>
      <c r="J38" s="1306"/>
      <c r="K38" s="2469"/>
      <c r="L38" s="2471"/>
      <c r="M38" s="2471"/>
    </row>
    <row r="39" spans="1:18" ht="24.6" customHeight="1" thickTop="1">
      <c r="A39" s="1016" t="s">
        <v>394</v>
      </c>
      <c r="B39" s="1031" t="s">
        <v>752</v>
      </c>
      <c r="C39" s="302">
        <f ca="1">C5-C30</f>
        <v>2594814</v>
      </c>
      <c r="D39" s="1032" t="s">
        <v>753</v>
      </c>
      <c r="E39" s="1033"/>
      <c r="F39" s="1034"/>
      <c r="G39" s="1292"/>
      <c r="H39" s="2471"/>
      <c r="I39" s="1305"/>
      <c r="J39" s="1306"/>
      <c r="K39" s="2469"/>
      <c r="L39" s="2471"/>
      <c r="M39" s="2471"/>
    </row>
    <row r="40" spans="1:18" ht="18" customHeight="1">
      <c r="A40" s="291" t="s">
        <v>395</v>
      </c>
      <c r="B40" s="292" t="s">
        <v>774</v>
      </c>
      <c r="C40" s="293">
        <f ca="1">ROUND(C39*(1-((1+F42)/(1+F40))^F41)/(F40-F42),0)</f>
        <v>43897641</v>
      </c>
      <c r="D40" s="316" t="s">
        <v>758</v>
      </c>
      <c r="E40" s="294" t="s">
        <v>759</v>
      </c>
      <c r="F40" s="304">
        <f ca="1">INDIRECT("'数据-取费表'!I"&amp;$G$1)</f>
        <v>5.5E-2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26.58</v>
      </c>
      <c r="G41" s="1292"/>
      <c r="H41" s="121"/>
      <c r="I41" s="1305"/>
      <c r="J41" s="1306"/>
      <c r="K41" s="2329"/>
      <c r="L41" s="121"/>
      <c r="M41" s="121"/>
    </row>
    <row r="42" spans="1:18" ht="18" customHeight="1">
      <c r="A42" s="300"/>
      <c r="B42" s="301"/>
      <c r="C42" s="302"/>
      <c r="D42" s="319"/>
      <c r="E42" s="294" t="s">
        <v>766</v>
      </c>
      <c r="F42" s="304">
        <f ca="1">INDIRECT("'数据-取费表'!v"&amp;$G$1)</f>
        <v>0.02</v>
      </c>
      <c r="G42" s="1292"/>
      <c r="H42" s="121"/>
      <c r="I42" s="1305"/>
      <c r="J42" s="1306"/>
      <c r="K42" s="2329"/>
      <c r="L42" s="121"/>
      <c r="M42" s="121"/>
    </row>
    <row r="43" spans="1:18" ht="18" customHeight="1" thickBot="1">
      <c r="A43" s="325" t="s">
        <v>396</v>
      </c>
      <c r="B43" s="326" t="s">
        <v>776</v>
      </c>
      <c r="C43" s="327">
        <f ca="1">ROUND(C40/F43,0)</f>
        <v>20227</v>
      </c>
      <c r="D43" s="328" t="s">
        <v>777</v>
      </c>
      <c r="E43" s="329" t="s">
        <v>778</v>
      </c>
      <c r="F43" s="330">
        <f ca="1">INDIRECT("'数据-取费表'!k"&amp;$G$1)</f>
        <v>2170.1999999999998</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3348</v>
      </c>
      <c r="B45" s="1307"/>
      <c r="C45" s="1376">
        <f ca="1">ROUND((C68-C40)/10000,4)</f>
        <v>-4477.3900999999996</v>
      </c>
      <c r="D45" s="3128" t="s">
        <v>3349</v>
      </c>
      <c r="E45" s="1307"/>
      <c r="F45" s="1307"/>
      <c r="O45" s="1310" t="s">
        <v>808</v>
      </c>
      <c r="P45" s="1366"/>
      <c r="Q45" s="1366"/>
      <c r="R45" s="1366"/>
    </row>
    <row r="46" spans="1:18" s="1292" customFormat="1" ht="13.8" thickBot="1">
      <c r="A46" s="1311" t="s">
        <v>809</v>
      </c>
      <c r="C46" s="1312">
        <f ca="1">ROUND(C45,0)</f>
        <v>-4477</v>
      </c>
      <c r="D46" s="1313" t="str">
        <f>C2</f>
        <v>万元</v>
      </c>
      <c r="I46" s="1314" t="s">
        <v>810</v>
      </c>
      <c r="J46" s="1315"/>
      <c r="K46" s="1316"/>
      <c r="L46" s="1317">
        <f ca="1">IF(M47="住宅",0,IF(L48&gt;J51,L60,J60))</f>
        <v>975144</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3437</v>
      </c>
      <c r="K47" s="1323" t="s">
        <v>816</v>
      </c>
      <c r="L47" s="1324">
        <f ca="1">INDIRECT("'数据-取费表'!d"&amp;$G$1)</f>
        <v>50</v>
      </c>
      <c r="M47" s="1288" t="str">
        <f>IF(ISNUMBER(FIND("住宅",C1)),"住宅","非住宅")</f>
        <v>非住宅</v>
      </c>
      <c r="O47" s="1325" t="s">
        <v>403</v>
      </c>
      <c r="P47" s="1326" t="s">
        <v>817</v>
      </c>
      <c r="Q47" s="1327">
        <f ca="1">C40+J29</f>
        <v>43897641</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3438</v>
      </c>
      <c r="K48" s="1330" t="s">
        <v>820</v>
      </c>
      <c r="L48" s="1331">
        <f ca="1">INDIRECT("'数据-取费表'!f"&amp;$G$1)</f>
        <v>26.58</v>
      </c>
      <c r="O48" s="1325" t="s">
        <v>404</v>
      </c>
      <c r="P48" s="1326" t="s">
        <v>821</v>
      </c>
      <c r="Q48" s="1327">
        <f ca="1">J60</f>
        <v>975144</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'数据-取费表'!O19</f>
        <v>1992</v>
      </c>
      <c r="K49" s="1330" t="s">
        <v>824</v>
      </c>
      <c r="L49" s="1333"/>
      <c r="O49" s="1334" t="s">
        <v>405</v>
      </c>
      <c r="P49" s="1326" t="s">
        <v>825</v>
      </c>
      <c r="Q49" s="1327">
        <f ca="1">C29</f>
        <v>14724122</v>
      </c>
      <c r="R49" s="1327" t="s">
        <v>818</v>
      </c>
    </row>
    <row r="50" spans="1:18" s="1292" customFormat="1" ht="13.8" thickBot="1">
      <c r="A50" s="922"/>
      <c r="B50" s="925"/>
      <c r="C50" s="926"/>
      <c r="D50" s="899"/>
      <c r="E50" s="993" t="s">
        <v>697</v>
      </c>
      <c r="F50" s="994">
        <f ca="1">F7</f>
        <v>2170.1999999999998</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27</v>
      </c>
      <c r="K51" s="1339" t="s">
        <v>830</v>
      </c>
      <c r="L51" s="1340">
        <f ca="1">ROUND(-PV(INDIRECT("'数据-取费表'!h"&amp;$G$1),J51,(C39-C13*C76),0),0)</f>
        <v>23658162</v>
      </c>
      <c r="M51" s="1341"/>
      <c r="O51" s="1334" t="s">
        <v>407</v>
      </c>
      <c r="P51" s="1326" t="s">
        <v>831</v>
      </c>
      <c r="Q51" s="1337">
        <f>J52</f>
        <v>7.0000000000000007E-2</v>
      </c>
      <c r="R51" s="1327"/>
    </row>
    <row r="52" spans="1:18" s="1292" customFormat="1" ht="13.8" thickBot="1">
      <c r="A52" s="923"/>
      <c r="B52" s="925"/>
      <c r="C52" s="926"/>
      <c r="D52" s="899"/>
      <c r="E52" s="927" t="s">
        <v>699</v>
      </c>
      <c r="F52" s="991"/>
      <c r="I52" s="1342" t="s">
        <v>832</v>
      </c>
      <c r="J52" s="1343">
        <v>7.0000000000000007E-2</v>
      </c>
      <c r="K52" s="1342" t="s">
        <v>833</v>
      </c>
      <c r="L52" s="1343"/>
      <c r="O52" s="1334" t="s">
        <v>408</v>
      </c>
      <c r="P52" s="1326" t="s">
        <v>834</v>
      </c>
      <c r="Q52" s="1327">
        <f ca="1">J53</f>
        <v>26.58</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26.58</v>
      </c>
      <c r="K53" s="3380" t="s">
        <v>837</v>
      </c>
      <c r="L53" s="3381"/>
      <c r="O53" s="1325" t="s">
        <v>409</v>
      </c>
      <c r="P53" s="1326" t="s">
        <v>838</v>
      </c>
      <c r="Q53" s="1327">
        <f ca="1">Q47+Q48</f>
        <v>44872785</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7.0000000000000001E-3</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13987916</v>
      </c>
      <c r="D56" s="1352"/>
      <c r="E56" s="1353"/>
      <c r="F56" s="1345"/>
      <c r="I56" s="1354" t="s">
        <v>842</v>
      </c>
      <c r="J56" s="1355"/>
      <c r="K56" s="1328" t="s">
        <v>843</v>
      </c>
      <c r="L56" s="1331" t="str">
        <f ca="1">IF(L48&lt;J51,"——",L48-J51)</f>
        <v>——</v>
      </c>
      <c r="O56" s="1325" t="s">
        <v>403</v>
      </c>
      <c r="P56" s="1326" t="s">
        <v>817</v>
      </c>
      <c r="Q56" s="1327">
        <f ca="1">C40+J29</f>
        <v>43897641</v>
      </c>
      <c r="R56" s="1327" t="s">
        <v>818</v>
      </c>
    </row>
    <row r="57" spans="1:18" s="1292" customFormat="1" ht="24.6" thickBot="1">
      <c r="A57" s="1356"/>
      <c r="B57" s="896" t="s">
        <v>767</v>
      </c>
      <c r="C57" s="230">
        <f ca="1">C29</f>
        <v>14724122</v>
      </c>
      <c r="D57" s="1357"/>
      <c r="E57" s="1358"/>
      <c r="F57" s="1359"/>
      <c r="I57" s="1360" t="s">
        <v>844</v>
      </c>
      <c r="J57" s="1361">
        <f ca="1">IF(OR(M47="住宅",J51&lt;L48,J56="是"),"——",J51-L48)</f>
        <v>0.42000000000000171</v>
      </c>
      <c r="K57" s="1328" t="s">
        <v>892</v>
      </c>
      <c r="L57" s="1331" t="str">
        <f ca="1">IF(L48&lt;J51,"——",IF(L55="比较法",L49,IF(L55="基准地价",L50,L51)))</f>
        <v>——</v>
      </c>
      <c r="O57" s="1325" t="s">
        <v>404</v>
      </c>
      <c r="P57" s="1326" t="s">
        <v>846</v>
      </c>
      <c r="Q57" s="1327">
        <f ca="1">L60</f>
        <v>0</v>
      </c>
      <c r="R57" s="1327" t="s">
        <v>847</v>
      </c>
    </row>
    <row r="58" spans="1:18" s="1292" customFormat="1" ht="24.6" thickBot="1">
      <c r="A58" s="307" t="s">
        <v>393</v>
      </c>
      <c r="B58" s="904" t="s">
        <v>714</v>
      </c>
      <c r="C58" s="308">
        <f ca="1">ROUND(C59+C64+C65+C66,0)</f>
        <v>63494</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5334</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5889649</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975144</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727</v>
      </c>
      <c r="C61" s="21">
        <f ca="1">IF(项目基本情况!B11="自然人","——",IF(D61="按租金收入计税",ROUND(C49*F61/(1+'数据-取费表'!C42),0),IF(D61="按房产原值计税",ROUND(C57*F61*0.7,0),INDIRECT("'数据-取费表'!Aj"&amp;$G$1))))</f>
        <v>0</v>
      </c>
      <c r="D61" s="1278" t="s">
        <v>3332</v>
      </c>
      <c r="E61" s="896" t="s">
        <v>712</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730</v>
      </c>
      <c r="C62" s="22">
        <f ca="1">IF(项目基本情况!B11="自然人","——",ROUND(F62*F63,0))</f>
        <v>5334</v>
      </c>
      <c r="D62" s="911" t="s">
        <v>731</v>
      </c>
      <c r="E62" s="896" t="s">
        <v>732</v>
      </c>
      <c r="F62" s="317">
        <f t="shared" si="0"/>
        <v>3</v>
      </c>
      <c r="I62" s="1367" t="s">
        <v>858</v>
      </c>
      <c r="J62" s="610" t="s">
        <v>859</v>
      </c>
      <c r="K62" s="610" t="s">
        <v>860</v>
      </c>
      <c r="L62" s="610" t="s">
        <v>861</v>
      </c>
      <c r="M62" s="1368" t="s">
        <v>862</v>
      </c>
      <c r="O62" s="1325" t="s">
        <v>409</v>
      </c>
      <c r="P62" s="1326" t="s">
        <v>838</v>
      </c>
      <c r="Q62" s="1327">
        <f ca="1">Q56+Q57</f>
        <v>43897641</v>
      </c>
      <c r="R62" s="1327" t="s">
        <v>410</v>
      </c>
    </row>
    <row r="63" spans="1:18" s="1292" customFormat="1" ht="13.8" thickBot="1">
      <c r="A63" s="318"/>
      <c r="B63" s="902"/>
      <c r="C63" s="26"/>
      <c r="D63" s="912"/>
      <c r="E63" s="896" t="s">
        <v>736</v>
      </c>
      <c r="F63" s="295">
        <f t="shared" ca="1" si="0"/>
        <v>1778.06</v>
      </c>
      <c r="I63" s="1367" t="s">
        <v>864</v>
      </c>
      <c r="J63" s="610">
        <v>70</v>
      </c>
      <c r="K63" s="610">
        <v>50</v>
      </c>
      <c r="L63" s="610">
        <v>80</v>
      </c>
      <c r="M63" s="1369">
        <v>0.02</v>
      </c>
      <c r="O63" s="1310" t="s">
        <v>865</v>
      </c>
      <c r="P63" s="1289"/>
      <c r="Q63" s="1289"/>
      <c r="R63" s="1289"/>
    </row>
    <row r="64" spans="1:18" s="1292" customFormat="1" ht="13.8" thickBot="1">
      <c r="A64" s="928" t="s">
        <v>402</v>
      </c>
      <c r="B64" s="896" t="s">
        <v>738</v>
      </c>
      <c r="C64" s="21">
        <f ca="1">ROUND(C57*F64,0)</f>
        <v>44172</v>
      </c>
      <c r="D64" s="910" t="s">
        <v>771</v>
      </c>
      <c r="E64" s="896" t="s">
        <v>712</v>
      </c>
      <c r="F64" s="320">
        <f t="shared" ca="1" si="0"/>
        <v>3.0000000000000001E-3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13988</v>
      </c>
      <c r="D65" s="910" t="s">
        <v>743</v>
      </c>
      <c r="E65" s="896" t="s">
        <v>712</v>
      </c>
      <c r="F65" s="321">
        <f t="shared" ca="1" si="0"/>
        <v>1E-3</v>
      </c>
      <c r="I65" s="1367" t="s">
        <v>867</v>
      </c>
      <c r="J65" s="610">
        <v>40</v>
      </c>
      <c r="K65" s="610">
        <v>30</v>
      </c>
      <c r="L65" s="610">
        <v>50</v>
      </c>
      <c r="M65" s="1369">
        <v>0.02</v>
      </c>
      <c r="O65" s="1325" t="s">
        <v>403</v>
      </c>
      <c r="P65" s="1326" t="s">
        <v>817</v>
      </c>
      <c r="Q65" s="1327">
        <f ca="1">C40+J29</f>
        <v>43897641</v>
      </c>
      <c r="R65" s="1327" t="s">
        <v>818</v>
      </c>
    </row>
    <row r="66" spans="1:18" s="1292" customFormat="1" ht="16.2" thickBot="1">
      <c r="A66" s="928" t="s">
        <v>793</v>
      </c>
      <c r="B66" s="896" t="s">
        <v>728</v>
      </c>
      <c r="C66" s="21">
        <f ca="1">ROUND(C48*F66,0)</f>
        <v>0</v>
      </c>
      <c r="D66" s="910" t="s">
        <v>748</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-63494</v>
      </c>
      <c r="D67" s="909" t="s">
        <v>753</v>
      </c>
      <c r="E67" s="914"/>
      <c r="F67" s="915"/>
      <c r="O67" s="1334" t="s">
        <v>405</v>
      </c>
      <c r="P67" s="1326" t="s">
        <v>850</v>
      </c>
      <c r="Q67" s="1370">
        <f ca="1">L51</f>
        <v>23658162</v>
      </c>
      <c r="R67" s="1327" t="s">
        <v>870</v>
      </c>
    </row>
    <row r="68" spans="1:18" s="1292" customFormat="1" ht="16.2" thickBot="1">
      <c r="A68" s="893" t="s">
        <v>395</v>
      </c>
      <c r="B68" s="894" t="s">
        <v>774</v>
      </c>
      <c r="C68" s="293">
        <f ca="1">ROUND(C67*(1-((1+F70)/(1+F68))^F69)/(F68-F70),0)</f>
        <v>-876260</v>
      </c>
      <c r="D68" s="911" t="s">
        <v>758</v>
      </c>
      <c r="E68" s="896" t="s">
        <v>759</v>
      </c>
      <c r="F68" s="304">
        <f ca="1">F40</f>
        <v>5.5E-2</v>
      </c>
      <c r="O68" s="1334" t="s">
        <v>406</v>
      </c>
      <c r="P68" s="1371" t="s">
        <v>871</v>
      </c>
      <c r="Q68" s="1327">
        <f ca="1">ROUND(Q69-Q70*Q71,0)</f>
        <v>1615660</v>
      </c>
      <c r="R68" s="1327" t="s">
        <v>414</v>
      </c>
    </row>
    <row r="69" spans="1:18" s="1292" customFormat="1" ht="13.8" thickBot="1">
      <c r="A69" s="897"/>
      <c r="B69" s="898"/>
      <c r="C69" s="298"/>
      <c r="D69" s="916" t="s">
        <v>762</v>
      </c>
      <c r="E69" s="896" t="s">
        <v>763</v>
      </c>
      <c r="F69" s="324">
        <f ca="1">F41</f>
        <v>26.58</v>
      </c>
      <c r="O69" s="1334" t="s">
        <v>411</v>
      </c>
      <c r="P69" s="1371" t="s">
        <v>872</v>
      </c>
      <c r="Q69" s="1327">
        <f ca="1">C39</f>
        <v>2594814</v>
      </c>
      <c r="R69" s="1327" t="s">
        <v>818</v>
      </c>
    </row>
    <row r="70" spans="1:18" s="1292" customFormat="1" ht="13.8" thickBot="1">
      <c r="A70" s="900"/>
      <c r="B70" s="901"/>
      <c r="C70" s="302"/>
      <c r="D70" s="912"/>
      <c r="E70" s="896" t="s">
        <v>766</v>
      </c>
      <c r="F70" s="991"/>
      <c r="O70" s="1334" t="s">
        <v>412</v>
      </c>
      <c r="P70" s="1371" t="s">
        <v>873</v>
      </c>
      <c r="Q70" s="1327">
        <f ca="1">C13</f>
        <v>13987916</v>
      </c>
      <c r="R70" s="1327" t="s">
        <v>818</v>
      </c>
    </row>
    <row r="71" spans="1:18" s="1292" customFormat="1" ht="13.8" thickBot="1">
      <c r="A71" s="917" t="s">
        <v>396</v>
      </c>
      <c r="B71" s="918" t="s">
        <v>776</v>
      </c>
      <c r="C71" s="327">
        <f ca="1">ROUND(C68/F71,0)</f>
        <v>-404</v>
      </c>
      <c r="D71" s="919" t="s">
        <v>777</v>
      </c>
      <c r="E71" s="920" t="s">
        <v>778</v>
      </c>
      <c r="F71" s="330">
        <f ca="1">F43</f>
        <v>2170.1999999999998</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979154</v>
      </c>
      <c r="D75" s="1292"/>
      <c r="E75" s="1292"/>
      <c r="F75" s="1292"/>
      <c r="K75" s="1309"/>
      <c r="L75" s="1292"/>
      <c r="O75" s="1325" t="s">
        <v>409</v>
      </c>
      <c r="P75" s="1326" t="s">
        <v>838</v>
      </c>
      <c r="Q75" s="1327">
        <f ca="1">Q65+Q66</f>
        <v>43897641</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0.623</v>
      </c>
    </row>
    <row r="80" spans="1:18">
      <c r="B80" s="331" t="s">
        <v>800</v>
      </c>
      <c r="C80" s="266">
        <f ca="1">ROUND(C75/C39,3)</f>
        <v>0.377</v>
      </c>
    </row>
    <row r="81" spans="2:3">
      <c r="B81" s="262" t="s">
        <v>801</v>
      </c>
      <c r="C81" s="230"/>
    </row>
    <row r="82" spans="2:3">
      <c r="B82" s="265" t="s">
        <v>802</v>
      </c>
      <c r="C82" s="267">
        <f ca="1">1-C83</f>
        <v>0.68100000000000005</v>
      </c>
    </row>
    <row r="83" spans="2:3">
      <c r="B83" s="265" t="s">
        <v>803</v>
      </c>
      <c r="C83" s="266">
        <f ca="1">ROUND(C13/C40,3)</f>
        <v>0.31900000000000001</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D1" xr:uid="{F73248DD-F32F-48B4-AD24-BC4A199BAC30}">
      <formula1>"在建（套用方法）,土地（套用方法）,——"</formula1>
    </dataValidation>
    <dataValidation type="list" allowBlank="1" showInputMessage="1" showErrorMessage="1" sqref="F10 F53 M10" xr:uid="{765DD306-0D0B-42D1-A3D6-A003A6501C0D}">
      <formula1>"押一,押二,押三,自定义"</formula1>
    </dataValidation>
    <dataValidation type="list" allowBlank="1" showInputMessage="1" showErrorMessage="1" sqref="K19" xr:uid="{ABF53B92-851A-4C8C-BECE-FFF0A8030611}">
      <formula1>"按租金收入计税,按房产原值计税"</formula1>
    </dataValidation>
    <dataValidation type="list" allowBlank="1" showInputMessage="1" showErrorMessage="1" sqref="D33 D61" xr:uid="{F32E26AA-D02A-4F6E-B0C7-E7A2B1424823}">
      <formula1>"按租金收入计税,按房产原值计税,按票据"</formula1>
    </dataValidation>
    <dataValidation type="list" allowBlank="1" showInputMessage="1" showErrorMessage="1" sqref="C1" xr:uid="{3063ADB6-1033-423C-9AF4-7E4F67CCF8EC}">
      <formula1>项目类型</formula1>
    </dataValidation>
    <dataValidation type="list" allowBlank="1" showInputMessage="1" showErrorMessage="1" sqref="J47" xr:uid="{D18515B4-BDDB-4997-8427-434EB461A530}">
      <formula1>"钢,钢混,砖混"</formula1>
    </dataValidation>
    <dataValidation type="list" allowBlank="1" showInputMessage="1" showErrorMessage="1" sqref="J48" xr:uid="{18FCE8B0-6978-4D8B-8166-52382488AF40}">
      <formula1>"非生产用房,生产用房,受腐蚀的生产用房"</formula1>
    </dataValidation>
    <dataValidation type="list" allowBlank="1" showInputMessage="1" showErrorMessage="1" sqref="J56" xr:uid="{06DB1DCC-6BCD-4D71-AA31-69677903DD6A}">
      <formula1>估价范围判定</formula1>
    </dataValidation>
    <dataValidation type="list" allowBlank="1" showInputMessage="1" showErrorMessage="1" sqref="L55" xr:uid="{80ED25DB-A3FC-4E82-B6D0-DA492297E098}">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2" t="str">
        <f>IF(项目基本情况!B9="房地产市场价值","估价结果一览表","结果表-2")</f>
        <v>结果表-2</v>
      </c>
      <c r="B1" s="3182"/>
      <c r="C1" s="3182"/>
      <c r="D1" s="3182"/>
      <c r="E1" s="3182"/>
      <c r="F1" s="3182"/>
      <c r="G1" s="3182"/>
      <c r="H1" s="3182"/>
      <c r="I1" s="3182"/>
    </row>
    <row r="2" spans="1:9" ht="30" customHeight="1" thickTop="1">
      <c r="A2" s="3183" t="s">
        <v>928</v>
      </c>
      <c r="B2" s="3183" t="s">
        <v>929</v>
      </c>
      <c r="C2" s="3183" t="s">
        <v>930</v>
      </c>
      <c r="D2" s="3183" t="str">
        <f>结果表!D116</f>
        <v>出让国有建设用地使用权价值</v>
      </c>
      <c r="E2" s="3183"/>
      <c r="F2" s="3183" t="str">
        <f>结果表!F116</f>
        <v>在建建筑物价值</v>
      </c>
      <c r="G2" s="3183"/>
      <c r="H2" s="3183" t="str">
        <f>IF(项目基本情况!B9="房地产市场价值","房地产市场价值","房地产价值")</f>
        <v>房地产价值</v>
      </c>
      <c r="I2" s="3183"/>
    </row>
    <row r="3" spans="1:9" ht="15.6">
      <c r="A3" s="3184"/>
      <c r="B3" s="3184"/>
      <c r="C3" s="3184"/>
      <c r="D3" s="801" t="s">
        <v>925</v>
      </c>
      <c r="E3" s="801" t="s">
        <v>931</v>
      </c>
      <c r="F3" s="801" t="s">
        <v>925</v>
      </c>
      <c r="G3" s="801" t="s">
        <v>926</v>
      </c>
      <c r="H3" s="801" t="s">
        <v>925</v>
      </c>
      <c r="I3" s="801" t="s">
        <v>926</v>
      </c>
    </row>
    <row r="4" spans="1:9" ht="30">
      <c r="A4" s="1403" t="str">
        <f>项目基本情况!S2</f>
        <v>北京市丰台区角门东里11号楼房地产</v>
      </c>
      <c r="B4" s="801">
        <f>项目基本情况!C17</f>
        <v>2170.1999999999998</v>
      </c>
      <c r="C4" s="801">
        <f>项目基本情况!C18</f>
        <v>1778.06</v>
      </c>
      <c r="D4" s="801">
        <f ca="1">结果表!D118</f>
        <v>5178</v>
      </c>
      <c r="E4" s="801">
        <f ca="1">结果表!E118</f>
        <v>23859</v>
      </c>
      <c r="F4" s="801">
        <f ca="1">结果表!F118</f>
        <v>1238</v>
      </c>
      <c r="G4" s="801">
        <f ca="1">结果表!G118</f>
        <v>5705</v>
      </c>
      <c r="H4" s="801">
        <f ca="1">结果表!H118</f>
        <v>6416</v>
      </c>
      <c r="I4" s="801">
        <f ca="1">结果表!I118</f>
        <v>29564</v>
      </c>
    </row>
    <row r="5" spans="1:9" ht="30" customHeight="1">
      <c r="A5" s="3184" t="s">
        <v>927</v>
      </c>
      <c r="B5" s="3184"/>
      <c r="C5" s="3184"/>
      <c r="D5" s="3184" t="str">
        <f ca="1">结果表!D119</f>
        <v>伍仟壹佰柒拾捌万元整</v>
      </c>
      <c r="E5" s="3184"/>
      <c r="F5" s="3184" t="str">
        <f ca="1">结果表!F119</f>
        <v>壹仟贰佰叁拾捌万元整</v>
      </c>
      <c r="G5" s="3184"/>
      <c r="H5" s="3184" t="str">
        <f ca="1">结果表!H119</f>
        <v>陆仟肆佰壹拾陆万元整</v>
      </c>
      <c r="I5" s="3184"/>
    </row>
    <row r="6" spans="1:9" ht="15.6">
      <c r="A6" s="3185" t="str">
        <f>结果表!A120</f>
        <v>估价师知悉的法定优先受偿款</v>
      </c>
      <c r="B6" s="3185"/>
      <c r="C6" s="3185"/>
      <c r="D6" s="3185">
        <f>结果表!D120</f>
        <v>0</v>
      </c>
      <c r="E6" s="3185"/>
      <c r="F6" s="3185"/>
      <c r="G6" s="3185"/>
      <c r="H6" s="3185"/>
      <c r="I6" s="3185"/>
    </row>
    <row r="7" spans="1:9" ht="15">
      <c r="A7" s="3184" t="s">
        <v>927</v>
      </c>
      <c r="B7" s="3184"/>
      <c r="C7" s="3184"/>
      <c r="D7" s="3186" t="str">
        <f>结果表!D121</f>
        <v>零元整</v>
      </c>
      <c r="E7" s="3187"/>
      <c r="F7" s="3187"/>
      <c r="G7" s="3187"/>
      <c r="H7" s="3187"/>
      <c r="I7" s="3188"/>
    </row>
    <row r="8" spans="1:9" ht="15.6">
      <c r="A8" s="3185" t="str">
        <f>结果表!A122</f>
        <v>房地产抵押价值</v>
      </c>
      <c r="B8" s="3185"/>
      <c r="C8" s="3185"/>
      <c r="D8" s="3185">
        <f ca="1">结果表!D122</f>
        <v>6416</v>
      </c>
      <c r="E8" s="3185"/>
      <c r="F8" s="3185"/>
      <c r="G8" s="3185"/>
      <c r="H8" s="3185"/>
      <c r="I8" s="3185"/>
    </row>
    <row r="9" spans="1:9" ht="15">
      <c r="A9" s="3184" t="s">
        <v>927</v>
      </c>
      <c r="B9" s="3184"/>
      <c r="C9" s="3184"/>
      <c r="D9" s="3184" t="str">
        <f ca="1">结果表!D123</f>
        <v>陆仟肆佰壹拾陆万元整</v>
      </c>
      <c r="E9" s="3184"/>
      <c r="F9" s="3184"/>
      <c r="G9" s="3184"/>
      <c r="H9" s="3184"/>
      <c r="I9" s="3184"/>
    </row>
    <row r="10" spans="1:9" ht="15.6">
      <c r="A10" s="3185" t="str">
        <f>结果表!A124</f>
        <v/>
      </c>
      <c r="B10" s="3185"/>
      <c r="C10" s="3185"/>
      <c r="D10" s="3185" t="str">
        <f>结果表!D124</f>
        <v>——</v>
      </c>
      <c r="E10" s="3185"/>
      <c r="F10" s="3185"/>
      <c r="G10" s="3185"/>
      <c r="H10" s="3185"/>
      <c r="I10" s="3185"/>
    </row>
    <row r="11" spans="1:9" ht="15">
      <c r="A11" s="3184" t="s">
        <v>927</v>
      </c>
      <c r="B11" s="3184"/>
      <c r="C11" s="3184"/>
      <c r="D11" s="3184" t="e">
        <f>结果表!D125</f>
        <v>#VALUE!</v>
      </c>
      <c r="E11" s="3184"/>
      <c r="F11" s="3184"/>
      <c r="G11" s="3184"/>
      <c r="H11" s="3184"/>
      <c r="I11" s="3184"/>
    </row>
    <row r="12" spans="1:9" ht="15.6">
      <c r="A12" s="3185" t="str">
        <f>结果表!A126</f>
        <v>抵押净值</v>
      </c>
      <c r="B12" s="3185"/>
      <c r="C12" s="3185"/>
      <c r="D12" s="3185">
        <f ca="1">结果表!D126</f>
        <v>6071</v>
      </c>
      <c r="E12" s="3185"/>
      <c r="F12" s="3185"/>
      <c r="G12" s="3185"/>
      <c r="H12" s="3185"/>
      <c r="I12" s="3185"/>
    </row>
    <row r="13" spans="1:9" ht="15.6" thickBot="1">
      <c r="A13" s="3189" t="s">
        <v>927</v>
      </c>
      <c r="B13" s="3189"/>
      <c r="C13" s="3189"/>
      <c r="D13" s="3189" t="str">
        <f ca="1">结果表!D127</f>
        <v>陆仟零柒拾壹万元整</v>
      </c>
      <c r="E13" s="3189"/>
      <c r="F13" s="3189"/>
      <c r="G13" s="3189"/>
      <c r="H13" s="3189"/>
      <c r="I13" s="3189"/>
    </row>
    <row r="14" spans="1:9" ht="14.4" thickTop="1">
      <c r="A14" s="3190" t="s">
        <v>932</v>
      </c>
      <c r="B14" s="3190"/>
      <c r="C14" s="3190"/>
      <c r="D14" s="3190"/>
      <c r="E14" s="3190"/>
      <c r="F14" s="3190"/>
      <c r="G14" s="3190"/>
      <c r="H14" s="3190"/>
      <c r="I14" s="3190"/>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1" t="s">
        <v>949</v>
      </c>
      <c r="B1" s="3191"/>
      <c r="C1" s="3191"/>
      <c r="D1" s="3191"/>
    </row>
    <row r="2" spans="1:4" ht="17.399999999999999">
      <c r="A2" s="3192" t="s">
        <v>933</v>
      </c>
      <c r="B2" s="3192"/>
      <c r="C2" s="3192"/>
      <c r="D2" s="3192"/>
    </row>
    <row r="3" spans="1:4" ht="17.399999999999999">
      <c r="A3" s="1407" t="s">
        <v>934</v>
      </c>
      <c r="B3" s="1407" t="s">
        <v>935</v>
      </c>
      <c r="C3" s="1407" t="s">
        <v>936</v>
      </c>
      <c r="D3" s="1407" t="s">
        <v>937</v>
      </c>
    </row>
    <row r="4" spans="1:4" ht="56.25" customHeight="1">
      <c r="A4" s="1408" t="str">
        <f>项目基本情况!B4</f>
        <v>吴薇</v>
      </c>
      <c r="B4" s="1409">
        <f ca="1">项目基本情况!C4</f>
        <v>1419970001</v>
      </c>
      <c r="C4" s="1410"/>
      <c r="D4" s="1411" t="s">
        <v>938</v>
      </c>
    </row>
    <row r="5" spans="1:4" ht="56.25" customHeight="1">
      <c r="A5" s="1408" t="str">
        <f>项目基本情况!D4</f>
        <v>郑燚</v>
      </c>
      <c r="B5" s="1409">
        <f ca="1">项目基本情况!E4</f>
        <v>1120070131</v>
      </c>
      <c r="C5" s="1412"/>
      <c r="D5" s="1411" t="s">
        <v>938</v>
      </c>
    </row>
    <row r="6" spans="1:4" ht="17.399999999999999">
      <c r="A6" s="3192" t="s">
        <v>939</v>
      </c>
      <c r="B6" s="3192"/>
      <c r="C6" s="3192"/>
      <c r="D6" s="3192"/>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3" t="s">
        <v>942</v>
      </c>
      <c r="B11" s="3194"/>
      <c r="C11" s="3194"/>
      <c r="D11" s="3194"/>
    </row>
    <row r="12" spans="1:4" ht="15.6">
      <c r="A12" s="31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5"/>
      <c r="C12" s="3195"/>
      <c r="D12" s="3195"/>
    </row>
    <row r="13" spans="1:4" ht="30" customHeight="1">
      <c r="A13" s="31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5"/>
      <c r="C13" s="3195"/>
      <c r="D13" s="3195"/>
    </row>
    <row r="14" spans="1:4" ht="15.75" customHeight="1">
      <c r="A14" s="3194" t="str">
        <f>IF(项目基本情况!B8="抵押","4.本次评估估价师所知悉的法定优先受偿款情况说明如下：","——")</f>
        <v>4.本次评估估价师所知悉的法定优先受偿款情况说明如下：</v>
      </c>
      <c r="B14" s="3195"/>
      <c r="C14" s="3195"/>
      <c r="D14" s="3195"/>
    </row>
    <row r="15" spans="1:4" ht="42" customHeight="1">
      <c r="A15" s="319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4"/>
      <c r="C15" s="3194"/>
      <c r="D15" s="3194"/>
    </row>
    <row r="16" spans="1:4" ht="30" customHeight="1">
      <c r="A16" s="3197" t="s">
        <v>943</v>
      </c>
      <c r="B16" s="3197"/>
      <c r="C16" s="3197"/>
      <c r="D16" s="3197"/>
    </row>
    <row r="17" spans="1:4" ht="144" customHeight="1">
      <c r="A17" s="3197" t="s">
        <v>944</v>
      </c>
      <c r="B17" s="3197"/>
      <c r="C17" s="3197"/>
      <c r="D17" s="3197"/>
    </row>
    <row r="18" spans="1:4" ht="15.75" customHeight="1">
      <c r="A18" s="3194" t="str">
        <f>IF(项目基本情况!B8="抵押",结果表!K120,"——")</f>
        <v>故，本次评估不存在估价师知悉的法定优先受偿款</v>
      </c>
      <c r="B18" s="3194"/>
      <c r="C18" s="3194"/>
      <c r="D18" s="3194"/>
    </row>
    <row r="19" spans="1:4" ht="46.5" customHeight="1">
      <c r="A19" s="31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4"/>
      <c r="C19" s="3194"/>
      <c r="D19" s="3194"/>
    </row>
    <row r="20" spans="1:4" ht="57.75" customHeight="1">
      <c r="A20" s="31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4"/>
      <c r="C20" s="3194"/>
      <c r="D20" s="3194"/>
    </row>
    <row r="21" spans="1:4" ht="57.75" customHeight="1">
      <c r="A21" s="31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8"/>
      <c r="C21" s="3198"/>
      <c r="D21" s="3198"/>
    </row>
    <row r="22" spans="1:4" ht="18.75" customHeight="1">
      <c r="A22" s="3199" t="s">
        <v>945</v>
      </c>
      <c r="B22" s="3199"/>
      <c r="C22" s="3199"/>
      <c r="D22" s="3199"/>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96">
        <v>42551</v>
      </c>
      <c r="D31" s="319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05" t="s">
        <v>956</v>
      </c>
      <c r="B15" s="3200" t="s">
        <v>109</v>
      </c>
      <c r="C15" s="3201"/>
    </row>
    <row r="16" spans="1:7" ht="14.4">
      <c r="A16" s="3206"/>
      <c r="B16" s="3200" t="s">
        <v>42</v>
      </c>
      <c r="C16" s="3201"/>
    </row>
    <row r="17" spans="1:3" ht="14.4">
      <c r="A17" s="3206"/>
      <c r="B17" s="3203" t="s">
        <v>957</v>
      </c>
      <c r="C17" s="1429" t="s">
        <v>956</v>
      </c>
    </row>
    <row r="18" spans="1:3" ht="14.4">
      <c r="A18" s="3206"/>
      <c r="B18" s="3203"/>
      <c r="C18" s="1429" t="s">
        <v>958</v>
      </c>
    </row>
    <row r="19" spans="1:3" ht="14.4">
      <c r="A19" s="3206"/>
      <c r="B19" s="3203"/>
      <c r="C19" s="1429" t="s">
        <v>959</v>
      </c>
    </row>
    <row r="20" spans="1:3" ht="14.4">
      <c r="A20" s="3207"/>
      <c r="B20" s="3202" t="s">
        <v>960</v>
      </c>
      <c r="C20" s="3201"/>
    </row>
    <row r="21" spans="1:3" ht="14.4">
      <c r="A21" s="1430" t="s">
        <v>961</v>
      </c>
      <c r="B21" s="1431"/>
      <c r="C21" s="1432"/>
    </row>
    <row r="22" spans="1:3" ht="14.4">
      <c r="A22" s="3204" t="s">
        <v>962</v>
      </c>
      <c r="B22" s="3202" t="s">
        <v>963</v>
      </c>
      <c r="C22" s="3201"/>
    </row>
    <row r="23" spans="1:3" ht="14.4">
      <c r="A23" s="3204"/>
      <c r="B23" s="3202" t="s">
        <v>964</v>
      </c>
      <c r="C23" s="3201"/>
    </row>
    <row r="24" spans="1:3" ht="14.4">
      <c r="A24" s="3204"/>
      <c r="B24" s="3202" t="s">
        <v>965</v>
      </c>
      <c r="C24" s="3201"/>
    </row>
    <row r="25" spans="1:3" ht="14.4">
      <c r="A25" s="3204"/>
      <c r="B25" s="3203" t="s">
        <v>966</v>
      </c>
      <c r="C25" s="1429" t="s">
        <v>967</v>
      </c>
    </row>
    <row r="26" spans="1:3" ht="14.4">
      <c r="A26" s="3204"/>
      <c r="B26" s="3203"/>
      <c r="C26" s="1429" t="s">
        <v>968</v>
      </c>
    </row>
    <row r="27" spans="1:3" ht="14.4">
      <c r="A27" s="3204"/>
      <c r="B27" s="3203"/>
      <c r="C27" s="1429" t="s">
        <v>969</v>
      </c>
    </row>
    <row r="28" spans="1:3" ht="14.4">
      <c r="A28" s="3204"/>
      <c r="B28" s="3203"/>
      <c r="C28" s="1429" t="s">
        <v>970</v>
      </c>
    </row>
    <row r="29" spans="1:3" ht="14.4">
      <c r="A29" s="3204"/>
      <c r="B29" s="3203"/>
      <c r="C29" s="1429" t="s">
        <v>971</v>
      </c>
    </row>
    <row r="30" spans="1:3" ht="14.4">
      <c r="A30" s="3204"/>
      <c r="B30" s="3203"/>
      <c r="C30" s="1429" t="s">
        <v>972</v>
      </c>
    </row>
    <row r="31" spans="1:3" ht="14.4">
      <c r="A31" s="3204"/>
      <c r="B31" s="3203"/>
      <c r="C31" s="1429" t="s">
        <v>973</v>
      </c>
    </row>
    <row r="32" spans="1:3" ht="14.4">
      <c r="A32" s="3204"/>
      <c r="B32" s="3203"/>
      <c r="C32" s="1429" t="s">
        <v>974</v>
      </c>
    </row>
    <row r="33" spans="1:3" ht="14.4">
      <c r="A33" s="3204"/>
      <c r="B33" s="3203"/>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45774</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2433</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8" t="s">
        <v>2160</v>
      </c>
      <c r="B17" s="3208"/>
      <c r="C17" s="3208"/>
      <c r="D17" s="3208"/>
      <c r="E17" s="3208"/>
      <c r="F17" s="3208"/>
      <c r="G17" s="3208"/>
      <c r="H17" s="3208"/>
    </row>
    <row r="18" spans="1:8" ht="24" customHeight="1">
      <c r="A18" s="3209" t="s">
        <v>2161</v>
      </c>
      <c r="B18" s="3209"/>
      <c r="C18" s="3209"/>
      <c r="D18" s="2160"/>
      <c r="E18" s="3210" t="s">
        <v>2162</v>
      </c>
      <c r="F18" s="3209"/>
      <c r="G18" s="3209"/>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2434</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3" type="noConversion"/>
  <conditionalFormatting sqref="A16:C16">
    <cfRule type="cellIs" dxfId="175" priority="32" stopIfTrue="1" operator="equal">
      <formula>"已过期"</formula>
    </cfRule>
  </conditionalFormatting>
  <conditionalFormatting sqref="B4:B15">
    <cfRule type="cellIs" dxfId="174" priority="4" stopIfTrue="1" operator="equal">
      <formula>"已过期"</formula>
    </cfRule>
  </conditionalFormatting>
  <conditionalFormatting sqref="C7:C12">
    <cfRule type="expression" dxfId="173" priority="22">
      <formula>AND($C7-TODAY()&lt;30,TODAY()&lt;$C7)</formula>
    </cfRule>
    <cfRule type="cellIs" dxfId="172" priority="23" stopIfTrue="1" operator="lessThan">
      <formula>$B$2</formula>
    </cfRule>
  </conditionalFormatting>
  <conditionalFormatting sqref="C14:C15">
    <cfRule type="expression" dxfId="171" priority="7">
      <formula>AND($C14-TODAY()&lt;30,TODAY()&lt;$C14)</formula>
    </cfRule>
    <cfRule type="cellIs" dxfId="170" priority="8" stopIfTrue="1" operator="lessThan">
      <formula>$B$2</formula>
    </cfRule>
  </conditionalFormatting>
  <conditionalFormatting sqref="C4:D6 D14">
    <cfRule type="cellIs" dxfId="169" priority="50" stopIfTrue="1" operator="lessThan">
      <formula>$B$2</formula>
    </cfRule>
  </conditionalFormatting>
  <conditionalFormatting sqref="C12:D13">
    <cfRule type="expression" dxfId="168" priority="47">
      <formula>AND($C12-TODAY()&lt;30,TODAY()&lt;$C12)</formula>
    </cfRule>
  </conditionalFormatting>
  <conditionalFormatting sqref="C13:D14">
    <cfRule type="expression" dxfId="167" priority="18">
      <formula>AND($C13-TODAY()&lt;30,TODAY()&lt;$C13)</formula>
    </cfRule>
    <cfRule type="cellIs" dxfId="166" priority="19" stopIfTrue="1" operator="lessThan">
      <formula>$B$2</formula>
    </cfRule>
  </conditionalFormatting>
  <conditionalFormatting sqref="C15:D15">
    <cfRule type="expression" dxfId="165" priority="5">
      <formula>AND($C15-TODAY()&lt;30,TODAY()&lt;$C15)</formula>
    </cfRule>
    <cfRule type="cellIs" dxfId="164" priority="6" stopIfTrue="1" operator="lessThan">
      <formula>$B$2</formula>
    </cfRule>
  </conditionalFormatting>
  <conditionalFormatting sqref="C20:D20 C13:D13">
    <cfRule type="cellIs" dxfId="163" priority="54" stopIfTrue="1" operator="lessThan">
      <formula>$B$2</formula>
    </cfRule>
  </conditionalFormatting>
  <conditionalFormatting sqref="C20:D20">
    <cfRule type="expression" dxfId="162" priority="52">
      <formula>AND($C20-TODAY()&lt;30,TODAY()&lt;$C20)</formula>
    </cfRule>
  </conditionalFormatting>
  <conditionalFormatting sqref="D7:D12 D16">
    <cfRule type="expression" dxfId="161" priority="53">
      <formula>AND($C7-TODAY()&lt;30,TODAY()&lt;$C7)</formula>
    </cfRule>
  </conditionalFormatting>
  <conditionalFormatting sqref="D7:D12">
    <cfRule type="cellIs" dxfId="160" priority="48" stopIfTrue="1" operator="lessThan">
      <formula>$B$2</formula>
    </cfRule>
  </conditionalFormatting>
  <conditionalFormatting sqref="D14 C4:D6">
    <cfRule type="expression" dxfId="159" priority="49">
      <formula>AND($C4-TODAY()&lt;30,TODAY()&lt;$C4)</formula>
    </cfRule>
  </conditionalFormatting>
  <conditionalFormatting sqref="D15:D16">
    <cfRule type="expression" dxfId="158" priority="12">
      <formula>AND($C15-TODAY()&lt;30,TODAY()&lt;$C15)</formula>
    </cfRule>
    <cfRule type="cellIs" dxfId="157" priority="13" stopIfTrue="1" operator="lessThan">
      <formula>$B$2</formula>
    </cfRule>
  </conditionalFormatting>
  <conditionalFormatting sqref="E16:G16">
    <cfRule type="cellIs" dxfId="156" priority="31" stopIfTrue="1" operator="equal">
      <formula>"已过期"</formula>
    </cfRule>
  </conditionalFormatting>
  <conditionalFormatting sqref="F4:F15">
    <cfRule type="cellIs" dxfId="155" priority="9" stopIfTrue="1" operator="equal">
      <formula>"已过期"</formula>
    </cfRule>
  </conditionalFormatting>
  <conditionalFormatting sqref="G4:G15">
    <cfRule type="cellIs" dxfId="154" priority="3" stopIfTrue="1" operator="lessThan">
      <formula>$B$2</formula>
    </cfRule>
  </conditionalFormatting>
  <conditionalFormatting sqref="G20:G21">
    <cfRule type="expression" dxfId="153" priority="1" stopIfTrue="1">
      <formula>AND(#REF!-TODAY()&lt;30,TODAY()&lt;#REF!)</formula>
    </cfRule>
    <cfRule type="cellIs" dxfId="152"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155</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估价对象</vt:lpstr>
      <vt:lpstr>数据-基础表</vt:lpstr>
      <vt:lpstr>数据-汇总表</vt:lpstr>
      <vt:lpstr>数据-取费表</vt:lpstr>
      <vt:lpstr>估价对象房地状况</vt:lpstr>
      <vt:lpstr>系统读取表</vt:lpstr>
      <vt:lpstr>结果表</vt:lpstr>
      <vt:lpstr>基准地价修正</vt:lpstr>
      <vt:lpstr>成本法 (元)</vt:lpstr>
      <vt:lpstr>收益法 (元)</vt:lpstr>
      <vt:lpstr>成本法</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基准地价修正办</vt:lpstr>
      <vt:lpstr>成本法办</vt:lpstr>
      <vt:lpstr>收益法办</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成本法办!Print_Area</vt:lpstr>
      <vt:lpstr>估价对象房地状况!Print_Area</vt:lpstr>
      <vt:lpstr>估价师及机构信息!Print_Area</vt:lpstr>
      <vt:lpstr>'基准地价（汇总）'!Print_Area</vt:lpstr>
      <vt:lpstr>基准地价修正!Print_Area</vt:lpstr>
      <vt:lpstr>基准地价修正办!Print_Area</vt:lpstr>
      <vt:lpstr>假设开发法!Print_Area</vt:lpstr>
      <vt:lpstr>结果表!Print_Area</vt:lpstr>
      <vt:lpstr>收益法!Print_Area</vt:lpstr>
      <vt:lpstr>'收益法 (元)'!Print_Area</vt:lpstr>
      <vt:lpstr>'收益法（汇总）'!Print_Area</vt:lpstr>
      <vt:lpstr>收益法办!Print_Area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2025-04-27T09:13:23Z</dcterms:modified>
</cp:coreProperties>
</file>